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31-05" sheetId="2" r:id="rId5"/>
    <sheet state="visible" name="1-06" sheetId="3" r:id="rId6"/>
    <sheet state="visible" name="2-06" sheetId="4" r:id="rId7"/>
    <sheet state="visible" name="3-06" sheetId="5" r:id="rId8"/>
    <sheet state="visible" name="4-06" sheetId="6" r:id="rId9"/>
    <sheet state="visible" name="5-06" sheetId="7" r:id="rId10"/>
    <sheet state="visible" name="7-06" sheetId="8" r:id="rId11"/>
    <sheet state="visible" name="08-6" sheetId="9" r:id="rId12"/>
    <sheet state="visible" name="09-06" sheetId="10" r:id="rId13"/>
    <sheet state="visible" name="10-06" sheetId="11" r:id="rId14"/>
    <sheet state="visible" name="11-06" sheetId="12" r:id="rId15"/>
    <sheet state="visible" name="12-06" sheetId="13" r:id="rId16"/>
    <sheet state="visible" name="14-06" sheetId="14" r:id="rId17"/>
    <sheet state="visible" name="15-06" sheetId="15" r:id="rId18"/>
    <sheet state="visible" name="16-06" sheetId="16" r:id="rId19"/>
    <sheet state="visible" name="17-06" sheetId="17" r:id="rId20"/>
    <sheet state="visible" name="18-06" sheetId="18" r:id="rId21"/>
    <sheet state="visible" name="19-06" sheetId="19" r:id="rId22"/>
    <sheet state="visible" name="21-06" sheetId="20" r:id="rId23"/>
    <sheet state="visible" name="22-06" sheetId="21" r:id="rId24"/>
    <sheet state="visible" name="23-06 " sheetId="22" r:id="rId25"/>
    <sheet state="visible" name="24-06" sheetId="23" r:id="rId26"/>
    <sheet state="visible" name="25-06" sheetId="24" r:id="rId27"/>
    <sheet state="visible" name="26-06" sheetId="25" r:id="rId28"/>
    <sheet state="visible" name="28-06" sheetId="26" r:id="rId29"/>
    <sheet state="hidden" name="29062021" sheetId="27" r:id="rId30"/>
    <sheet state="visible" name="29-06" sheetId="28" r:id="rId31"/>
    <sheet state="visible" name="SUMMARY" sheetId="29" r:id="rId32"/>
    <sheet state="visible" name="MAU" sheetId="30" r:id="rId33"/>
    <sheet state="hidden" name="REJECTED BLOCK" sheetId="31" r:id="rId34"/>
    <sheet state="hidden" name="H &amp; T" sheetId="32" r:id="rId35"/>
    <sheet state="hidden" name="OTHER LOSS" sheetId="33" r:id="rId36"/>
    <sheet state="hidden" name="GAS LOSS" sheetId="34" r:id="rId37"/>
    <sheet state="hidden" name="TOTAL" sheetId="35" r:id="rId38"/>
    <sheet state="hidden" name="total (Chemical)" sheetId="36" r:id="rId39"/>
    <sheet state="hidden" name="total (Chemical) (2)" sheetId="37" r:id="rId40"/>
    <sheet state="hidden" name="total (Chemical)NORMAL FOAM" sheetId="38" r:id="rId41"/>
    <sheet state="hidden" name="total (Chemical)NORMAL FOAM+FC" sheetId="39" r:id="rId42"/>
    <sheet state="hidden" name="XL4Poppy" sheetId="40" r:id="rId43"/>
  </sheets>
  <definedNames>
    <definedName name="Hello">XL4Poppy!$A$15</definedName>
    <definedName name="Poppy">XL4Poppy!$C$27</definedName>
    <definedName name="MakeIt">XL4Poppy!$A$26</definedName>
    <definedName name="Morning">XL4Poppy!$C$39</definedName>
    <definedName name="_Builtin0">XL4Poppy!$C$4</definedName>
    <definedName name="Continue">XL4Poppy!$C$9</definedName>
    <definedName name="Bust">XL4Poppy!$C$31</definedName>
    <definedName name="Documents_array">XL4Poppy!$B$1:$B$16</definedName>
  </definedNames>
  <calcPr/>
</workbook>
</file>

<file path=xl/sharedStrings.xml><?xml version="1.0" encoding="utf-8"?>
<sst xmlns="http://schemas.openxmlformats.org/spreadsheetml/2006/main" count="4560" uniqueCount="289">
  <si>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</si>
  <si>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</si>
  <si>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</si>
  <si>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</si>
  <si>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</si>
  <si>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</si>
  <si>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</si>
  <si>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</si>
  <si>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</si>
  <si>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</si>
  <si>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</si>
  <si>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</si>
  <si>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</si>
  <si>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</si>
  <si>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</si>
  <si>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</si>
  <si>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</si>
  <si>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</si>
  <si>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</si>
  <si>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</si>
  <si>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</si>
  <si>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</si>
  <si>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</si>
  <si>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</si>
  <si>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</si>
  <si>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</si>
  <si>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</si>
  <si>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</si>
  <si>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</si>
  <si>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</si>
  <si>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</si>
  <si>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</si>
  <si>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</si>
  <si>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</si>
  <si>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</si>
  <si>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</si>
  <si>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</si>
  <si>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</si>
  <si>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</si>
  <si>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</si>
  <si>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</si>
  <si>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</si>
  <si>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</si>
  <si>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</si>
  <si>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</si>
  <si>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</si>
  <si>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</si>
  <si>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</si>
  <si>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</si>
  <si>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</si>
  <si>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</si>
  <si>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</si>
  <si>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</si>
  <si>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</si>
  <si>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</si>
  <si>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HRD2930</t>
  </si>
  <si>
    <t>HRD2940</t>
  </si>
  <si>
    <t>D2070</t>
  </si>
  <si>
    <t>D2930</t>
  </si>
  <si>
    <t>D3530</t>
  </si>
  <si>
    <t>D3550</t>
  </si>
  <si>
    <t>D2940W</t>
  </si>
  <si>
    <t xml:space="preserve">         DIMENSION                                                HEIGHT                        WIDTH               LENGTH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</si>
  <si>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</si>
  <si>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HRD2930 80%</t>
  </si>
  <si>
    <t>HRD2940 80%</t>
  </si>
  <si>
    <t>HRD2940+HRD2930 50%</t>
  </si>
  <si>
    <t>D2070 80%</t>
  </si>
  <si>
    <t>D2930 80%</t>
  </si>
  <si>
    <t>D3530 80%</t>
  </si>
  <si>
    <t>D3550 80%</t>
  </si>
  <si>
    <t>D2940W 80%</t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</si>
  <si>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</si>
  <si>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</si>
  <si>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</si>
  <si>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</si>
  <si>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D2220</t>
  </si>
  <si>
    <t>D1650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</si>
  <si>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</si>
  <si>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D2220 80%</t>
  </si>
  <si>
    <t>D1650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</si>
  <si>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</si>
  <si>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D2670</t>
  </si>
  <si>
    <t>D2050</t>
  </si>
  <si>
    <t>HRD3130</t>
  </si>
  <si>
    <t>D2680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</si>
  <si>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</si>
  <si>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D2670 80%</t>
  </si>
  <si>
    <t>B250/D2050 80%</t>
  </si>
  <si>
    <t>B250/D2050</t>
  </si>
  <si>
    <t>B270/D2070 80%</t>
  </si>
  <si>
    <t>B270/D2070</t>
  </si>
  <si>
    <t>HRD3130 80%</t>
  </si>
  <si>
    <t>D2680 80%</t>
  </si>
  <si>
    <t>D2940 80%</t>
  </si>
  <si>
    <t>D2940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</si>
  <si>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</si>
  <si>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D2450GT</t>
  </si>
  <si>
    <t>D1850</t>
  </si>
  <si>
    <t>HRD2960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</si>
  <si>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</si>
  <si>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D2450 80%</t>
  </si>
  <si>
    <t>D2450</t>
  </si>
  <si>
    <t>D1850 80%</t>
  </si>
  <si>
    <t>HRD2960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</si>
  <si>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</si>
  <si>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</si>
  <si>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D2450GT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</si>
  <si>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</si>
  <si>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D1670CC</t>
  </si>
  <si>
    <t>D2070CC</t>
  </si>
  <si>
    <t>D1850CC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</si>
  <si>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</si>
  <si>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D1670CC 80%</t>
  </si>
  <si>
    <t>D2050 80%</t>
  </si>
  <si>
    <t>D2050+D2940 50%</t>
  </si>
  <si>
    <t>D2070CC 80%</t>
  </si>
  <si>
    <t>D1850CC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</si>
  <si>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</si>
  <si>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</si>
  <si>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</si>
  <si>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HRD4040</t>
  </si>
  <si>
    <t>HRD4050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</si>
  <si>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</si>
  <si>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HRD4050 80%</t>
  </si>
  <si>
    <t>HRD4040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</si>
  <si>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</si>
  <si>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</si>
  <si>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</si>
  <si>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ACTUAL WT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</si>
  <si>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</si>
  <si>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</si>
  <si>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</si>
  <si>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</si>
  <si>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</si>
  <si>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D1870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</si>
  <si>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</si>
  <si>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D2550GT</t>
  </si>
  <si>
    <t>D1870CC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</si>
  <si>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</si>
  <si>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D2550GT 80%</t>
  </si>
  <si>
    <t>111</t>
  </si>
  <si>
    <t>105</t>
  </si>
  <si>
    <t>109</t>
  </si>
  <si>
    <t>D1870CC 80%</t>
  </si>
  <si>
    <t>76</t>
  </si>
  <si>
    <t>78</t>
  </si>
  <si>
    <t>75</t>
  </si>
  <si>
    <t>155</t>
  </si>
  <si>
    <t>153</t>
  </si>
  <si>
    <t>159</t>
  </si>
  <si>
    <t>123</t>
  </si>
  <si>
    <t>125</t>
  </si>
  <si>
    <t>135</t>
  </si>
  <si>
    <t>136</t>
  </si>
  <si>
    <t>134</t>
  </si>
  <si>
    <t>133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</si>
  <si>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</si>
  <si>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</si>
  <si>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</si>
  <si>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137</t>
  </si>
  <si>
    <t>138</t>
  </si>
  <si>
    <t>83</t>
  </si>
  <si>
    <t>89</t>
  </si>
  <si>
    <t>80</t>
  </si>
  <si>
    <t>79</t>
  </si>
  <si>
    <t>D2270 80%</t>
  </si>
  <si>
    <t>94</t>
  </si>
  <si>
    <t>96</t>
  </si>
  <si>
    <t>86</t>
  </si>
  <si>
    <t>82</t>
  </si>
  <si>
    <t>81</t>
  </si>
  <si>
    <t>84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</si>
  <si>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</si>
  <si>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D2380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</si>
  <si>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</si>
  <si>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139</t>
  </si>
  <si>
    <t>148</t>
  </si>
  <si>
    <t>130</t>
  </si>
  <si>
    <t>132</t>
  </si>
  <si>
    <t>128</t>
  </si>
  <si>
    <t>D2380 80%</t>
  </si>
  <si>
    <t>120</t>
  </si>
  <si>
    <t>108</t>
  </si>
  <si>
    <t>107</t>
  </si>
  <si>
    <t>106</t>
  </si>
  <si>
    <t>100</t>
  </si>
  <si>
    <t>116</t>
  </si>
  <si>
    <t>118</t>
  </si>
  <si>
    <t xml:space="preserve">  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</si>
  <si>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</si>
  <si>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</si>
  <si>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</si>
  <si>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</si>
  <si>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87</t>
  </si>
  <si>
    <t>140</t>
  </si>
  <si>
    <t>53</t>
  </si>
  <si>
    <t>54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</si>
  <si>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</si>
  <si>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D2270CC</t>
  </si>
  <si>
    <t>D2450GT 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</si>
  <si>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</si>
  <si>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 xml:space="preserve">HRD2940 80% </t>
  </si>
  <si>
    <t>D2270CC 80%</t>
  </si>
  <si>
    <t>D2450GT 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</si>
  <si>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</si>
  <si>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</si>
  <si>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D2450CC 80%</t>
  </si>
  <si>
    <t xml:space="preserve">D2450CC </t>
  </si>
  <si>
    <t xml:space="preserve">D2450GT CC 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</si>
  <si>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</si>
  <si>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</si>
  <si>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</si>
  <si>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</si>
  <si>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24/06/2021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</si>
  <si>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</si>
  <si>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</si>
  <si>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</si>
  <si>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</si>
  <si>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</si>
  <si>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</si>
  <si>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D2050CC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</si>
  <si>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</si>
  <si>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D2050CC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</si>
  <si>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</si>
  <si>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</si>
  <si>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</si>
  <si>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D1850 CC</t>
  </si>
  <si>
    <t>xanh</t>
  </si>
  <si>
    <t>tím</t>
  </si>
  <si>
    <t>cam</t>
  </si>
  <si>
    <t>xanh - tím=cam</t>
  </si>
  <si>
    <t>cam dương (around 200kg) ok</t>
  </si>
  <si>
    <t>cam âm</t>
  </si>
  <si>
    <t>giảm density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</si>
  <si>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</si>
  <si>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</si>
  <si>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</si>
  <si>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FOAMING VOLUME &amp; LOSS PERFORMANCE  (CONTINUE FOAMING)</t>
  </si>
  <si>
    <t xml:space="preserve">MONTH  : </t>
  </si>
  <si>
    <t>JUNE'2021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</si>
  <si>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</si>
  <si>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</si>
  <si>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</si>
  <si>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</si>
  <si>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</si>
  <si>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</si>
  <si>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</si>
  <si>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chemical</t>
  </si>
  <si>
    <t>block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</si>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</sst>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_(* #,##0.000_);_(* \(#,##0.000\);_(* &quot;-&quot;??_);_(@_)"/>
    <numFmt numFmtId="173" formatCode="0.000000"/>
    <numFmt numFmtId="174" formatCode="#,##0.000"/>
    <numFmt numFmtId="175" formatCode="[$-F800]dddd\,\ mmmm\ dd\,\ yyyy"/>
    <numFmt numFmtId="176" formatCode="_(* #,##0_);_(* \(#,##0\);_(* &quot;-&quot;??_);_(@_)"/>
    <numFmt numFmtId="177" formatCode="0.000_ "/>
    <numFmt numFmtId="178" formatCode="0_ "/>
  </numFmts>
  <fonts count="59">
    <font>
      <sz val="11.0"/>
      <color theme="1"/>
      <name val="Calibri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sz val="14.0"/>
      <color theme="1"/>
      <name val="Cambria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4.0"/>
      <color theme="1"/>
      <name val="Times New Roman"/>
    </font>
    <font>
      <sz val="18.0"/>
      <color theme="1"/>
      <name val="Times New Roman"/>
    </font>
    <font>
      <b/>
      <sz val="16.0"/>
      <color rgb="FFFF0000"/>
      <name val="Times New Roman"/>
    </font>
    <font>
      <b/>
      <sz val="16.0"/>
      <color rgb="FF0066CC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9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92CDDC"/>
        <bgColor rgb="FF92CDDC"/>
      </patternFill>
    </fill>
    <fill>
      <patternFill patternType="solid">
        <fgColor rgb="FFFBD4B4"/>
        <bgColor rgb="FFFBD4B4"/>
      </patternFill>
    </fill>
    <fill>
      <patternFill patternType="solid">
        <fgColor rgb="FFFF0000"/>
        <bgColor rgb="FFFF0000"/>
      </patternFill>
    </fill>
    <fill>
      <patternFill patternType="solid">
        <fgColor rgb="FFFABF8F"/>
        <bgColor rgb="FFFABF8F"/>
      </patternFill>
    </fill>
    <fill>
      <patternFill patternType="solid">
        <fgColor rgb="FF008000"/>
        <bgColor rgb="FF008000"/>
      </patternFill>
    </fill>
    <fill>
      <patternFill patternType="solid">
        <fgColor rgb="FFB6DDE8"/>
        <bgColor rgb="FFB6DDE8"/>
      </patternFill>
    </fill>
    <fill>
      <patternFill patternType="solid">
        <fgColor rgb="FFD6E3BC"/>
        <bgColor rgb="FFD6E3BC"/>
      </patternFill>
    </fill>
    <fill>
      <patternFill patternType="solid">
        <fgColor rgb="FFCCC0D9"/>
        <bgColor rgb="FFCCC0D9"/>
      </patternFill>
    </fill>
    <fill>
      <patternFill patternType="solid">
        <fgColor rgb="FFD99594"/>
        <bgColor rgb="FFD99594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5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</borders>
  <cellStyleXfs count="1">
    <xf borderId="0" fillId="0" fontId="0" numFmtId="0" applyAlignment="1" applyFont="1"/>
  </cellStyleXfs>
  <cellXfs count="65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1" wrapText="0"/>
    </xf>
    <xf borderId="0" fillId="0" fontId="2" numFmtId="0" xfId="0" applyAlignment="1" applyFont="1">
      <alignment shrinkToFit="1" wrapText="0"/>
    </xf>
    <xf borderId="0" fillId="0" fontId="3" numFmtId="0" xfId="0" applyAlignment="1" applyFont="1">
      <alignment horizontal="left" shrinkToFit="1" wrapText="0"/>
    </xf>
    <xf borderId="0" fillId="0" fontId="3" numFmtId="0" xfId="0" applyAlignment="1" applyFont="1">
      <alignment shrinkToFit="1" wrapText="0"/>
    </xf>
    <xf borderId="0" fillId="0" fontId="4" numFmtId="0" xfId="0" applyAlignment="1" applyFont="1">
      <alignment shrinkToFit="1" wrapText="0"/>
    </xf>
    <xf borderId="0" fillId="0" fontId="5" numFmtId="0" xfId="0" applyAlignment="1" applyFont="1">
      <alignment shrinkToFit="1" wrapText="0"/>
    </xf>
    <xf borderId="0" fillId="0" fontId="6" numFmtId="0" xfId="0" applyAlignment="1" applyFont="1">
      <alignment shrinkToFit="1" wrapText="0"/>
    </xf>
    <xf borderId="0" fillId="0" fontId="7" numFmtId="0" xfId="0" applyAlignment="1" applyFont="1">
      <alignment horizontal="left" shrinkToFit="1" wrapText="0"/>
    </xf>
    <xf borderId="0" fillId="0" fontId="7" numFmtId="49" xfId="0" applyAlignment="1" applyFont="1" applyNumberFormat="1">
      <alignment shrinkToFit="1" wrapText="0"/>
    </xf>
    <xf borderId="0" fillId="0" fontId="0" numFmtId="0" xfId="0" applyFont="1"/>
    <xf borderId="1" fillId="0" fontId="8" numFmtId="0" xfId="0" applyAlignment="1" applyBorder="1" applyFont="1">
      <alignment horizontal="center" shrinkToFit="1" vertical="center" wrapText="0"/>
    </xf>
    <xf borderId="2" fillId="0" fontId="9" numFmtId="0" xfId="0" applyBorder="1" applyFont="1"/>
    <xf borderId="3" fillId="0" fontId="8" numFmtId="0" xfId="0" applyAlignment="1" applyBorder="1" applyFont="1">
      <alignment horizontal="center" shrinkToFit="1" vertical="center" wrapText="0"/>
    </xf>
    <xf borderId="3" fillId="0" fontId="8" numFmtId="0" xfId="0" applyAlignment="1" applyBorder="1" applyFont="1">
      <alignment shrinkToFit="1" vertical="center" wrapText="0"/>
    </xf>
    <xf borderId="4" fillId="0" fontId="8" numFmtId="0" xfId="0" applyAlignment="1" applyBorder="1" applyFont="1">
      <alignment horizontal="center" shrinkToFit="1" vertical="top" wrapText="0"/>
    </xf>
    <xf borderId="5" fillId="0" fontId="9" numFmtId="0" xfId="0" applyBorder="1" applyFont="1"/>
    <xf borderId="6" fillId="0" fontId="8" numFmtId="0" xfId="0" applyAlignment="1" applyBorder="1" applyFont="1">
      <alignment horizontal="center" shrinkToFit="1" vertical="center" wrapText="0"/>
    </xf>
    <xf borderId="7" fillId="0" fontId="8" numFmtId="0" xfId="0" applyAlignment="1" applyBorder="1" applyFont="1">
      <alignment horizontal="center" shrinkToFit="1" wrapText="0"/>
    </xf>
    <xf borderId="7" fillId="0" fontId="8" numFmtId="0" xfId="0" applyAlignment="1" applyBorder="1" applyFont="1">
      <alignment shrinkToFit="1" wrapText="0"/>
    </xf>
    <xf borderId="8" fillId="0" fontId="8" numFmtId="0" xfId="0" applyAlignment="1" applyBorder="1" applyFont="1">
      <alignment shrinkToFit="1" wrapText="0"/>
    </xf>
    <xf borderId="8" fillId="0" fontId="8" numFmtId="10" xfId="0" applyAlignment="1" applyBorder="1" applyFont="1" applyNumberFormat="1">
      <alignment shrinkToFit="1" wrapText="0"/>
    </xf>
    <xf borderId="9" fillId="0" fontId="8" numFmtId="164" xfId="0" applyAlignment="1" applyBorder="1" applyFont="1" applyNumberFormat="1">
      <alignment shrinkToFit="1" wrapText="0"/>
    </xf>
    <xf borderId="10" fillId="0" fontId="2" numFmtId="164" xfId="0" applyAlignment="1" applyBorder="1" applyFont="1" applyNumberFormat="1">
      <alignment shrinkToFit="1" wrapText="0"/>
    </xf>
    <xf borderId="11" fillId="0" fontId="8" numFmtId="0" xfId="0" applyAlignment="1" applyBorder="1" applyFont="1">
      <alignment horizontal="center" shrinkToFit="1" wrapText="0"/>
    </xf>
    <xf borderId="0" fillId="0" fontId="8" numFmtId="165" xfId="0" applyAlignment="1" applyFont="1" applyNumberFormat="1">
      <alignment shrinkToFit="1" wrapText="0"/>
    </xf>
    <xf borderId="0" fillId="0" fontId="8" numFmtId="0" xfId="0" applyAlignment="1" applyFont="1">
      <alignment shrinkToFit="1" wrapText="0"/>
    </xf>
    <xf borderId="12" fillId="0" fontId="8" numFmtId="0" xfId="0" applyAlignment="1" applyBorder="1" applyFont="1">
      <alignment horizontal="center" shrinkToFit="1" wrapText="0"/>
    </xf>
    <xf borderId="12" fillId="0" fontId="8" numFmtId="0" xfId="0" applyAlignment="1" applyBorder="1" applyFont="1">
      <alignment shrinkToFit="1" wrapText="0"/>
    </xf>
    <xf borderId="12" fillId="0" fontId="8" numFmtId="10" xfId="0" applyAlignment="1" applyBorder="1" applyFont="1" applyNumberFormat="1">
      <alignment shrinkToFit="1" wrapText="0"/>
    </xf>
    <xf borderId="13" fillId="0" fontId="8" numFmtId="164" xfId="0" applyAlignment="1" applyBorder="1" applyFont="1" applyNumberFormat="1">
      <alignment shrinkToFit="1" wrapText="0"/>
    </xf>
    <xf borderId="14" fillId="0" fontId="2" numFmtId="164" xfId="0" applyAlignment="1" applyBorder="1" applyFont="1" applyNumberFormat="1">
      <alignment shrinkToFit="1" wrapText="0"/>
    </xf>
    <xf borderId="15" fillId="0" fontId="8" numFmtId="0" xfId="0" applyAlignment="1" applyBorder="1" applyFont="1">
      <alignment horizontal="center" shrinkToFit="1" wrapText="0"/>
    </xf>
    <xf borderId="13" fillId="0" fontId="8" numFmtId="10" xfId="0" applyAlignment="1" applyBorder="1" applyFont="1" applyNumberFormat="1">
      <alignment shrinkToFit="1" wrapText="0"/>
    </xf>
    <xf borderId="14" fillId="0" fontId="8" numFmtId="164" xfId="0" applyAlignment="1" applyBorder="1" applyFont="1" applyNumberFormat="1">
      <alignment shrinkToFit="1" wrapText="0"/>
    </xf>
    <xf borderId="16" fillId="0" fontId="8" numFmtId="164" xfId="0" applyAlignment="1" applyBorder="1" applyFont="1" applyNumberFormat="1">
      <alignment shrinkToFit="1" wrapText="0"/>
    </xf>
    <xf borderId="17" fillId="0" fontId="8" numFmtId="164" xfId="0" applyAlignment="1" applyBorder="1" applyFont="1" applyNumberFormat="1">
      <alignment shrinkToFit="1" wrapText="0"/>
    </xf>
    <xf borderId="18" fillId="0" fontId="8" numFmtId="0" xfId="0" applyAlignment="1" applyBorder="1" applyFont="1">
      <alignment horizontal="center" shrinkToFit="1" wrapText="0"/>
    </xf>
    <xf borderId="19" fillId="0" fontId="2" numFmtId="0" xfId="0" applyAlignment="1" applyBorder="1" applyFont="1">
      <alignment horizontal="center" shrinkToFit="1" wrapText="0"/>
    </xf>
    <xf borderId="20" fillId="0" fontId="2" numFmtId="0" xfId="0" applyAlignment="1" applyBorder="1" applyFont="1">
      <alignment shrinkToFit="1" wrapText="0"/>
    </xf>
    <xf borderId="20" fillId="0" fontId="8" numFmtId="0" xfId="0" applyAlignment="1" applyBorder="1" applyFont="1">
      <alignment horizontal="right" shrinkToFit="1" wrapText="0"/>
    </xf>
    <xf borderId="21" fillId="0" fontId="9" numFmtId="0" xfId="0" applyBorder="1" applyFont="1"/>
    <xf borderId="22" fillId="0" fontId="8" numFmtId="164" xfId="0" applyAlignment="1" applyBorder="1" applyFont="1" applyNumberFormat="1">
      <alignment horizontal="center" shrinkToFit="1" wrapText="0"/>
    </xf>
    <xf borderId="23" fillId="0" fontId="8" numFmtId="0" xfId="0" applyAlignment="1" applyBorder="1" applyFont="1">
      <alignment horizontal="center" shrinkToFit="1" wrapText="0"/>
    </xf>
    <xf borderId="24" fillId="0" fontId="3" numFmtId="0" xfId="0" applyAlignment="1" applyBorder="1" applyFont="1">
      <alignment shrinkToFit="1" wrapText="0"/>
    </xf>
    <xf borderId="25" fillId="0" fontId="3" numFmtId="0" xfId="0" applyAlignment="1" applyBorder="1" applyFont="1">
      <alignment shrinkToFit="1" wrapText="0"/>
    </xf>
    <xf borderId="26" fillId="0" fontId="3" numFmtId="0" xfId="0" applyAlignment="1" applyBorder="1" applyFont="1">
      <alignment shrinkToFit="1" wrapText="0"/>
    </xf>
    <xf borderId="27" fillId="0" fontId="3" numFmtId="0" xfId="0" applyAlignment="1" applyBorder="1" applyFont="1">
      <alignment shrinkToFit="1" wrapText="0"/>
    </xf>
    <xf borderId="25" fillId="0" fontId="9" numFmtId="0" xfId="0" applyBorder="1" applyFont="1"/>
    <xf borderId="28" fillId="0" fontId="3" numFmtId="0" xfId="0" applyAlignment="1" applyBorder="1" applyFont="1">
      <alignment shrinkToFit="1" wrapText="0"/>
    </xf>
    <xf borderId="12" fillId="0" fontId="3" numFmtId="0" xfId="0" applyAlignment="1" applyBorder="1" applyFont="1">
      <alignment shrinkToFit="1" wrapText="0"/>
    </xf>
    <xf borderId="13" fillId="0" fontId="8" numFmtId="0" xfId="0" applyAlignment="1" applyBorder="1" applyFont="1">
      <alignment horizontal="center" shrinkToFit="1" vertical="top" wrapText="0"/>
    </xf>
    <xf borderId="29" fillId="0" fontId="9" numFmtId="0" xfId="0" applyBorder="1" applyFont="1"/>
    <xf borderId="14" fillId="0" fontId="9" numFmtId="0" xfId="0" applyBorder="1" applyFont="1"/>
    <xf borderId="12" fillId="0" fontId="8" numFmtId="0" xfId="0" applyAlignment="1" applyBorder="1" applyFont="1">
      <alignment horizontal="left" shrinkToFit="1" wrapText="0"/>
    </xf>
    <xf borderId="12" fillId="0" fontId="2" numFmtId="0" xfId="0" applyAlignment="1" applyBorder="1" applyFont="1">
      <alignment shrinkToFit="1" wrapText="0"/>
    </xf>
    <xf borderId="0" fillId="0" fontId="10" numFmtId="0" xfId="0" applyAlignment="1" applyFont="1">
      <alignment shrinkToFit="1" wrapText="0"/>
    </xf>
    <xf borderId="12" fillId="0" fontId="11" numFmtId="0" xfId="0" applyAlignment="1" applyBorder="1" applyFont="1">
      <alignment horizontal="center" shrinkToFit="1" wrapText="0"/>
    </xf>
    <xf borderId="12" fillId="2" fontId="12" numFmtId="0" xfId="0" applyAlignment="1" applyBorder="1" applyFill="1" applyFont="1">
      <alignment horizontal="center" shrinkToFit="1" vertical="center" wrapText="0"/>
    </xf>
    <xf borderId="12" fillId="0" fontId="12" numFmtId="0" xfId="0" applyAlignment="1" applyBorder="1" applyFont="1">
      <alignment horizontal="center" shrinkToFit="1" vertical="center" wrapText="0"/>
    </xf>
    <xf borderId="12" fillId="0" fontId="12" numFmtId="166" xfId="0" applyAlignment="1" applyBorder="1" applyFont="1" applyNumberFormat="1">
      <alignment horizontal="center" shrinkToFit="1" vertical="center" wrapText="0"/>
    </xf>
    <xf borderId="12" fillId="0" fontId="8" numFmtId="167" xfId="0" applyAlignment="1" applyBorder="1" applyFont="1" applyNumberFormat="1">
      <alignment horizontal="center" shrinkToFit="1" wrapText="0"/>
    </xf>
    <xf borderId="30" fillId="3" fontId="11" numFmtId="0" xfId="0" applyAlignment="1" applyBorder="1" applyFill="1" applyFont="1">
      <alignment shrinkToFit="1" wrapText="0"/>
    </xf>
    <xf borderId="12" fillId="3" fontId="11" numFmtId="0" xfId="0" applyAlignment="1" applyBorder="1" applyFont="1">
      <alignment shrinkToFit="1" wrapText="0"/>
    </xf>
    <xf borderId="12" fillId="3" fontId="11" numFmtId="0" xfId="0" applyAlignment="1" applyBorder="1" applyFont="1">
      <alignment horizontal="center" shrinkToFit="1" wrapText="0"/>
    </xf>
    <xf borderId="30" fillId="3" fontId="13" numFmtId="167" xfId="0" applyAlignment="1" applyBorder="1" applyFont="1" applyNumberFormat="1">
      <alignment shrinkToFit="1" wrapText="0"/>
    </xf>
    <xf borderId="0" fillId="0" fontId="11" numFmtId="0" xfId="0" applyAlignment="1" applyFont="1">
      <alignment shrinkToFit="1" wrapText="0"/>
    </xf>
    <xf borderId="0" fillId="0" fontId="11" numFmtId="168" xfId="0" applyAlignment="1" applyFont="1" applyNumberFormat="1">
      <alignment shrinkToFit="1" wrapText="0"/>
    </xf>
    <xf borderId="30" fillId="3" fontId="13" numFmtId="0" xfId="0" applyAlignment="1" applyBorder="1" applyFont="1">
      <alignment shrinkToFit="1" wrapText="0"/>
    </xf>
    <xf borderId="12" fillId="3" fontId="14" numFmtId="0" xfId="0" applyAlignment="1" applyBorder="1" applyFont="1">
      <alignment shrinkToFit="1" wrapText="0"/>
    </xf>
    <xf borderId="30" fillId="3" fontId="11" numFmtId="167" xfId="0" applyAlignment="1" applyBorder="1" applyFont="1" applyNumberFormat="1">
      <alignment shrinkToFit="1" wrapText="0"/>
    </xf>
    <xf borderId="12" fillId="0" fontId="15" numFmtId="0" xfId="0" applyAlignment="1" applyBorder="1" applyFont="1">
      <alignment horizontal="center" shrinkToFit="1" vertical="center" wrapText="0"/>
    </xf>
    <xf borderId="12" fillId="0" fontId="15" numFmtId="166" xfId="0" applyAlignment="1" applyBorder="1" applyFont="1" applyNumberFormat="1">
      <alignment horizontal="center" shrinkToFit="1" vertical="center" wrapText="0"/>
    </xf>
    <xf borderId="12" fillId="0" fontId="16" numFmtId="167" xfId="0" applyAlignment="1" applyBorder="1" applyFont="1" applyNumberFormat="1">
      <alignment horizontal="center" shrinkToFit="1" wrapText="0"/>
    </xf>
    <xf borderId="12" fillId="4" fontId="12" numFmtId="0" xfId="0" applyAlignment="1" applyBorder="1" applyFill="1" applyFont="1">
      <alignment horizontal="center" shrinkToFit="1" vertical="center" wrapText="0"/>
    </xf>
    <xf borderId="12" fillId="4" fontId="12" numFmtId="166" xfId="0" applyAlignment="1" applyBorder="1" applyFont="1" applyNumberFormat="1">
      <alignment horizontal="center" shrinkToFit="1" vertical="center" wrapText="0"/>
    </xf>
    <xf borderId="12" fillId="4" fontId="8" numFmtId="167" xfId="0" applyAlignment="1" applyBorder="1" applyFont="1" applyNumberFormat="1">
      <alignment horizontal="center" shrinkToFit="1" wrapText="0"/>
    </xf>
    <xf borderId="31" fillId="0" fontId="8" numFmtId="0" xfId="0" applyAlignment="1" applyBorder="1" applyFont="1">
      <alignment shrinkToFit="1" wrapText="0"/>
    </xf>
    <xf borderId="32" fillId="3" fontId="11" numFmtId="0" xfId="0" applyAlignment="1" applyBorder="1" applyFont="1">
      <alignment shrinkToFit="1" wrapText="0"/>
    </xf>
    <xf borderId="31" fillId="0" fontId="3" numFmtId="0" xfId="0" applyAlignment="1" applyBorder="1" applyFont="1">
      <alignment shrinkToFit="1" wrapText="0"/>
    </xf>
    <xf borderId="31" fillId="0" fontId="3" numFmtId="168" xfId="0" applyAlignment="1" applyBorder="1" applyFont="1" applyNumberFormat="1">
      <alignment shrinkToFit="1" wrapText="0"/>
    </xf>
    <xf borderId="12" fillId="0" fontId="3" numFmtId="0" xfId="0" applyAlignment="1" applyBorder="1" applyFont="1">
      <alignment horizontal="left" shrinkToFit="1" wrapText="0"/>
    </xf>
    <xf borderId="0" fillId="0" fontId="3" numFmtId="167" xfId="0" applyAlignment="1" applyFont="1" applyNumberFormat="1">
      <alignment shrinkToFit="1" wrapText="0"/>
    </xf>
    <xf borderId="0" fillId="0" fontId="3" numFmtId="168" xfId="0" applyAlignment="1" applyFont="1" applyNumberFormat="1">
      <alignment shrinkToFit="1" wrapText="0"/>
    </xf>
    <xf borderId="33" fillId="0" fontId="3" numFmtId="0" xfId="0" applyAlignment="1" applyBorder="1" applyFont="1">
      <alignment shrinkToFit="1" wrapText="0"/>
    </xf>
    <xf borderId="3" fillId="0" fontId="8" numFmtId="0" xfId="0" applyAlignment="1" applyBorder="1" applyFont="1">
      <alignment horizontal="center" shrinkToFit="1" wrapText="0"/>
    </xf>
    <xf borderId="3" fillId="0" fontId="8" numFmtId="0" xfId="0" applyAlignment="1" applyBorder="1" applyFont="1">
      <alignment horizontal="left" shrinkToFit="1" wrapText="0"/>
    </xf>
    <xf borderId="4" fillId="0" fontId="8" numFmtId="0" xfId="0" applyAlignment="1" applyBorder="1" applyFont="1">
      <alignment horizontal="center" shrinkToFit="1" wrapText="0"/>
    </xf>
    <xf borderId="6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center" shrinkToFit="1" vertical="center" wrapText="0"/>
    </xf>
    <xf borderId="20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horizontal="left" shrinkToFit="1" wrapText="0"/>
    </xf>
    <xf borderId="34" fillId="0" fontId="2" numFmtId="167" xfId="0" applyAlignment="1" applyBorder="1" applyFont="1" applyNumberFormat="1">
      <alignment horizontal="center" shrinkToFit="1" wrapText="0"/>
    </xf>
    <xf borderId="30" fillId="3" fontId="17" numFmtId="0" xfId="0" applyAlignment="1" applyBorder="1" applyFont="1">
      <alignment horizontal="left" shrinkToFit="1" vertical="center" wrapText="0"/>
    </xf>
    <xf borderId="25" fillId="0" fontId="3" numFmtId="0" xfId="0" applyAlignment="1" applyBorder="1" applyFont="1">
      <alignment horizontal="left" shrinkToFit="1" wrapText="0"/>
    </xf>
    <xf borderId="35" fillId="0" fontId="11" numFmtId="0" xfId="0" applyAlignment="1" applyBorder="1" applyFont="1">
      <alignment horizontal="center" shrinkToFit="1" wrapText="0"/>
    </xf>
    <xf borderId="7" fillId="0" fontId="8" numFmtId="14" xfId="0" applyAlignment="1" applyBorder="1" applyFont="1" applyNumberFormat="1">
      <alignment shrinkToFit="1" wrapText="0"/>
    </xf>
    <xf borderId="12" fillId="0" fontId="8" numFmtId="2" xfId="0" applyAlignment="1" applyBorder="1" applyFont="1" applyNumberFormat="1">
      <alignment horizontal="left" shrinkToFit="1" wrapText="0"/>
    </xf>
    <xf borderId="36" fillId="0" fontId="8" numFmtId="0" xfId="0" applyAlignment="1" applyBorder="1" applyFont="1">
      <alignment horizontal="center" shrinkToFit="1" wrapText="0"/>
    </xf>
    <xf borderId="34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left" shrinkToFit="1" vertical="center" wrapText="0"/>
    </xf>
    <xf borderId="37" fillId="0" fontId="11" numFmtId="0" xfId="0" applyAlignment="1" applyBorder="1" applyFont="1">
      <alignment horizontal="center" shrinkToFit="1" wrapText="0"/>
    </xf>
    <xf borderId="13" fillId="0" fontId="8" numFmtId="0" xfId="0" applyAlignment="1" applyBorder="1" applyFont="1">
      <alignment horizontal="left" shrinkToFit="1" wrapText="0"/>
    </xf>
    <xf borderId="30" fillId="5" fontId="11" numFmtId="0" xfId="0" applyAlignment="1" applyBorder="1" applyFill="1" applyFont="1">
      <alignment horizontal="left" shrinkToFit="1" wrapText="0"/>
    </xf>
    <xf borderId="38" fillId="0" fontId="8" numFmtId="0" xfId="0" applyAlignment="1" applyBorder="1" applyFont="1">
      <alignment horizontal="center" shrinkToFit="1" wrapText="0"/>
    </xf>
    <xf borderId="39" fillId="0" fontId="8" numFmtId="0" xfId="0" applyAlignment="1" applyBorder="1" applyFont="1">
      <alignment horizontal="center" shrinkToFit="1" wrapText="0"/>
    </xf>
    <xf borderId="34" fillId="0" fontId="2" numFmtId="0" xfId="0" applyAlignment="1" applyBorder="1" applyFont="1">
      <alignment horizontal="center" shrinkToFit="1" wrapText="0"/>
    </xf>
    <xf borderId="0" fillId="0" fontId="18" numFmtId="0" xfId="0" applyAlignment="1" applyFont="1">
      <alignment shrinkToFit="1" wrapText="0"/>
    </xf>
    <xf borderId="33" fillId="0" fontId="11" numFmtId="0" xfId="0" applyAlignment="1" applyBorder="1" applyFont="1">
      <alignment shrinkToFit="1" wrapText="0"/>
    </xf>
    <xf borderId="3" fillId="0" fontId="8" numFmtId="0" xfId="0" applyAlignment="1" applyBorder="1" applyFont="1">
      <alignment horizontal="left" shrinkToFit="1" vertical="center" wrapText="0"/>
    </xf>
    <xf borderId="35" fillId="0" fontId="8" numFmtId="0" xfId="0" applyAlignment="1" applyBorder="1" applyFont="1">
      <alignment horizontal="center" shrinkToFit="1" wrapText="0"/>
    </xf>
    <xf borderId="8" fillId="0" fontId="8" numFmtId="164" xfId="0" applyAlignment="1" applyBorder="1" applyFont="1" applyNumberFormat="1">
      <alignment horizontal="center" shrinkToFit="1" wrapText="0"/>
    </xf>
    <xf borderId="8" fillId="0" fontId="8" numFmtId="167" xfId="0" applyAlignment="1" applyBorder="1" applyFont="1" applyNumberFormat="1">
      <alignment horizontal="center" shrinkToFit="1" wrapText="0"/>
    </xf>
    <xf borderId="8" fillId="0" fontId="8" numFmtId="0" xfId="0" applyAlignment="1" applyBorder="1" applyFont="1">
      <alignment horizontal="center" shrinkToFit="1" wrapText="0"/>
    </xf>
    <xf borderId="8" fillId="0" fontId="8" numFmtId="0" xfId="0" applyAlignment="1" applyBorder="1" applyFont="1">
      <alignment horizontal="left" shrinkToFit="1" wrapText="0"/>
    </xf>
    <xf borderId="11" fillId="0" fontId="8" numFmtId="164" xfId="0" applyAlignment="1" applyBorder="1" applyFont="1" applyNumberFormat="1">
      <alignment horizontal="center" shrinkToFit="1" wrapText="0"/>
    </xf>
    <xf borderId="40" fillId="0" fontId="8" numFmtId="0" xfId="0" applyAlignment="1" applyBorder="1" applyFont="1">
      <alignment horizontal="center" shrinkToFit="1" wrapText="0"/>
    </xf>
    <xf borderId="39" fillId="0" fontId="8" numFmtId="9" xfId="0" applyAlignment="1" applyBorder="1" applyFont="1" applyNumberFormat="1">
      <alignment horizontal="center" shrinkToFit="1" wrapText="0"/>
    </xf>
    <xf borderId="39" fillId="0" fontId="8" numFmtId="10" xfId="0" applyAlignment="1" applyBorder="1" applyFont="1" applyNumberFormat="1">
      <alignment horizontal="center" shrinkToFit="1" wrapText="0"/>
    </xf>
    <xf borderId="39" fillId="0" fontId="8" numFmtId="9" xfId="0" applyAlignment="1" applyBorder="1" applyFont="1" applyNumberFormat="1">
      <alignment horizontal="left" shrinkToFit="1" wrapText="0"/>
    </xf>
    <xf borderId="18" fillId="0" fontId="8" numFmtId="10" xfId="0" applyAlignment="1" applyBorder="1" applyFont="1" applyNumberFormat="1">
      <alignment horizontal="center" shrinkToFit="1" wrapText="0"/>
    </xf>
    <xf borderId="41" fillId="0" fontId="8" numFmtId="0" xfId="0" applyAlignment="1" applyBorder="1" applyFont="1">
      <alignment horizontal="center" shrinkToFit="1" wrapText="0"/>
    </xf>
    <xf borderId="0" fillId="0" fontId="11" numFmtId="0" xfId="0" applyAlignment="1" applyFont="1">
      <alignment horizontal="center" shrinkToFit="1" wrapText="0"/>
    </xf>
    <xf borderId="0" fillId="0" fontId="11" numFmtId="9" xfId="0" applyAlignment="1" applyFont="1" applyNumberFormat="1">
      <alignment horizontal="center" shrinkToFit="1" wrapText="0"/>
    </xf>
    <xf borderId="0" fillId="0" fontId="11" numFmtId="9" xfId="0" applyAlignment="1" applyFont="1" applyNumberFormat="1">
      <alignment horizontal="left" shrinkToFit="1" wrapText="0"/>
    </xf>
    <xf borderId="42" fillId="0" fontId="11" numFmtId="9" xfId="0" applyAlignment="1" applyBorder="1" applyFont="1" applyNumberFormat="1">
      <alignment horizontal="center" shrinkToFit="1" wrapText="0"/>
    </xf>
    <xf borderId="19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shrinkToFit="1" wrapText="0"/>
    </xf>
    <xf borderId="20" fillId="0" fontId="8" numFmtId="167" xfId="0" applyAlignment="1" applyBorder="1" applyFont="1" applyNumberFormat="1">
      <alignment horizontal="left" shrinkToFit="1" wrapText="0"/>
    </xf>
    <xf borderId="43" fillId="0" fontId="3" numFmtId="0" xfId="0" applyAlignment="1" applyBorder="1" applyFont="1">
      <alignment shrinkToFit="1" wrapText="0"/>
    </xf>
    <xf borderId="30" fillId="3" fontId="19" numFmtId="0" xfId="0" applyAlignment="1" applyBorder="1" applyFont="1">
      <alignment horizontal="left" shrinkToFit="1" wrapText="0"/>
    </xf>
    <xf borderId="41" fillId="0" fontId="3" numFmtId="0" xfId="0" applyAlignment="1" applyBorder="1" applyFont="1">
      <alignment shrinkToFit="1" wrapText="0"/>
    </xf>
    <xf borderId="0" fillId="0" fontId="8" numFmtId="9" xfId="0" applyAlignment="1" applyFont="1" applyNumberFormat="1">
      <alignment horizontal="left" shrinkToFit="1" wrapText="0"/>
    </xf>
    <xf borderId="42" fillId="0" fontId="3" numFmtId="0" xfId="0" applyAlignment="1" applyBorder="1" applyFont="1">
      <alignment shrinkToFit="1" wrapText="0"/>
    </xf>
    <xf borderId="41" fillId="0" fontId="11" numFmtId="0" xfId="0" applyAlignment="1" applyBorder="1" applyFont="1">
      <alignment shrinkToFit="1" wrapText="0"/>
    </xf>
    <xf borderId="0" fillId="0" fontId="11" numFmtId="0" xfId="0" applyAlignment="1" applyFont="1">
      <alignment horizontal="left" shrinkToFit="1" wrapText="0"/>
    </xf>
    <xf borderId="42" fillId="0" fontId="11" numFmtId="0" xfId="0" applyAlignment="1" applyBorder="1" applyFont="1">
      <alignment shrinkToFit="1" wrapText="0"/>
    </xf>
    <xf borderId="30" fillId="5" fontId="3" numFmtId="0" xfId="0" applyAlignment="1" applyBorder="1" applyFont="1">
      <alignment horizontal="left" shrinkToFit="1" wrapText="0"/>
    </xf>
    <xf borderId="44" fillId="0" fontId="3" numFmtId="0" xfId="0" applyAlignment="1" applyBorder="1" applyFont="1">
      <alignment shrinkToFit="1" wrapText="0"/>
    </xf>
    <xf borderId="0" fillId="0" fontId="20" numFmtId="0" xfId="0" applyAlignment="1" applyFont="1">
      <alignment shrinkToFit="1" wrapText="0"/>
    </xf>
    <xf borderId="0" fillId="0" fontId="20" numFmtId="0" xfId="0" applyAlignment="1" applyFont="1">
      <alignment horizontal="left" shrinkToFit="1" wrapText="0"/>
    </xf>
    <xf borderId="0" fillId="0" fontId="21" numFmtId="0" xfId="0" applyAlignment="1" applyFont="1">
      <alignment horizontal="center" shrinkToFit="1" wrapText="0"/>
    </xf>
    <xf borderId="0" fillId="0" fontId="22" numFmtId="0" xfId="0" applyAlignment="1" applyFont="1">
      <alignment shrinkToFit="1" wrapText="0"/>
    </xf>
    <xf borderId="0" fillId="0" fontId="20" numFmtId="14" xfId="0" applyAlignment="1" applyFont="1" applyNumberFormat="1">
      <alignment shrinkToFit="1" wrapText="0"/>
    </xf>
    <xf borderId="45" fillId="0" fontId="20" numFmtId="0" xfId="0" applyAlignment="1" applyBorder="1" applyFont="1">
      <alignment shrinkToFit="1" wrapText="0"/>
    </xf>
    <xf borderId="45" fillId="0" fontId="20" numFmtId="0" xfId="0" applyAlignment="1" applyBorder="1" applyFont="1">
      <alignment horizontal="left" shrinkToFit="1" wrapText="0"/>
    </xf>
    <xf borderId="46" fillId="0" fontId="20" numFmtId="0" xfId="0" applyAlignment="1" applyBorder="1" applyFont="1">
      <alignment horizontal="center" shrinkToFit="1" vertical="center" wrapText="0"/>
    </xf>
    <xf borderId="47" fillId="0" fontId="9" numFmtId="0" xfId="0" applyBorder="1" applyFont="1"/>
    <xf borderId="7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shrinkToFit="1" vertical="center" wrapText="0"/>
    </xf>
    <xf borderId="36" fillId="0" fontId="20" numFmtId="0" xfId="0" applyAlignment="1" applyBorder="1" applyFont="1">
      <alignment horizontal="center" shrinkToFit="1" vertical="top" wrapText="0"/>
    </xf>
    <xf borderId="45" fillId="0" fontId="9" numFmtId="0" xfId="0" applyBorder="1" applyFont="1"/>
    <xf borderId="38" fillId="0" fontId="20" numFmtId="0" xfId="0" applyAlignment="1" applyBorder="1" applyFont="1">
      <alignment horizontal="center" shrinkToFit="1" vertical="center" wrapText="0"/>
    </xf>
    <xf borderId="48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horizontal="center" shrinkToFit="1" wrapText="0"/>
    </xf>
    <xf borderId="7" fillId="0" fontId="20" numFmtId="10" xfId="0" applyAlignment="1" applyBorder="1" applyFont="1" applyNumberFormat="1">
      <alignment horizontal="center" shrinkToFit="1" wrapText="0"/>
    </xf>
    <xf borderId="7" fillId="0" fontId="20" numFmtId="164" xfId="0" applyAlignment="1" applyBorder="1" applyFont="1" applyNumberFormat="1">
      <alignment shrinkToFit="1" wrapText="0"/>
    </xf>
    <xf borderId="12" fillId="0" fontId="20" numFmtId="1" xfId="0" applyAlignment="1" applyBorder="1" applyFont="1" applyNumberFormat="1">
      <alignment shrinkToFit="1" wrapText="0"/>
    </xf>
    <xf borderId="12" fillId="0" fontId="20" numFmtId="169" xfId="0" applyAlignment="1" applyBorder="1" applyFont="1" applyNumberFormat="1">
      <alignment horizontal="center" shrinkToFit="1" wrapText="0"/>
    </xf>
    <xf borderId="0" fillId="0" fontId="23" numFmtId="170" xfId="0" applyAlignment="1" applyFont="1" applyNumberFormat="1">
      <alignment shrinkToFit="1" wrapText="0"/>
    </xf>
    <xf borderId="12" fillId="0" fontId="20" numFmtId="0" xfId="0" applyAlignment="1" applyBorder="1" applyFont="1">
      <alignment horizontal="center" shrinkToFit="1" wrapText="0"/>
    </xf>
    <xf borderId="12" fillId="0" fontId="20" numFmtId="10" xfId="0" applyAlignment="1" applyBorder="1" applyFont="1" applyNumberFormat="1">
      <alignment horizontal="center" shrinkToFit="1" wrapText="0"/>
    </xf>
    <xf borderId="12" fillId="0" fontId="20" numFmtId="164" xfId="0" applyAlignment="1" applyBorder="1" applyFont="1" applyNumberFormat="1">
      <alignment shrinkToFit="1" wrapText="0"/>
    </xf>
    <xf borderId="41" fillId="0" fontId="20" numFmtId="0" xfId="0" applyAlignment="1" applyBorder="1" applyFont="1">
      <alignment horizontal="center" shrinkToFit="1" wrapText="0"/>
    </xf>
    <xf borderId="49" fillId="6" fontId="20" numFmtId="0" xfId="0" applyAlignment="1" applyBorder="1" applyFill="1" applyFont="1">
      <alignment shrinkToFit="1" wrapText="0"/>
    </xf>
    <xf borderId="50" fillId="0" fontId="20" numFmtId="0" xfId="0" applyAlignment="1" applyBorder="1" applyFont="1">
      <alignment horizontal="right" shrinkToFit="1" wrapText="0"/>
    </xf>
    <xf borderId="51" fillId="0" fontId="9" numFmtId="0" xfId="0" applyBorder="1" applyFont="1"/>
    <xf borderId="52" fillId="0" fontId="21" numFmtId="164" xfId="0" applyAlignment="1" applyBorder="1" applyFont="1" applyNumberFormat="1">
      <alignment shrinkToFit="1" wrapText="0"/>
    </xf>
    <xf borderId="0" fillId="0" fontId="21" numFmtId="164" xfId="0" applyAlignment="1" applyFont="1" applyNumberFormat="1">
      <alignment shrinkToFit="1" wrapText="0"/>
    </xf>
    <xf borderId="53" fillId="0" fontId="21" numFmtId="0" xfId="0" applyAlignment="1" applyBorder="1" applyFont="1">
      <alignment shrinkToFit="1" wrapText="0"/>
    </xf>
    <xf borderId="38" fillId="0" fontId="21" numFmtId="169" xfId="0" applyAlignment="1" applyBorder="1" applyFont="1" applyNumberFormat="1">
      <alignment horizontal="center" shrinkToFit="1" wrapText="0"/>
    </xf>
    <xf borderId="0" fillId="0" fontId="21" numFmtId="170" xfId="0" applyAlignment="1" applyFont="1" applyNumberFormat="1">
      <alignment shrinkToFit="1" wrapText="0"/>
    </xf>
    <xf borderId="46" fillId="0" fontId="20" numFmtId="0" xfId="0" applyAlignment="1" applyBorder="1" applyFont="1">
      <alignment shrinkToFit="1" wrapText="0"/>
    </xf>
    <xf borderId="47" fillId="0" fontId="20" numFmtId="0" xfId="0" applyAlignment="1" applyBorder="1" applyFont="1">
      <alignment shrinkToFit="1" wrapText="0"/>
    </xf>
    <xf borderId="36" fillId="0" fontId="20" numFmtId="0" xfId="0" applyAlignment="1" applyBorder="1" applyFont="1">
      <alignment shrinkToFit="1" wrapText="0"/>
    </xf>
    <xf borderId="7" fillId="0" fontId="20" numFmtId="0" xfId="0" applyAlignment="1" applyBorder="1" applyFont="1">
      <alignment shrinkToFit="1" wrapText="0"/>
    </xf>
    <xf borderId="12" fillId="0" fontId="20" numFmtId="0" xfId="0" applyAlignment="1" applyBorder="1" applyFont="1">
      <alignment shrinkToFit="1" wrapText="0"/>
    </xf>
    <xf borderId="13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left" shrinkToFit="1" wrapText="0"/>
    </xf>
    <xf borderId="53" fillId="0" fontId="21" numFmtId="0" xfId="0" applyAlignment="1" applyBorder="1" applyFont="1">
      <alignment horizontal="center" shrinkToFit="1" wrapText="0"/>
    </xf>
    <xf borderId="12" fillId="6" fontId="20" numFmtId="0" xfId="0" applyAlignment="1" applyBorder="1" applyFont="1">
      <alignment horizontal="center" shrinkToFit="1" wrapText="0"/>
    </xf>
    <xf borderId="12" fillId="2" fontId="20" numFmtId="0" xfId="0" applyAlignment="1" applyBorder="1" applyFont="1">
      <alignment horizontal="center" shrinkToFit="1" vertical="center" wrapText="0"/>
    </xf>
    <xf borderId="12" fillId="4" fontId="20" numFmtId="0" xfId="0" applyAlignment="1" applyBorder="1" applyFont="1">
      <alignment horizontal="center" shrinkToFit="1" vertical="center" wrapText="0"/>
    </xf>
    <xf borderId="12" fillId="4" fontId="20" numFmtId="166" xfId="0" applyAlignment="1" applyBorder="1" applyFont="1" applyNumberFormat="1">
      <alignment horizontal="center" shrinkToFit="1" vertical="center" wrapText="0"/>
    </xf>
    <xf borderId="12" fillId="4" fontId="20" numFmtId="167" xfId="0" applyAlignment="1" applyBorder="1" applyFont="1" applyNumberFormat="1">
      <alignment horizontal="center" shrinkToFit="1" wrapText="0"/>
    </xf>
    <xf borderId="30" fillId="6" fontId="20" numFmtId="0" xfId="0" applyAlignment="1" applyBorder="1" applyFont="1">
      <alignment shrinkToFit="1" wrapText="0"/>
    </xf>
    <xf borderId="12" fillId="6" fontId="20" numFmtId="0" xfId="0" applyAlignment="1" applyBorder="1" applyFont="1">
      <alignment shrinkToFit="1" wrapText="0"/>
    </xf>
    <xf borderId="32" fillId="6" fontId="20" numFmtId="171" xfId="0" applyAlignment="1" applyBorder="1" applyFont="1" applyNumberFormat="1">
      <alignment horizontal="center" shrinkToFit="1" vertical="center" wrapText="0"/>
    </xf>
    <xf borderId="12" fillId="6" fontId="20" numFmtId="168" xfId="0" applyAlignment="1" applyBorder="1" applyFont="1" applyNumberFormat="1">
      <alignment shrinkToFit="1" wrapText="0"/>
    </xf>
    <xf borderId="30" fillId="6" fontId="20" numFmtId="167" xfId="0" applyAlignment="1" applyBorder="1" applyFont="1" applyNumberFormat="1">
      <alignment shrinkToFit="1" wrapText="0"/>
    </xf>
    <xf borderId="12" fillId="0" fontId="20" numFmtId="0" xfId="0" applyAlignment="1" applyBorder="1" applyFont="1">
      <alignment horizontal="center" shrinkToFit="1" vertical="center" wrapText="0"/>
    </xf>
    <xf borderId="12" fillId="0" fontId="20" numFmtId="166" xfId="0" applyAlignment="1" applyBorder="1" applyFont="1" applyNumberFormat="1">
      <alignment horizontal="center" shrinkToFit="1" vertical="center" wrapText="0"/>
    </xf>
    <xf borderId="12" fillId="6" fontId="20" numFmtId="167" xfId="0" applyAlignment="1" applyBorder="1" applyFont="1" applyNumberFormat="1">
      <alignment horizontal="center" shrinkToFit="1" wrapText="0"/>
    </xf>
    <xf borderId="12" fillId="0" fontId="20" numFmtId="167" xfId="0" applyAlignment="1" applyBorder="1" applyFont="1" applyNumberFormat="1">
      <alignment horizontal="center" shrinkToFit="1" wrapText="0"/>
    </xf>
    <xf borderId="49" fillId="6" fontId="20" numFmtId="0" xfId="0" applyAlignment="1" applyBorder="1" applyFont="1">
      <alignment horizontal="center" shrinkToFit="1" wrapText="0"/>
    </xf>
    <xf borderId="30" fillId="6" fontId="20" numFmtId="0" xfId="0" applyAlignment="1" applyBorder="1" applyFont="1">
      <alignment horizontal="center" shrinkToFit="1" wrapText="0"/>
    </xf>
    <xf borderId="50" fillId="0" fontId="20" numFmtId="0" xfId="0" applyAlignment="1" applyBorder="1" applyFont="1">
      <alignment shrinkToFit="1" wrapText="0"/>
    </xf>
    <xf borderId="50" fillId="0" fontId="20" numFmtId="0" xfId="0" applyAlignment="1" applyBorder="1" applyFont="1">
      <alignment horizontal="center" shrinkToFit="1" wrapText="0"/>
    </xf>
    <xf borderId="12" fillId="7" fontId="20" numFmtId="0" xfId="0" applyAlignment="1" applyBorder="1" applyFill="1" applyFont="1">
      <alignment horizontal="center" shrinkToFit="1" vertical="center" wrapText="0"/>
    </xf>
    <xf borderId="12" fillId="8" fontId="20" numFmtId="0" xfId="0" applyAlignment="1" applyBorder="1" applyFill="1" applyFont="1">
      <alignment horizontal="center" shrinkToFit="1" vertical="center" wrapText="0"/>
    </xf>
    <xf borderId="12" fillId="8" fontId="20" numFmtId="166" xfId="0" applyAlignment="1" applyBorder="1" applyFont="1" applyNumberFormat="1">
      <alignment horizontal="center" shrinkToFit="1" vertical="center" wrapText="0"/>
    </xf>
    <xf borderId="12" fillId="8" fontId="20" numFmtId="167" xfId="0" applyAlignment="1" applyBorder="1" applyFont="1" applyNumberFormat="1">
      <alignment horizontal="center" shrinkToFit="1" wrapText="0"/>
    </xf>
    <xf borderId="12" fillId="0" fontId="21" numFmtId="167" xfId="0" applyAlignment="1" applyBorder="1" applyFont="1" applyNumberFormat="1">
      <alignment horizontal="center" shrinkToFit="1" wrapText="0"/>
    </xf>
    <xf borderId="0" fillId="0" fontId="21" numFmtId="167" xfId="0" applyAlignment="1" applyFont="1" applyNumberFormat="1">
      <alignment horizontal="center" shrinkToFit="1" wrapText="0"/>
    </xf>
    <xf borderId="12" fillId="0" fontId="21" numFmtId="0" xfId="0" applyAlignment="1" applyBorder="1" applyFont="1">
      <alignment shrinkToFit="1" wrapText="0"/>
    </xf>
    <xf borderId="12" fillId="0" fontId="21" numFmtId="0" xfId="0" applyAlignment="1" applyBorder="1" applyFont="1">
      <alignment horizontal="left" shrinkToFit="1" wrapText="0"/>
    </xf>
    <xf borderId="12" fillId="0" fontId="21" numFmtId="0" xfId="0" applyAlignment="1" applyBorder="1" applyFont="1">
      <alignment horizontal="center" shrinkToFit="1" wrapText="0"/>
    </xf>
    <xf borderId="12" fillId="0" fontId="21" numFmtId="167" xfId="0" applyAlignment="1" applyBorder="1" applyFont="1" applyNumberFormat="1">
      <alignment shrinkToFit="1" wrapText="0"/>
    </xf>
    <xf borderId="0" fillId="0" fontId="21" numFmtId="0" xfId="0" applyAlignment="1" applyFont="1">
      <alignment shrinkToFit="1" wrapText="0"/>
    </xf>
    <xf borderId="0" fillId="0" fontId="21" numFmtId="168" xfId="0" applyAlignment="1" applyFont="1" applyNumberFormat="1">
      <alignment shrinkToFit="1" wrapText="0"/>
    </xf>
    <xf borderId="0" fillId="0" fontId="23" numFmtId="167" xfId="0" applyAlignment="1" applyFont="1" applyNumberFormat="1">
      <alignment shrinkToFit="1" wrapText="0"/>
    </xf>
    <xf borderId="0" fillId="0" fontId="24" numFmtId="0" xfId="0" applyAlignment="1" applyFont="1">
      <alignment shrinkToFit="1" wrapText="0"/>
    </xf>
    <xf borderId="0" fillId="0" fontId="23" numFmtId="164" xfId="0" applyAlignment="1" applyFont="1" applyNumberFormat="1">
      <alignment shrinkToFit="1" wrapText="0"/>
    </xf>
    <xf borderId="31" fillId="0" fontId="21" numFmtId="167" xfId="0" applyAlignment="1" applyBorder="1" applyFont="1" applyNumberFormat="1">
      <alignment shrinkToFit="1" wrapText="0"/>
    </xf>
    <xf borderId="54" fillId="6" fontId="20" numFmtId="0" xfId="0" applyAlignment="1" applyBorder="1" applyFont="1">
      <alignment horizontal="center" shrinkToFit="1" vertical="center" wrapText="0"/>
    </xf>
    <xf borderId="54" fillId="6" fontId="20" numFmtId="166" xfId="0" applyAlignment="1" applyBorder="1" applyFont="1" applyNumberFormat="1">
      <alignment horizontal="center" shrinkToFit="1" vertical="center" wrapText="0"/>
    </xf>
    <xf borderId="7" fillId="0" fontId="20" numFmtId="167" xfId="0" applyAlignment="1" applyBorder="1" applyFont="1" applyNumberFormat="1">
      <alignment horizontal="center" shrinkToFit="1" wrapText="0"/>
    </xf>
    <xf borderId="12" fillId="6" fontId="20" numFmtId="0" xfId="0" applyAlignment="1" applyBorder="1" applyFont="1">
      <alignment horizontal="center" shrinkToFit="1" vertical="center" wrapText="0"/>
    </xf>
    <xf borderId="12" fillId="6" fontId="20" numFmtId="166" xfId="0" applyAlignment="1" applyBorder="1" applyFont="1" applyNumberFormat="1">
      <alignment horizontal="center" shrinkToFit="1" vertical="center" wrapText="0"/>
    </xf>
    <xf borderId="0" fillId="0" fontId="20" numFmtId="0" xfId="0" applyAlignment="1" applyFont="1">
      <alignment horizontal="center" shrinkToFit="1" vertical="center" wrapText="0"/>
    </xf>
    <xf borderId="0" fillId="0" fontId="20" numFmtId="0" xfId="0" applyAlignment="1" applyFont="1">
      <alignment horizontal="center" shrinkToFit="1" wrapText="0"/>
    </xf>
    <xf borderId="55" fillId="6" fontId="20" numFmtId="0" xfId="0" applyAlignment="1" applyBorder="1" applyFont="1">
      <alignment horizontal="center" shrinkToFit="1" vertical="center" wrapText="0"/>
    </xf>
    <xf borderId="55" fillId="6" fontId="20" numFmtId="166" xfId="0" applyAlignment="1" applyBorder="1" applyFont="1" applyNumberFormat="1">
      <alignment horizontal="center" shrinkToFit="1" vertical="center" wrapText="0"/>
    </xf>
    <xf borderId="13" fillId="0" fontId="20" numFmtId="0" xfId="0" applyAlignment="1" applyBorder="1" applyFont="1">
      <alignment horizontal="center" shrinkToFit="1" wrapText="0"/>
    </xf>
    <xf borderId="14" fillId="0" fontId="20" numFmtId="167" xfId="0" applyAlignment="1" applyBorder="1" applyFont="1" applyNumberFormat="1">
      <alignment horizontal="center" shrinkToFit="1" wrapText="0"/>
    </xf>
    <xf borderId="38" fillId="0" fontId="21" numFmtId="167" xfId="0" applyAlignment="1" applyBorder="1" applyFont="1" applyNumberFormat="1">
      <alignment horizontal="center" shrinkToFit="1" wrapText="0"/>
    </xf>
    <xf borderId="0" fillId="0" fontId="20" numFmtId="0" xfId="0" applyAlignment="1" applyFont="1">
      <alignment horizontal="left" shrinkToFit="1" vertical="center" wrapText="0"/>
    </xf>
    <xf borderId="14" fillId="0" fontId="20" numFmtId="0" xfId="0" applyAlignment="1" applyBorder="1" applyFont="1">
      <alignment horizontal="center" shrinkToFit="1" vertical="top" wrapText="0"/>
    </xf>
    <xf borderId="54" fillId="2" fontId="20" numFmtId="0" xfId="0" applyAlignment="1" applyBorder="1" applyFont="1">
      <alignment horizontal="center" shrinkToFit="1" vertical="center" wrapText="0"/>
    </xf>
    <xf borderId="12" fillId="0" fontId="20" numFmtId="2" xfId="0" applyAlignment="1" applyBorder="1" applyFont="1" applyNumberFormat="1">
      <alignment horizontal="center" shrinkToFit="1" wrapText="0"/>
    </xf>
    <xf borderId="22" fillId="0" fontId="21" numFmtId="0" xfId="0" applyAlignment="1" applyBorder="1" applyFont="1">
      <alignment horizontal="center" shrinkToFit="1" wrapText="0"/>
    </xf>
    <xf borderId="12" fillId="6" fontId="20" numFmtId="2" xfId="0" applyAlignment="1" applyBorder="1" applyFont="1" applyNumberFormat="1">
      <alignment horizontal="center" shrinkToFit="1" wrapText="0"/>
    </xf>
    <xf borderId="12" fillId="2" fontId="20" numFmtId="14" xfId="0" applyAlignment="1" applyBorder="1" applyFont="1" applyNumberFormat="1">
      <alignment horizontal="center" shrinkToFit="1" wrapText="0"/>
    </xf>
    <xf borderId="12" fillId="6" fontId="20" numFmtId="14" xfId="0" applyAlignment="1" applyBorder="1" applyFont="1" applyNumberFormat="1">
      <alignment horizontal="center" shrinkToFit="1" wrapText="0"/>
    </xf>
    <xf borderId="7" fillId="0" fontId="21" numFmtId="167" xfId="0" applyAlignment="1" applyBorder="1" applyFont="1" applyNumberFormat="1">
      <alignment horizontal="center" shrinkToFit="1" wrapText="0"/>
    </xf>
    <xf borderId="7" fillId="0" fontId="21" numFmtId="0" xfId="0" applyAlignment="1" applyBorder="1" applyFont="1">
      <alignment shrinkToFit="1" wrapText="0"/>
    </xf>
    <xf borderId="7" fillId="0" fontId="21" numFmtId="0" xfId="0" applyAlignment="1" applyBorder="1" applyFont="1">
      <alignment horizontal="center" shrinkToFit="1" wrapText="0"/>
    </xf>
    <xf borderId="0" fillId="0" fontId="25" numFmtId="0" xfId="0" applyAlignment="1" applyFont="1">
      <alignment shrinkToFit="1" wrapText="0"/>
    </xf>
    <xf borderId="33" fillId="0" fontId="20" numFmtId="0" xfId="0" applyAlignment="1" applyBorder="1" applyFont="1">
      <alignment shrinkToFit="1" wrapText="0"/>
    </xf>
    <xf borderId="3" fillId="0" fontId="20" numFmtId="0" xfId="0" applyAlignment="1" applyBorder="1" applyFont="1">
      <alignment horizontal="center" shrinkToFit="1" vertical="center" wrapText="0"/>
    </xf>
    <xf borderId="3" fillId="0" fontId="20" numFmtId="0" xfId="0" applyAlignment="1" applyBorder="1" applyFont="1">
      <alignment horizontal="left" shrinkToFit="1" vertical="center" wrapText="0"/>
    </xf>
    <xf borderId="6" fillId="0" fontId="20" numFmtId="0" xfId="0" applyAlignment="1" applyBorder="1" applyFont="1">
      <alignment horizontal="center" shrinkToFit="1" vertical="center" wrapText="0"/>
    </xf>
    <xf borderId="35" fillId="0" fontId="20" numFmtId="0" xfId="0" applyAlignment="1" applyBorder="1" applyFont="1">
      <alignment horizontal="center" shrinkToFit="1" wrapText="0"/>
    </xf>
    <xf borderId="8" fillId="0" fontId="20" numFmtId="168" xfId="0" applyAlignment="1" applyBorder="1" applyFont="1" applyNumberFormat="1">
      <alignment horizontal="center" shrinkToFit="1" wrapText="0"/>
    </xf>
    <xf borderId="8" fillId="0" fontId="20" numFmtId="167" xfId="0" applyAlignment="1" applyBorder="1" applyFont="1" applyNumberFormat="1">
      <alignment horizontal="center" shrinkToFit="1" wrapText="0"/>
    </xf>
    <xf borderId="8" fillId="0" fontId="20" numFmtId="0" xfId="0" applyAlignment="1" applyBorder="1" applyFont="1">
      <alignment horizontal="center" shrinkToFit="1" wrapText="0"/>
    </xf>
    <xf borderId="8" fillId="0" fontId="20" numFmtId="169" xfId="0" applyAlignment="1" applyBorder="1" applyFont="1" applyNumberFormat="1">
      <alignment horizontal="left" shrinkToFit="1" wrapText="0"/>
    </xf>
    <xf borderId="11" fillId="0" fontId="20" numFmtId="168" xfId="0" applyAlignment="1" applyBorder="1" applyFont="1" applyNumberFormat="1">
      <alignment horizontal="center" shrinkToFit="1" wrapText="0"/>
    </xf>
    <xf borderId="40" fillId="0" fontId="20" numFmtId="0" xfId="0" applyAlignment="1" applyBorder="1" applyFont="1">
      <alignment horizontal="center" shrinkToFit="1" wrapText="0"/>
    </xf>
    <xf borderId="39" fillId="0" fontId="20" numFmtId="0" xfId="0" applyAlignment="1" applyBorder="1" applyFont="1">
      <alignment horizontal="center" shrinkToFit="1" wrapText="0"/>
    </xf>
    <xf borderId="39" fillId="0" fontId="20" numFmtId="10" xfId="0" applyAlignment="1" applyBorder="1" applyFont="1" applyNumberFormat="1">
      <alignment horizontal="center" shrinkToFit="1" wrapText="0"/>
    </xf>
    <xf borderId="39" fillId="0" fontId="20" numFmtId="10" xfId="0" applyAlignment="1" applyBorder="1" applyFont="1" applyNumberFormat="1">
      <alignment horizontal="left" shrinkToFit="1" wrapText="0"/>
    </xf>
    <xf borderId="18" fillId="0" fontId="20" numFmtId="10" xfId="0" applyAlignment="1" applyBorder="1" applyFont="1" applyNumberFormat="1">
      <alignment horizontal="center" shrinkToFit="1" wrapText="0"/>
    </xf>
    <xf borderId="0" fillId="0" fontId="20" numFmtId="9" xfId="0" applyAlignment="1" applyFont="1" applyNumberFormat="1">
      <alignment horizontal="center" shrinkToFit="1" wrapText="0"/>
    </xf>
    <xf borderId="0" fillId="0" fontId="20" numFmtId="9" xfId="0" applyAlignment="1" applyFont="1" applyNumberFormat="1">
      <alignment horizontal="left" shrinkToFit="1" wrapText="0"/>
    </xf>
    <xf borderId="42" fillId="0" fontId="20" numFmtId="9" xfId="0" applyAlignment="1" applyBorder="1" applyFont="1" applyNumberFormat="1">
      <alignment horizontal="center" shrinkToFit="1" wrapText="0"/>
    </xf>
    <xf borderId="19" fillId="0" fontId="20" numFmtId="0" xfId="0" applyAlignment="1" applyBorder="1" applyFont="1">
      <alignment shrinkToFit="1" wrapText="0"/>
    </xf>
    <xf borderId="20" fillId="0" fontId="20" numFmtId="0" xfId="0" applyAlignment="1" applyBorder="1" applyFont="1">
      <alignment shrinkToFit="1" wrapText="0"/>
    </xf>
    <xf borderId="20" fillId="0" fontId="20" numFmtId="167" xfId="0" applyAlignment="1" applyBorder="1" applyFont="1" applyNumberFormat="1">
      <alignment horizontal="left" shrinkToFit="1" wrapText="0"/>
    </xf>
    <xf borderId="43" fillId="0" fontId="20" numFmtId="0" xfId="0" applyAlignment="1" applyBorder="1" applyFont="1">
      <alignment shrinkToFit="1" wrapText="0"/>
    </xf>
    <xf borderId="41" fillId="0" fontId="20" numFmtId="0" xfId="0" applyAlignment="1" applyBorder="1" applyFont="1">
      <alignment shrinkToFit="1" wrapText="0"/>
    </xf>
    <xf borderId="42" fillId="0" fontId="20" numFmtId="0" xfId="0" applyAlignment="1" applyBorder="1" applyFont="1">
      <alignment shrinkToFit="1" wrapText="0"/>
    </xf>
    <xf borderId="24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horizontal="left" shrinkToFit="1" wrapText="0"/>
    </xf>
    <xf borderId="44" fillId="0" fontId="20" numFmtId="0" xfId="0" applyAlignment="1" applyBorder="1" applyFont="1">
      <alignment shrinkToFit="1" wrapText="0"/>
    </xf>
    <xf borderId="0" fillId="0" fontId="6" numFmtId="0" xfId="0" applyAlignment="1" applyFont="1">
      <alignment horizontal="left" shrinkToFit="1" wrapText="0"/>
    </xf>
    <xf borderId="0" fillId="0" fontId="26" numFmtId="0" xfId="0" applyAlignment="1" applyFont="1">
      <alignment horizontal="center" shrinkToFit="1" wrapText="0"/>
    </xf>
    <xf borderId="50" fillId="0" fontId="20" numFmtId="0" xfId="0" applyAlignment="1" applyBorder="1" applyFont="1">
      <alignment horizontal="left" shrinkToFit="1" wrapText="0"/>
    </xf>
    <xf borderId="12" fillId="9" fontId="20" numFmtId="0" xfId="0" applyAlignment="1" applyBorder="1" applyFill="1" applyFont="1">
      <alignment horizontal="center" shrinkToFit="1" wrapText="0"/>
    </xf>
    <xf borderId="7" fillId="0" fontId="20" numFmtId="0" xfId="0" applyAlignment="1" applyBorder="1" applyFont="1">
      <alignment horizontal="left" shrinkToFit="1" vertical="center" wrapText="0"/>
    </xf>
    <xf borderId="12" fillId="0" fontId="20" numFmtId="0" xfId="0" applyAlignment="1" applyBorder="1" applyFont="1">
      <alignment horizontal="left" shrinkToFit="1" vertical="center" wrapText="0"/>
    </xf>
    <xf borderId="12" fillId="6" fontId="20" numFmtId="14" xfId="0" applyAlignment="1" applyBorder="1" applyFont="1" applyNumberFormat="1">
      <alignment horizontal="center" shrinkToFit="1" vertical="center" wrapText="0"/>
    </xf>
    <xf borderId="12" fillId="0" fontId="20" numFmtId="172" xfId="0" applyAlignment="1" applyBorder="1" applyFont="1" applyNumberFormat="1">
      <alignment shrinkToFit="1" wrapText="0"/>
    </xf>
    <xf borderId="12" fillId="10" fontId="20" numFmtId="0" xfId="0" applyAlignment="1" applyBorder="1" applyFill="1" applyFont="1">
      <alignment horizontal="center" shrinkToFit="1" vertical="center" wrapText="0"/>
    </xf>
    <xf borderId="12" fillId="10" fontId="20" numFmtId="166" xfId="0" applyAlignment="1" applyBorder="1" applyFont="1" applyNumberFormat="1">
      <alignment horizontal="center" shrinkToFit="1" vertical="center" wrapText="0"/>
    </xf>
    <xf borderId="12" fillId="9" fontId="20" numFmtId="0" xfId="0" applyAlignment="1" applyBorder="1" applyFont="1">
      <alignment horizontal="center" shrinkToFit="1" vertical="center" wrapText="0"/>
    </xf>
    <xf borderId="30" fillId="6" fontId="20" numFmtId="166" xfId="0" applyAlignment="1" applyBorder="1" applyFont="1" applyNumberFormat="1">
      <alignment shrinkToFit="1" wrapText="0"/>
    </xf>
    <xf borderId="54" fillId="11" fontId="20" numFmtId="0" xfId="0" applyAlignment="1" applyBorder="1" applyFill="1" applyFont="1">
      <alignment horizontal="center" shrinkToFit="1" vertical="center" wrapText="0"/>
    </xf>
    <xf borderId="12" fillId="11" fontId="20" numFmtId="0" xfId="0" applyAlignment="1" applyBorder="1" applyFont="1">
      <alignment horizontal="center" shrinkToFit="1" vertical="center" wrapText="0"/>
    </xf>
    <xf borderId="53" fillId="0" fontId="20" numFmtId="171" xfId="0" applyAlignment="1" applyBorder="1" applyFont="1" applyNumberFormat="1">
      <alignment horizontal="center" shrinkToFit="1" vertical="center" wrapText="0"/>
    </xf>
    <xf borderId="0" fillId="0" fontId="20" numFmtId="166" xfId="0" applyAlignment="1" applyFont="1" applyNumberFormat="1">
      <alignment shrinkToFit="1" wrapText="0"/>
    </xf>
    <xf borderId="12" fillId="0" fontId="20" numFmtId="168" xfId="0" applyAlignment="1" applyBorder="1" applyFont="1" applyNumberFormat="1">
      <alignment shrinkToFit="1" wrapText="0"/>
    </xf>
    <xf borderId="22" fillId="0" fontId="20" numFmtId="0" xfId="0" applyAlignment="1" applyBorder="1" applyFont="1">
      <alignment shrinkToFit="1" wrapText="0"/>
    </xf>
    <xf borderId="54" fillId="4" fontId="20" numFmtId="0" xfId="0" applyAlignment="1" applyBorder="1" applyFont="1">
      <alignment horizontal="center" shrinkToFit="1" vertical="center" wrapText="0"/>
    </xf>
    <xf borderId="30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horizontal="center" shrinkToFit="1" wrapText="0"/>
    </xf>
    <xf borderId="12" fillId="0" fontId="27" numFmtId="0" xfId="0" applyAlignment="1" applyBorder="1" applyFont="1">
      <alignment horizontal="center" shrinkToFit="1" vertical="center" wrapText="0"/>
    </xf>
    <xf borderId="12" fillId="0" fontId="27" numFmtId="0" xfId="0" applyAlignment="1" applyBorder="1" applyFont="1">
      <alignment horizontal="center" shrinkToFit="1" wrapText="0"/>
    </xf>
    <xf borderId="12" fillId="0" fontId="27" numFmtId="166" xfId="0" applyAlignment="1" applyBorder="1" applyFont="1" applyNumberFormat="1">
      <alignment horizontal="center" shrinkToFit="1" wrapText="0"/>
    </xf>
    <xf borderId="49" fillId="4" fontId="20" numFmtId="0" xfId="0" applyAlignment="1" applyBorder="1" applyFont="1">
      <alignment shrinkToFit="1" wrapText="0"/>
    </xf>
    <xf borderId="49" fillId="4" fontId="20" numFmtId="0" xfId="0" applyAlignment="1" applyBorder="1" applyFont="1">
      <alignment horizontal="center" shrinkToFit="1" wrapText="0"/>
    </xf>
    <xf borderId="12" fillId="10" fontId="20" numFmtId="167" xfId="0" applyAlignment="1" applyBorder="1" applyFont="1" applyNumberFormat="1">
      <alignment horizontal="center" shrinkToFit="1" wrapText="0"/>
    </xf>
    <xf borderId="30" fillId="10" fontId="20" numFmtId="0" xfId="0" applyAlignment="1" applyBorder="1" applyFont="1">
      <alignment shrinkToFit="1" wrapText="0"/>
    </xf>
    <xf borderId="49" fillId="10" fontId="20" numFmtId="0" xfId="0" applyAlignment="1" applyBorder="1" applyFont="1">
      <alignment shrinkToFit="1" wrapText="0"/>
    </xf>
    <xf borderId="49" fillId="10" fontId="20" numFmtId="0" xfId="0" applyAlignment="1" applyBorder="1" applyFont="1">
      <alignment horizontal="center" shrinkToFit="1" wrapText="0"/>
    </xf>
    <xf borderId="56" fillId="6" fontId="20" numFmtId="171" xfId="0" applyAlignment="1" applyBorder="1" applyFont="1" applyNumberFormat="1">
      <alignment horizontal="center" shrinkToFit="1" vertical="center" wrapText="0"/>
    </xf>
    <xf borderId="0" fillId="0" fontId="20" numFmtId="173" xfId="0" applyAlignment="1" applyFont="1" applyNumberFormat="1">
      <alignment shrinkToFit="1" wrapText="0"/>
    </xf>
    <xf borderId="54" fillId="2" fontId="20" numFmtId="0" xfId="0" applyAlignment="1" applyBorder="1" applyFont="1">
      <alignment horizontal="center" shrinkToFit="1" wrapText="0"/>
    </xf>
    <xf borderId="12" fillId="2" fontId="20" numFmtId="0" xfId="0" applyAlignment="1" applyBorder="1" applyFont="1">
      <alignment horizontal="center" shrinkToFit="1" wrapText="0"/>
    </xf>
    <xf borderId="12" fillId="10" fontId="20" numFmtId="0" xfId="0" applyAlignment="1" applyBorder="1" applyFont="1">
      <alignment shrinkToFit="1" wrapText="0"/>
    </xf>
    <xf borderId="12" fillId="12" fontId="20" numFmtId="0" xfId="0" applyAlignment="1" applyBorder="1" applyFill="1" applyFont="1">
      <alignment horizontal="center" shrinkToFit="1" vertical="center" wrapText="0"/>
    </xf>
    <xf borderId="30" fillId="8" fontId="20" numFmtId="0" xfId="0" applyAlignment="1" applyBorder="1" applyFont="1">
      <alignment shrinkToFit="1" wrapText="0"/>
    </xf>
    <xf borderId="49" fillId="8" fontId="20" numFmtId="0" xfId="0" applyAlignment="1" applyBorder="1" applyFont="1">
      <alignment shrinkToFit="1" wrapText="0"/>
    </xf>
    <xf borderId="49" fillId="8" fontId="20" numFmtId="0" xfId="0" applyAlignment="1" applyBorder="1" applyFont="1">
      <alignment horizontal="center" shrinkToFit="1" wrapText="0"/>
    </xf>
    <xf borderId="30" fillId="13" fontId="23" numFmtId="170" xfId="0" applyAlignment="1" applyBorder="1" applyFill="1" applyFont="1" applyNumberFormat="1">
      <alignment shrinkToFit="1" wrapText="0"/>
    </xf>
    <xf borderId="30" fillId="13" fontId="21" numFmtId="0" xfId="0" applyAlignment="1" applyBorder="1" applyFont="1">
      <alignment horizontal="center" shrinkToFit="1" wrapText="0"/>
    </xf>
    <xf borderId="30" fillId="14" fontId="20" numFmtId="0" xfId="0" applyAlignment="1" applyBorder="1" applyFill="1" applyFont="1">
      <alignment shrinkToFit="1" wrapText="0"/>
    </xf>
    <xf borderId="12" fillId="14" fontId="20" numFmtId="167" xfId="0" applyAlignment="1" applyBorder="1" applyFont="1" applyNumberFormat="1">
      <alignment horizontal="center" shrinkToFit="1" wrapText="0"/>
    </xf>
    <xf borderId="32" fillId="6" fontId="20" numFmtId="0" xfId="0" applyAlignment="1" applyBorder="1" applyFont="1">
      <alignment horizontal="center" shrinkToFit="1" vertical="center" wrapText="0"/>
    </xf>
    <xf borderId="32" fillId="6" fontId="20" numFmtId="166" xfId="0" applyAlignment="1" applyBorder="1" applyFont="1" applyNumberFormat="1">
      <alignment horizontal="center" shrinkToFit="1" vertical="center" wrapText="0"/>
    </xf>
    <xf borderId="57" fillId="0" fontId="20" numFmtId="167" xfId="0" applyAlignment="1" applyBorder="1" applyFont="1" applyNumberFormat="1">
      <alignment horizontal="center" shrinkToFit="1" wrapText="0"/>
    </xf>
    <xf borderId="36" fillId="0" fontId="20" numFmtId="0" xfId="0" applyAlignment="1" applyBorder="1" applyFont="1">
      <alignment horizontal="center" shrinkToFit="1" wrapText="0"/>
    </xf>
    <xf borderId="57" fillId="0" fontId="21" numFmtId="167" xfId="0" applyAlignment="1" applyBorder="1" applyFont="1" applyNumberFormat="1">
      <alignment horizontal="center" shrinkToFit="1" wrapText="0"/>
    </xf>
    <xf borderId="0" fillId="0" fontId="28" numFmtId="14" xfId="0" applyAlignment="1" applyFont="1" applyNumberFormat="1">
      <alignment shrinkToFit="1" wrapText="0"/>
    </xf>
    <xf borderId="0" fillId="0" fontId="29" numFmtId="0" xfId="0" applyAlignment="1" applyFont="1">
      <alignment shrinkToFit="1" wrapText="0"/>
    </xf>
    <xf borderId="0" fillId="0" fontId="28" numFmtId="0" xfId="0" applyAlignment="1" applyFont="1">
      <alignment horizontal="center" shrinkToFit="1" wrapText="0"/>
    </xf>
    <xf borderId="0" fillId="0" fontId="29" numFmtId="166" xfId="0" applyAlignment="1" applyFont="1" applyNumberFormat="1">
      <alignment shrinkToFit="1" wrapText="0"/>
    </xf>
    <xf borderId="0" fillId="0" fontId="29" numFmtId="14" xfId="0" applyAlignment="1" applyFont="1" applyNumberFormat="1">
      <alignment shrinkToFit="1" wrapText="0"/>
    </xf>
    <xf borderId="30" fillId="4" fontId="28" numFmtId="16" xfId="0" applyAlignment="1" applyBorder="1" applyFont="1" applyNumberFormat="1">
      <alignment shrinkToFit="1" wrapText="0"/>
    </xf>
    <xf borderId="1" fillId="0" fontId="28" numFmtId="14" xfId="0" applyAlignment="1" applyBorder="1" applyFont="1" applyNumberFormat="1">
      <alignment horizontal="center" shrinkToFit="1" vertical="center" wrapText="0"/>
    </xf>
    <xf borderId="33" fillId="0" fontId="28" numFmtId="0" xfId="0" applyAlignment="1" applyBorder="1" applyFont="1">
      <alignment horizontal="center" shrinkToFit="1" vertical="center" wrapText="0"/>
    </xf>
    <xf borderId="3" fillId="0" fontId="28" numFmtId="0" xfId="0" applyAlignment="1" applyBorder="1" applyFont="1">
      <alignment horizontal="center" shrinkToFit="1" vertical="center" wrapText="0"/>
    </xf>
    <xf borderId="4" fillId="0" fontId="28" numFmtId="0" xfId="0" applyAlignment="1" applyBorder="1" applyFont="1">
      <alignment horizontal="center" shrinkToFit="1" vertical="center" wrapText="0"/>
    </xf>
    <xf borderId="34" fillId="0" fontId="28" numFmtId="0" xfId="0" applyAlignment="1" applyBorder="1" applyFont="1">
      <alignment horizontal="center" shrinkToFit="1" vertical="center" wrapText="0"/>
    </xf>
    <xf borderId="0" fillId="0" fontId="28" numFmtId="0" xfId="0" applyAlignment="1" applyFont="1">
      <alignment horizontal="center" shrinkToFit="1" vertical="center" wrapText="0"/>
    </xf>
    <xf borderId="30" fillId="5" fontId="29" numFmtId="166" xfId="0" applyAlignment="1" applyBorder="1" applyFont="1" applyNumberFormat="1">
      <alignment shrinkToFit="1" wrapText="0"/>
    </xf>
    <xf borderId="30" fillId="13" fontId="29" numFmtId="0" xfId="0" applyAlignment="1" applyBorder="1" applyFont="1">
      <alignment shrinkToFit="1" wrapText="0"/>
    </xf>
    <xf borderId="58" fillId="0" fontId="30" numFmtId="14" xfId="0" applyAlignment="1" applyBorder="1" applyFont="1" applyNumberFormat="1">
      <alignment horizontal="left" shrinkToFit="1" wrapText="0"/>
    </xf>
    <xf borderId="12" fillId="0" fontId="30" numFmtId="174" xfId="0" applyAlignment="1" applyBorder="1" applyFont="1" applyNumberFormat="1">
      <alignment horizontal="center" shrinkToFit="1" wrapText="0"/>
    </xf>
    <xf borderId="12" fillId="0" fontId="28" numFmtId="0" xfId="0" applyAlignment="1" applyBorder="1" applyFont="1">
      <alignment horizontal="center" shrinkToFit="1" vertical="center" wrapText="0"/>
    </xf>
    <xf borderId="0" fillId="0" fontId="29" numFmtId="9" xfId="0" applyAlignment="1" applyFont="1" applyNumberFormat="1">
      <alignment shrinkToFit="1" wrapText="0"/>
    </xf>
    <xf borderId="57" fillId="0" fontId="20" numFmtId="0" xfId="0" applyAlignment="1" applyBorder="1" applyFont="1">
      <alignment horizontal="center" shrinkToFit="1" vertical="center" wrapText="0"/>
    </xf>
    <xf borderId="59" fillId="15" fontId="30" numFmtId="14" xfId="0" applyAlignment="1" applyBorder="1" applyFill="1" applyFont="1" applyNumberFormat="1">
      <alignment horizontal="left" shrinkToFit="1" wrapText="0"/>
    </xf>
    <xf borderId="12" fillId="15" fontId="30" numFmtId="174" xfId="0" applyAlignment="1" applyBorder="1" applyFont="1" applyNumberFormat="1">
      <alignment horizontal="center" shrinkToFit="1" wrapText="0"/>
    </xf>
    <xf borderId="8" fillId="15" fontId="20" numFmtId="0" xfId="0" applyAlignment="1" applyBorder="1" applyFont="1">
      <alignment horizontal="center" shrinkToFit="1" wrapText="0"/>
    </xf>
    <xf borderId="12" fillId="15" fontId="28" numFmtId="0" xfId="0" applyAlignment="1" applyBorder="1" applyFont="1">
      <alignment horizontal="center" shrinkToFit="1" vertical="center" wrapText="0"/>
    </xf>
    <xf borderId="30" fillId="15" fontId="29" numFmtId="166" xfId="0" applyAlignment="1" applyBorder="1" applyFont="1" applyNumberFormat="1">
      <alignment shrinkToFit="1" wrapText="0"/>
    </xf>
    <xf borderId="30" fillId="15" fontId="29" numFmtId="9" xfId="0" applyAlignment="1" applyBorder="1" applyFont="1" applyNumberFormat="1">
      <alignment shrinkToFit="1" wrapText="0"/>
    </xf>
    <xf borderId="30" fillId="15" fontId="29" numFmtId="0" xfId="0" applyAlignment="1" applyBorder="1" applyFont="1">
      <alignment shrinkToFit="1" wrapText="0"/>
    </xf>
    <xf borderId="12" fillId="4" fontId="28" numFmtId="0" xfId="0" applyAlignment="1" applyBorder="1" applyFont="1">
      <alignment horizontal="center" shrinkToFit="1" vertical="center" wrapText="0"/>
    </xf>
    <xf borderId="12" fillId="0" fontId="31" numFmtId="0" xfId="0" applyAlignment="1" applyBorder="1" applyFont="1">
      <alignment horizontal="center" shrinkToFit="1" vertical="center" wrapText="0"/>
    </xf>
    <xf borderId="12" fillId="15" fontId="20" numFmtId="0" xfId="0" applyAlignment="1" applyBorder="1" applyFont="1">
      <alignment horizontal="center" shrinkToFit="1" vertical="center" wrapText="0"/>
    </xf>
    <xf borderId="7" fillId="0" fontId="30" numFmtId="174" xfId="0" applyAlignment="1" applyBorder="1" applyFont="1" applyNumberFormat="1">
      <alignment horizontal="center" shrinkToFit="1" wrapText="0"/>
    </xf>
    <xf borderId="10" fillId="0" fontId="20" numFmtId="0" xfId="0" applyAlignment="1" applyBorder="1" applyFont="1">
      <alignment horizontal="center" shrinkToFit="1" vertical="center" wrapText="0"/>
    </xf>
    <xf borderId="54" fillId="15" fontId="30" numFmtId="174" xfId="0" applyAlignment="1" applyBorder="1" applyFont="1" applyNumberFormat="1">
      <alignment horizontal="center" shrinkToFit="1" wrapText="0"/>
    </xf>
    <xf borderId="8" fillId="0" fontId="20" numFmtId="0" xfId="0" applyAlignment="1" applyBorder="1" applyFont="1">
      <alignment horizontal="center" shrinkToFit="1" vertical="center" wrapText="0"/>
    </xf>
    <xf borderId="7" fillId="0" fontId="28" numFmtId="174" xfId="0" applyAlignment="1" applyBorder="1" applyFont="1" applyNumberFormat="1">
      <alignment horizontal="center" shrinkToFit="1" wrapText="0"/>
    </xf>
    <xf borderId="0" fillId="0" fontId="28" numFmtId="166" xfId="0" applyAlignment="1" applyFont="1" applyNumberFormat="1">
      <alignment shrinkToFit="1" wrapText="0"/>
    </xf>
    <xf borderId="12" fillId="0" fontId="32" numFmtId="0" xfId="0" applyAlignment="1" applyBorder="1" applyFont="1">
      <alignment horizontal="center" shrinkToFit="1" vertical="center" wrapText="0"/>
    </xf>
    <xf borderId="49" fillId="4" fontId="28" numFmtId="0" xfId="0" applyAlignment="1" applyBorder="1" applyFont="1">
      <alignment horizontal="center" shrinkToFit="1" vertical="center" wrapText="0"/>
    </xf>
    <xf borderId="58" fillId="0" fontId="28" numFmtId="14" xfId="0" applyAlignment="1" applyBorder="1" applyFont="1" applyNumberFormat="1">
      <alignment shrinkToFit="1" wrapText="0"/>
    </xf>
    <xf borderId="54" fillId="4" fontId="33" numFmtId="174" xfId="0" applyAlignment="1" applyBorder="1" applyFont="1" applyNumberFormat="1">
      <alignment horizontal="center" shrinkToFit="1" wrapText="0"/>
    </xf>
    <xf borderId="60" fillId="0" fontId="28" numFmtId="0" xfId="0" applyAlignment="1" applyBorder="1" applyFont="1">
      <alignment horizontal="center" shrinkToFit="1" wrapText="0"/>
    </xf>
    <xf borderId="30" fillId="9" fontId="29" numFmtId="166" xfId="0" applyAlignment="1" applyBorder="1" applyFont="1" applyNumberFormat="1">
      <alignment shrinkToFit="1" wrapText="0"/>
    </xf>
    <xf borderId="61" fillId="0" fontId="28" numFmtId="14" xfId="0" applyAlignment="1" applyBorder="1" applyFont="1" applyNumberFormat="1">
      <alignment shrinkToFit="1" wrapText="0"/>
    </xf>
    <xf borderId="62" fillId="0" fontId="28" numFmtId="0" xfId="0" applyAlignment="1" applyBorder="1" applyFont="1">
      <alignment shrinkToFit="1" wrapText="0"/>
    </xf>
    <xf borderId="62" fillId="0" fontId="34" numFmtId="10" xfId="0" applyAlignment="1" applyBorder="1" applyFont="1" applyNumberFormat="1">
      <alignment horizontal="center" shrinkToFit="1" wrapText="0"/>
    </xf>
    <xf borderId="63" fillId="4" fontId="34" numFmtId="10" xfId="0" applyAlignment="1" applyBorder="1" applyFont="1" applyNumberFormat="1">
      <alignment horizontal="center" shrinkToFit="1" wrapText="0"/>
    </xf>
    <xf borderId="41" fillId="0" fontId="28" numFmtId="14" xfId="0" applyAlignment="1" applyBorder="1" applyFont="1" applyNumberFormat="1">
      <alignment shrinkToFit="1" wrapText="0"/>
    </xf>
    <xf borderId="0" fillId="0" fontId="28" numFmtId="0" xfId="0" applyAlignment="1" applyFont="1">
      <alignment shrinkToFit="1" wrapText="0"/>
    </xf>
    <xf borderId="5" fillId="0" fontId="29" numFmtId="0" xfId="0" applyAlignment="1" applyBorder="1" applyFont="1">
      <alignment shrinkToFit="1" wrapText="0"/>
    </xf>
    <xf borderId="5" fillId="0" fontId="28" numFmtId="10" xfId="0" applyAlignment="1" applyBorder="1" applyFont="1" applyNumberFormat="1">
      <alignment horizontal="center" shrinkToFit="1" wrapText="0"/>
    </xf>
    <xf borderId="0" fillId="0" fontId="28" numFmtId="10" xfId="0" applyAlignment="1" applyFont="1" applyNumberFormat="1">
      <alignment horizontal="center" shrinkToFit="1" wrapText="0"/>
    </xf>
    <xf borderId="19" fillId="0" fontId="29" numFmtId="14" xfId="0" applyAlignment="1" applyBorder="1" applyFont="1" applyNumberFormat="1">
      <alignment shrinkToFit="1" wrapText="0"/>
    </xf>
    <xf borderId="20" fillId="0" fontId="29" numFmtId="0" xfId="0" applyAlignment="1" applyBorder="1" applyFont="1">
      <alignment shrinkToFit="1" wrapText="0"/>
    </xf>
    <xf borderId="39" fillId="0" fontId="32" numFmtId="0" xfId="0" applyAlignment="1" applyBorder="1" applyFont="1">
      <alignment horizontal="center" shrinkToFit="1" vertical="center" wrapText="0"/>
    </xf>
    <xf borderId="41" fillId="0" fontId="29" numFmtId="14" xfId="0" applyAlignment="1" applyBorder="1" applyFont="1" applyNumberFormat="1">
      <alignment shrinkToFit="1" wrapText="0"/>
    </xf>
    <xf borderId="0" fillId="0" fontId="29" numFmtId="174" xfId="0" applyAlignment="1" applyFont="1" applyNumberFormat="1">
      <alignment horizontal="center" shrinkToFit="1" wrapText="0"/>
    </xf>
    <xf borderId="8" fillId="0" fontId="32" numFmtId="0" xfId="0" applyAlignment="1" applyBorder="1" applyFont="1">
      <alignment horizontal="center" shrinkToFit="1" wrapText="0"/>
    </xf>
    <xf borderId="0" fillId="0" fontId="29" numFmtId="10" xfId="0" applyAlignment="1" applyFont="1" applyNumberFormat="1">
      <alignment horizontal="center" shrinkToFit="1" wrapText="0"/>
    </xf>
    <xf borderId="23" fillId="0" fontId="28" numFmtId="0" xfId="0" applyAlignment="1" applyBorder="1" applyFont="1">
      <alignment horizontal="center" shrinkToFit="1" wrapText="0"/>
    </xf>
    <xf borderId="0" fillId="0" fontId="29" numFmtId="2" xfId="0" applyAlignment="1" applyFont="1" applyNumberFormat="1">
      <alignment horizontal="center" shrinkToFit="1" wrapText="0"/>
    </xf>
    <xf borderId="0" fillId="0" fontId="29" numFmtId="4" xfId="0" applyAlignment="1" applyFont="1" applyNumberFormat="1">
      <alignment horizontal="center" shrinkToFit="1" wrapText="0"/>
    </xf>
    <xf borderId="24" fillId="0" fontId="29" numFmtId="14" xfId="0" applyAlignment="1" applyBorder="1" applyFont="1" applyNumberFormat="1">
      <alignment shrinkToFit="1" wrapText="0"/>
    </xf>
    <xf borderId="25" fillId="0" fontId="29" numFmtId="0" xfId="0" applyAlignment="1" applyBorder="1" applyFont="1">
      <alignment shrinkToFit="1" wrapText="0"/>
    </xf>
    <xf borderId="28" fillId="0" fontId="28" numFmtId="0" xfId="0" applyAlignment="1" applyBorder="1" applyFont="1">
      <alignment horizontal="center" shrinkToFit="1" wrapText="0"/>
    </xf>
    <xf borderId="0" fillId="0" fontId="29" numFmtId="174" xfId="0" applyAlignment="1" applyFont="1" applyNumberFormat="1">
      <alignment shrinkToFit="1" wrapText="0"/>
    </xf>
    <xf borderId="0" fillId="0" fontId="33" numFmtId="0" xfId="0" applyAlignment="1" applyFont="1">
      <alignment shrinkToFit="1" wrapText="0"/>
    </xf>
    <xf borderId="0" fillId="0" fontId="33" numFmtId="1" xfId="0" applyAlignment="1" applyFont="1" applyNumberFormat="1">
      <alignment shrinkToFit="1" wrapText="0"/>
    </xf>
    <xf borderId="0" fillId="0" fontId="30" numFmtId="1" xfId="0" applyAlignment="1" applyFont="1" applyNumberFormat="1">
      <alignment shrinkToFit="1" wrapText="0"/>
    </xf>
    <xf borderId="12" fillId="0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shrinkToFit="1" wrapText="0"/>
    </xf>
    <xf borderId="0" fillId="0" fontId="35" numFmtId="0" xfId="0" applyAlignment="1" applyFont="1">
      <alignment shrinkToFit="1" wrapText="0"/>
    </xf>
    <xf borderId="0" fillId="0" fontId="32" numFmtId="0" xfId="0" applyAlignment="1" applyFont="1">
      <alignment shrinkToFit="1" wrapText="0"/>
    </xf>
    <xf borderId="0" fillId="0" fontId="35" numFmtId="0" xfId="0" applyAlignment="1" applyFont="1">
      <alignment horizontal="center" shrinkToFit="1" vertical="center" wrapText="0"/>
    </xf>
    <xf borderId="0" fillId="0" fontId="28" numFmtId="16" xfId="0" applyAlignment="1" applyFont="1" applyNumberFormat="1">
      <alignment shrinkToFit="1" wrapText="0"/>
    </xf>
    <xf borderId="0" fillId="0" fontId="35" numFmtId="10" xfId="0" applyAlignment="1" applyFont="1" applyNumberFormat="1">
      <alignment horizontal="center" shrinkToFit="1" wrapText="0"/>
    </xf>
    <xf borderId="33" fillId="0" fontId="35" numFmtId="0" xfId="0" applyAlignment="1" applyBorder="1" applyFont="1">
      <alignment horizontal="center" shrinkToFit="1" vertical="center" wrapText="0"/>
    </xf>
    <xf borderId="2" fillId="0" fontId="35" numFmtId="0" xfId="0" applyAlignment="1" applyBorder="1" applyFont="1">
      <alignment horizontal="center" shrinkToFit="1" vertical="center" wrapText="0"/>
    </xf>
    <xf borderId="3" fillId="0" fontId="35" numFmtId="0" xfId="0" applyAlignment="1" applyBorder="1" applyFont="1">
      <alignment horizontal="center" shrinkToFit="1" vertical="center" wrapText="0"/>
    </xf>
    <xf borderId="6" fillId="0" fontId="35" numFmtId="0" xfId="0" applyAlignment="1" applyBorder="1" applyFont="1">
      <alignment horizontal="center" shrinkToFit="1" vertical="center" wrapText="0"/>
    </xf>
    <xf borderId="64" fillId="0" fontId="35" numFmtId="0" xfId="0" applyAlignment="1" applyBorder="1" applyFont="1">
      <alignment horizontal="center" shrinkToFit="1" vertical="center" wrapText="0"/>
    </xf>
    <xf borderId="43" fillId="0" fontId="35" numFmtId="0" xfId="0" applyAlignment="1" applyBorder="1" applyFont="1">
      <alignment horizontal="center" shrinkToFit="1" vertical="center" wrapText="0"/>
    </xf>
    <xf borderId="58" fillId="0" fontId="35" numFmtId="175" xfId="0" applyAlignment="1" applyBorder="1" applyFont="1" applyNumberFormat="1">
      <alignment horizontal="center" shrinkToFit="1" wrapText="0"/>
    </xf>
    <xf borderId="7" fillId="0" fontId="35" numFmtId="4" xfId="0" applyAlignment="1" applyBorder="1" applyFont="1" applyNumberFormat="1">
      <alignment horizontal="center" shrinkToFit="1" wrapText="0"/>
    </xf>
    <xf borderId="65" fillId="0" fontId="29" numFmtId="0" xfId="0" applyAlignment="1" applyBorder="1" applyFont="1">
      <alignment horizontal="center" shrinkToFit="1" wrapText="0"/>
    </xf>
    <xf borderId="15" fillId="0" fontId="35" numFmtId="10" xfId="0" applyAlignment="1" applyBorder="1" applyFont="1" applyNumberFormat="1">
      <alignment horizontal="center" shrinkToFit="1" vertical="center" wrapText="0"/>
    </xf>
    <xf borderId="66" fillId="0" fontId="32" numFmtId="2" xfId="0" applyAlignment="1" applyBorder="1" applyFont="1" applyNumberFormat="1">
      <alignment shrinkToFit="1" wrapText="0"/>
    </xf>
    <xf borderId="0" fillId="0" fontId="36" numFmtId="0" xfId="0" applyAlignment="1" applyFont="1">
      <alignment shrinkToFit="1" wrapText="0"/>
    </xf>
    <xf borderId="35" fillId="0" fontId="35" numFmtId="0" xfId="0" applyAlignment="1" applyBorder="1" applyFont="1">
      <alignment shrinkToFit="1" wrapText="0"/>
    </xf>
    <xf borderId="8" fillId="0" fontId="37" numFmtId="174" xfId="0" applyAlignment="1" applyBorder="1" applyFont="1" applyNumberFormat="1">
      <alignment horizontal="center" shrinkToFit="1" wrapText="0"/>
    </xf>
    <xf borderId="65" fillId="0" fontId="35" numFmtId="0" xfId="0" applyAlignment="1" applyBorder="1" applyFont="1">
      <alignment horizontal="center" shrinkToFit="1" wrapText="0"/>
    </xf>
    <xf borderId="64" fillId="4" fontId="38" numFmtId="10" xfId="0" applyAlignment="1" applyBorder="1" applyFont="1" applyNumberFormat="1">
      <alignment horizontal="center" shrinkToFit="1" vertical="center" wrapText="0"/>
    </xf>
    <xf borderId="43" fillId="0" fontId="32" numFmtId="0" xfId="0" applyAlignment="1" applyBorder="1" applyFont="1">
      <alignment shrinkToFit="1" wrapText="0"/>
    </xf>
    <xf borderId="61" fillId="0" fontId="35" numFmtId="0" xfId="0" applyAlignment="1" applyBorder="1" applyFont="1">
      <alignment shrinkToFit="1" wrapText="0"/>
    </xf>
    <xf borderId="62" fillId="0" fontId="35" numFmtId="0" xfId="0" applyAlignment="1" applyBorder="1" applyFont="1">
      <alignment shrinkToFit="1" wrapText="0"/>
    </xf>
    <xf borderId="62" fillId="0" fontId="35" numFmtId="10" xfId="0" applyAlignment="1" applyBorder="1" applyFont="1" applyNumberFormat="1">
      <alignment horizontal="center" shrinkToFit="1" wrapText="0"/>
    </xf>
    <xf borderId="63" fillId="4" fontId="38" numFmtId="10" xfId="0" applyAlignment="1" applyBorder="1" applyFont="1" applyNumberFormat="1">
      <alignment horizontal="center" shrinkToFit="1" wrapText="0"/>
    </xf>
    <xf borderId="65" fillId="0" fontId="35" numFmtId="9" xfId="0" applyAlignment="1" applyBorder="1" applyFont="1" applyNumberFormat="1">
      <alignment horizontal="center" shrinkToFit="1" wrapText="0"/>
    </xf>
    <xf borderId="1" fillId="0" fontId="35" numFmtId="10" xfId="0" applyAlignment="1" applyBorder="1" applyFont="1" applyNumberFormat="1">
      <alignment horizontal="center" shrinkToFit="1" vertical="center" wrapText="0"/>
    </xf>
    <xf borderId="44" fillId="0" fontId="32" numFmtId="0" xfId="0" applyAlignment="1" applyBorder="1" applyFont="1">
      <alignment shrinkToFit="1" wrapText="0"/>
    </xf>
    <xf borderId="1" fillId="0" fontId="35" numFmtId="0" xfId="0" applyAlignment="1" applyBorder="1" applyFont="1">
      <alignment shrinkToFit="1" wrapText="0"/>
    </xf>
    <xf borderId="5" fillId="0" fontId="35" numFmtId="0" xfId="0" applyAlignment="1" applyBorder="1" applyFont="1">
      <alignment shrinkToFit="1" wrapText="0"/>
    </xf>
    <xf borderId="5" fillId="0" fontId="35" numFmtId="10" xfId="0" applyAlignment="1" applyBorder="1" applyFont="1" applyNumberFormat="1">
      <alignment horizontal="center" shrinkToFit="1" wrapText="0"/>
    </xf>
    <xf borderId="2" fillId="0" fontId="35" numFmtId="10" xfId="0" applyAlignment="1" applyBorder="1" applyFont="1" applyNumberFormat="1">
      <alignment horizontal="center" shrinkToFit="1" wrapText="0"/>
    </xf>
    <xf borderId="6" fillId="0" fontId="32" numFmtId="0" xfId="0" applyAlignment="1" applyBorder="1" applyFont="1">
      <alignment shrinkToFit="1" wrapText="0"/>
    </xf>
    <xf borderId="41" fillId="0" fontId="32" numFmtId="0" xfId="0" applyAlignment="1" applyBorder="1" applyFont="1">
      <alignment shrinkToFit="1" wrapText="0"/>
    </xf>
    <xf borderId="0" fillId="0" fontId="32" numFmtId="174" xfId="0" applyAlignment="1" applyFont="1" applyNumberFormat="1">
      <alignment horizontal="center" shrinkToFit="1" wrapText="0"/>
    </xf>
    <xf borderId="23" fillId="0" fontId="32" numFmtId="0" xfId="0" applyAlignment="1" applyBorder="1" applyFont="1">
      <alignment shrinkToFit="1" wrapText="0"/>
    </xf>
    <xf borderId="0" fillId="0" fontId="32" numFmtId="10" xfId="0" applyAlignment="1" applyFont="1" applyNumberFormat="1">
      <alignment horizontal="center" shrinkToFit="1" wrapText="0"/>
    </xf>
    <xf borderId="0" fillId="0" fontId="32" numFmtId="2" xfId="0" applyAlignment="1" applyFont="1" applyNumberFormat="1">
      <alignment horizontal="center" shrinkToFit="1" wrapText="0"/>
    </xf>
    <xf borderId="0" fillId="0" fontId="32" numFmtId="4" xfId="0" applyAlignment="1" applyFont="1" applyNumberFormat="1">
      <alignment horizontal="center" shrinkToFit="1" wrapText="0"/>
    </xf>
    <xf borderId="24" fillId="0" fontId="32" numFmtId="0" xfId="0" applyAlignment="1" applyBorder="1" applyFont="1">
      <alignment shrinkToFit="1" wrapText="0"/>
    </xf>
    <xf borderId="25" fillId="0" fontId="32" numFmtId="0" xfId="0" applyAlignment="1" applyBorder="1" applyFont="1">
      <alignment shrinkToFit="1" wrapText="0"/>
    </xf>
    <xf borderId="28" fillId="0" fontId="32" numFmtId="0" xfId="0" applyAlignment="1" applyBorder="1" applyFont="1">
      <alignment shrinkToFit="1" wrapText="0"/>
    </xf>
    <xf borderId="0" fillId="0" fontId="32" numFmtId="174" xfId="0" applyAlignment="1" applyFont="1" applyNumberFormat="1">
      <alignment shrinkToFit="1" wrapText="0"/>
    </xf>
    <xf borderId="0" fillId="0" fontId="35" numFmtId="16" xfId="0" applyAlignment="1" applyFont="1" applyNumberFormat="1">
      <alignment shrinkToFit="1" wrapText="0"/>
    </xf>
    <xf borderId="4" fillId="0" fontId="35" numFmtId="0" xfId="0" applyAlignment="1" applyBorder="1" applyFont="1">
      <alignment horizontal="center" shrinkToFit="1" vertical="center" wrapText="0"/>
    </xf>
    <xf borderId="67" fillId="0" fontId="35" numFmtId="0" xfId="0" applyAlignment="1" applyBorder="1" applyFont="1">
      <alignment horizontal="center" shrinkToFit="1" vertical="center" wrapText="0"/>
    </xf>
    <xf borderId="58" fillId="0" fontId="35" numFmtId="175" xfId="0" applyAlignment="1" applyBorder="1" applyFont="1" applyNumberFormat="1">
      <alignment horizontal="left" shrinkToFit="1" wrapText="0"/>
    </xf>
    <xf borderId="36" fillId="0" fontId="29" numFmtId="0" xfId="0" applyAlignment="1" applyBorder="1" applyFont="1">
      <alignment horizontal="center" shrinkToFit="1" wrapText="0"/>
    </xf>
    <xf borderId="12" fillId="0" fontId="35" numFmtId="10" xfId="0" applyAlignment="1" applyBorder="1" applyFont="1" applyNumberFormat="1">
      <alignment horizontal="center" shrinkToFit="1" vertical="center" wrapText="0"/>
    </xf>
    <xf borderId="68" fillId="6" fontId="32" numFmtId="2" xfId="0" applyAlignment="1" applyBorder="1" applyFont="1" applyNumberFormat="1">
      <alignment shrinkToFit="1" wrapText="0"/>
    </xf>
    <xf borderId="30" fillId="6" fontId="32" numFmtId="0" xfId="0" applyAlignment="1" applyBorder="1" applyFont="1">
      <alignment shrinkToFit="1" wrapText="0"/>
    </xf>
    <xf borderId="8" fillId="0" fontId="37" numFmtId="4" xfId="0" applyAlignment="1" applyBorder="1" applyFont="1" applyNumberFormat="1">
      <alignment horizontal="center" shrinkToFit="1" wrapText="0"/>
    </xf>
    <xf borderId="36" fillId="0" fontId="35" numFmtId="0" xfId="0" applyAlignment="1" applyBorder="1" applyFont="1">
      <alignment horizontal="center" shrinkToFit="1" wrapText="0"/>
    </xf>
    <xf borderId="69" fillId="4" fontId="38" numFmtId="10" xfId="0" applyAlignment="1" applyBorder="1" applyFont="1" applyNumberFormat="1">
      <alignment horizontal="center" shrinkToFit="1" wrapText="0"/>
    </xf>
    <xf borderId="40" fillId="0" fontId="35" numFmtId="0" xfId="0" applyAlignment="1" applyBorder="1" applyFont="1">
      <alignment shrinkToFit="1" wrapText="0"/>
    </xf>
    <xf borderId="39" fillId="0" fontId="35" numFmtId="0" xfId="0" applyAlignment="1" applyBorder="1" applyFont="1">
      <alignment shrinkToFit="1" wrapText="0"/>
    </xf>
    <xf borderId="39" fillId="0" fontId="35" numFmtId="10" xfId="0" applyAlignment="1" applyBorder="1" applyFont="1" applyNumberFormat="1">
      <alignment horizontal="center" shrinkToFit="1" wrapText="0"/>
    </xf>
    <xf borderId="39" fillId="4" fontId="38" numFmtId="10" xfId="0" applyAlignment="1" applyBorder="1" applyFont="1" applyNumberFormat="1">
      <alignment horizontal="center" shrinkToFit="1" wrapText="0"/>
    </xf>
    <xf borderId="36" fillId="0" fontId="35" numFmtId="9" xfId="0" applyAlignment="1" applyBorder="1" applyFont="1" applyNumberFormat="1">
      <alignment horizontal="center" shrinkToFit="1" wrapText="0"/>
    </xf>
    <xf borderId="36" fillId="0" fontId="35" numFmtId="0" xfId="0" applyAlignment="1" applyBorder="1" applyFont="1">
      <alignment shrinkToFit="1" wrapText="0"/>
    </xf>
    <xf borderId="45" fillId="0" fontId="35" numFmtId="0" xfId="0" applyAlignment="1" applyBorder="1" applyFont="1">
      <alignment shrinkToFit="1" wrapText="0"/>
    </xf>
    <xf borderId="45" fillId="0" fontId="35" numFmtId="10" xfId="0" applyAlignment="1" applyBorder="1" applyFont="1" applyNumberFormat="1">
      <alignment horizontal="center" shrinkToFit="1" wrapText="0"/>
    </xf>
    <xf borderId="47" fillId="0" fontId="35" numFmtId="10" xfId="0" applyAlignment="1" applyBorder="1" applyFont="1" applyNumberFormat="1">
      <alignment horizontal="center" shrinkToFit="1" wrapText="0"/>
    </xf>
    <xf borderId="7" fillId="0" fontId="32" numFmtId="0" xfId="0" applyAlignment="1" applyBorder="1" applyFont="1">
      <alignment shrinkToFit="1" wrapText="0"/>
    </xf>
    <xf borderId="2" fillId="0" fontId="28" numFmtId="0" xfId="0" applyAlignment="1" applyBorder="1" applyFont="1">
      <alignment horizontal="center" shrinkToFit="1" vertical="center" wrapText="0"/>
    </xf>
    <xf borderId="64" fillId="0" fontId="28" numFmtId="0" xfId="0" applyAlignment="1" applyBorder="1" applyFont="1">
      <alignment horizontal="center" shrinkToFit="1" vertical="center" wrapText="0"/>
    </xf>
    <xf borderId="70" fillId="0" fontId="28" numFmtId="0" xfId="0" applyAlignment="1" applyBorder="1" applyFont="1">
      <alignment horizontal="center" shrinkToFit="1" vertical="center" wrapText="0"/>
    </xf>
    <xf borderId="58" fillId="0" fontId="28" numFmtId="175" xfId="0" applyAlignment="1" applyBorder="1" applyFont="1" applyNumberFormat="1">
      <alignment horizontal="left" shrinkToFit="1" wrapText="0"/>
    </xf>
    <xf borderId="7" fillId="0" fontId="28" numFmtId="4" xfId="0" applyAlignment="1" applyBorder="1" applyFont="1" applyNumberFormat="1">
      <alignment horizontal="center" shrinkToFit="1" wrapText="0"/>
    </xf>
    <xf borderId="65" fillId="0" fontId="39" numFmtId="0" xfId="0" applyAlignment="1" applyBorder="1" applyFont="1">
      <alignment horizontal="center" shrinkToFit="1" wrapText="0"/>
    </xf>
    <xf borderId="71" fillId="3" fontId="28" numFmtId="10" xfId="0" applyAlignment="1" applyBorder="1" applyFont="1" applyNumberFormat="1">
      <alignment horizontal="center" shrinkToFit="1" vertical="center" wrapText="0"/>
    </xf>
    <xf borderId="66" fillId="0" fontId="29" numFmtId="2" xfId="0" applyAlignment="1" applyBorder="1" applyFont="1" applyNumberFormat="1">
      <alignment shrinkToFit="1" wrapText="0"/>
    </xf>
    <xf borderId="68" fillId="6" fontId="29" numFmtId="2" xfId="0" applyAlignment="1" applyBorder="1" applyFont="1" applyNumberFormat="1">
      <alignment shrinkToFit="1" wrapText="0"/>
    </xf>
    <xf borderId="30" fillId="6" fontId="29" numFmtId="174" xfId="0" applyAlignment="1" applyBorder="1" applyFont="1" applyNumberFormat="1">
      <alignment shrinkToFit="1" wrapText="0"/>
    </xf>
    <xf borderId="30" fillId="6" fontId="29" numFmtId="0" xfId="0" applyAlignment="1" applyBorder="1" applyFont="1">
      <alignment shrinkToFit="1" wrapText="0"/>
    </xf>
    <xf borderId="58" fillId="0" fontId="28" numFmtId="0" xfId="0" applyAlignment="1" applyBorder="1" applyFont="1">
      <alignment shrinkToFit="1" wrapText="0"/>
    </xf>
    <xf borderId="7" fillId="0" fontId="34" numFmtId="4" xfId="0" applyAlignment="1" applyBorder="1" applyFont="1" applyNumberFormat="1">
      <alignment horizontal="center" shrinkToFit="1" wrapText="0"/>
    </xf>
    <xf borderId="65" fillId="0" fontId="28" numFmtId="0" xfId="0" applyAlignment="1" applyBorder="1" applyFont="1">
      <alignment horizontal="center" shrinkToFit="1" wrapText="0"/>
    </xf>
    <xf borderId="64" fillId="4" fontId="33" numFmtId="10" xfId="0" applyAlignment="1" applyBorder="1" applyFont="1" applyNumberFormat="1">
      <alignment horizontal="center" shrinkToFit="1" wrapText="0"/>
    </xf>
    <xf borderId="43" fillId="0" fontId="29" numFmtId="0" xfId="0" applyAlignment="1" applyBorder="1" applyFont="1">
      <alignment shrinkToFit="1" wrapText="0"/>
    </xf>
    <xf borderId="61" fillId="0" fontId="28" numFmtId="0" xfId="0" applyAlignment="1" applyBorder="1" applyFont="1">
      <alignment shrinkToFit="1" wrapText="0"/>
    </xf>
    <xf borderId="62" fillId="0" fontId="28" numFmtId="10" xfId="0" applyAlignment="1" applyBorder="1" applyFont="1" applyNumberFormat="1">
      <alignment horizontal="center" shrinkToFit="1" wrapText="0"/>
    </xf>
    <xf borderId="63" fillId="4" fontId="33" numFmtId="10" xfId="0" applyAlignment="1" applyBorder="1" applyFont="1" applyNumberFormat="1">
      <alignment horizontal="center" shrinkToFit="1" wrapText="0"/>
    </xf>
    <xf borderId="65" fillId="0" fontId="28" numFmtId="9" xfId="0" applyAlignment="1" applyBorder="1" applyFont="1" applyNumberFormat="1">
      <alignment horizontal="center" shrinkToFit="1" wrapText="0"/>
    </xf>
    <xf borderId="44" fillId="0" fontId="29" numFmtId="0" xfId="0" applyAlignment="1" applyBorder="1" applyFont="1">
      <alignment shrinkToFit="1" wrapText="0"/>
    </xf>
    <xf borderId="36" fillId="0" fontId="28" numFmtId="0" xfId="0" applyAlignment="1" applyBorder="1" applyFont="1">
      <alignment shrinkToFit="1" wrapText="0"/>
    </xf>
    <xf borderId="45" fillId="0" fontId="28" numFmtId="0" xfId="0" applyAlignment="1" applyBorder="1" applyFont="1">
      <alignment shrinkToFit="1" wrapText="0"/>
    </xf>
    <xf borderId="45" fillId="0" fontId="28" numFmtId="10" xfId="0" applyAlignment="1" applyBorder="1" applyFont="1" applyNumberFormat="1">
      <alignment horizontal="center" shrinkToFit="1" wrapText="0"/>
    </xf>
    <xf borderId="47" fillId="0" fontId="34" numFmtId="10" xfId="0" applyAlignment="1" applyBorder="1" applyFont="1" applyNumberFormat="1">
      <alignment horizontal="center" shrinkToFit="1" wrapText="0"/>
    </xf>
    <xf borderId="65" fillId="0" fontId="29" numFmtId="0" xfId="0" applyAlignment="1" applyBorder="1" applyFont="1">
      <alignment shrinkToFit="1" wrapText="0"/>
    </xf>
    <xf borderId="41" fillId="0" fontId="29" numFmtId="0" xfId="0" applyAlignment="1" applyBorder="1" applyFont="1">
      <alignment shrinkToFit="1" wrapText="0"/>
    </xf>
    <xf borderId="23" fillId="0" fontId="29" numFmtId="0" xfId="0" applyAlignment="1" applyBorder="1" applyFont="1">
      <alignment shrinkToFit="1" wrapText="0"/>
    </xf>
    <xf borderId="24" fillId="0" fontId="29" numFmtId="0" xfId="0" applyAlignment="1" applyBorder="1" applyFont="1">
      <alignment shrinkToFit="1" wrapText="0"/>
    </xf>
    <xf borderId="28" fillId="0" fontId="29" numFmtId="0" xfId="0" applyAlignment="1" applyBorder="1" applyFont="1">
      <alignment shrinkToFit="1" wrapText="0"/>
    </xf>
    <xf borderId="6" fillId="0" fontId="28" numFmtId="0" xfId="0" applyAlignment="1" applyBorder="1" applyFont="1">
      <alignment horizontal="center" shrinkToFit="1" vertical="center" wrapText="0"/>
    </xf>
    <xf borderId="43" fillId="0" fontId="28" numFmtId="0" xfId="0" applyAlignment="1" applyBorder="1" applyFont="1">
      <alignment horizontal="center" shrinkToFit="1" vertical="center" wrapText="0"/>
    </xf>
    <xf borderId="7" fillId="0" fontId="39" numFmtId="0" xfId="0" applyAlignment="1" applyBorder="1" applyFont="1">
      <alignment horizontal="center" shrinkToFit="1" wrapText="0"/>
    </xf>
    <xf borderId="72" fillId="3" fontId="28" numFmtId="10" xfId="0" applyAlignment="1" applyBorder="1" applyFont="1" applyNumberFormat="1">
      <alignment horizontal="center" shrinkToFit="1" vertical="center" wrapText="0"/>
    </xf>
    <xf borderId="30" fillId="16" fontId="29" numFmtId="0" xfId="0" applyAlignment="1" applyBorder="1" applyFill="1" applyFont="1">
      <alignment shrinkToFit="1" wrapText="0"/>
    </xf>
    <xf borderId="35" fillId="0" fontId="28" numFmtId="0" xfId="0" applyAlignment="1" applyBorder="1" applyFont="1">
      <alignment shrinkToFit="1" wrapText="0"/>
    </xf>
    <xf borderId="8" fillId="0" fontId="34" numFmtId="174" xfId="0" applyAlignment="1" applyBorder="1" applyFont="1" applyNumberFormat="1">
      <alignment horizontal="center" shrinkToFit="1" wrapText="0"/>
    </xf>
    <xf borderId="7" fillId="0" fontId="28" numFmtId="9" xfId="0" applyAlignment="1" applyBorder="1" applyFont="1" applyNumberFormat="1">
      <alignment horizontal="center" shrinkToFit="1" wrapText="0"/>
    </xf>
    <xf borderId="69" fillId="4" fontId="33" numFmtId="10" xfId="0" applyAlignment="1" applyBorder="1" applyFont="1" applyNumberFormat="1">
      <alignment horizontal="center" shrinkToFit="1" wrapText="0"/>
    </xf>
    <xf borderId="40" fillId="0" fontId="28" numFmtId="0" xfId="0" applyAlignment="1" applyBorder="1" applyFont="1">
      <alignment shrinkToFit="1" wrapText="0"/>
    </xf>
    <xf borderId="39" fillId="0" fontId="28" numFmtId="0" xfId="0" applyAlignment="1" applyBorder="1" applyFont="1">
      <alignment shrinkToFit="1" wrapText="0"/>
    </xf>
    <xf borderId="39" fillId="0" fontId="28" numFmtId="10" xfId="0" applyAlignment="1" applyBorder="1" applyFont="1" applyNumberFormat="1">
      <alignment horizontal="center" shrinkToFit="1" wrapText="0"/>
    </xf>
    <xf borderId="39" fillId="4" fontId="33" numFmtId="10" xfId="0" applyAlignment="1" applyBorder="1" applyFont="1" applyNumberFormat="1">
      <alignment horizontal="center" shrinkToFit="1" wrapText="0"/>
    </xf>
    <xf borderId="47" fillId="0" fontId="28" numFmtId="10" xfId="0" applyAlignment="1" applyBorder="1" applyFont="1" applyNumberFormat="1">
      <alignment horizontal="center" shrinkToFit="1" wrapText="0"/>
    </xf>
    <xf borderId="0" fillId="0" fontId="40" numFmtId="0" xfId="0" applyAlignment="1" applyFont="1">
      <alignment shrinkToFit="1" wrapText="0"/>
    </xf>
    <xf borderId="0" fillId="0" fontId="40" numFmtId="0" xfId="0" applyAlignment="1" applyFont="1">
      <alignment horizontal="center" shrinkToFit="1" vertical="center" wrapText="0"/>
    </xf>
    <xf borderId="0" fillId="0" fontId="40" numFmtId="10" xfId="0" applyAlignment="1" applyFont="1" applyNumberFormat="1">
      <alignment horizontal="center" shrinkToFit="1" wrapText="0"/>
    </xf>
    <xf borderId="64" fillId="6" fontId="29" numFmtId="0" xfId="0" applyAlignment="1" applyBorder="1" applyFont="1">
      <alignment shrinkToFit="1" vertical="center" wrapText="0"/>
    </xf>
    <xf borderId="64" fillId="6" fontId="29" numFmtId="1" xfId="0" applyAlignment="1" applyBorder="1" applyFont="1" applyNumberFormat="1">
      <alignment shrinkToFit="1" vertical="center" wrapText="0"/>
    </xf>
    <xf borderId="64" fillId="6" fontId="29" numFmtId="0" xfId="0" applyAlignment="1" applyBorder="1" applyFont="1">
      <alignment shrinkToFit="1" wrapText="0"/>
    </xf>
    <xf borderId="30" fillId="6" fontId="41" numFmtId="0" xfId="0" applyAlignment="1" applyBorder="1" applyFont="1">
      <alignment shrinkToFit="1" wrapText="0"/>
    </xf>
    <xf borderId="0" fillId="0" fontId="41" numFmtId="0" xfId="0" applyAlignment="1" applyFont="1">
      <alignment shrinkToFit="1" wrapText="0"/>
    </xf>
    <xf borderId="64" fillId="6" fontId="29" numFmtId="0" xfId="0" applyAlignment="1" applyBorder="1" applyFont="1">
      <alignment horizontal="left" shrinkToFit="1" vertical="center" wrapText="0"/>
    </xf>
    <xf borderId="64" fillId="6" fontId="29" numFmtId="1" xfId="0" applyAlignment="1" applyBorder="1" applyFont="1" applyNumberFormat="1">
      <alignment horizontal="right" shrinkToFit="1" vertical="center" wrapText="0"/>
    </xf>
    <xf borderId="0" fillId="0" fontId="42" numFmtId="0" xfId="0" applyAlignment="1" applyFont="1">
      <alignment shrinkToFit="1" wrapText="0"/>
    </xf>
    <xf borderId="30" fillId="6" fontId="41" numFmtId="176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vertical="center" wrapText="0"/>
    </xf>
    <xf borderId="0" fillId="0" fontId="43" numFmtId="0" xfId="0" applyAlignment="1" applyFont="1">
      <alignment horizontal="center" shrinkToFit="1" wrapText="0"/>
    </xf>
    <xf borderId="0" fillId="0" fontId="44" numFmtId="0" xfId="0" applyAlignment="1" applyFont="1">
      <alignment horizontal="center" shrinkToFit="1" vertical="center" wrapText="0"/>
    </xf>
    <xf borderId="0" fillId="0" fontId="44" numFmtId="0" xfId="0" applyAlignment="1" applyFont="1">
      <alignment shrinkToFit="1" wrapText="0"/>
    </xf>
    <xf borderId="0" fillId="0" fontId="43" numFmtId="0" xfId="0" applyAlignment="1" applyFont="1">
      <alignment shrinkToFit="1" wrapText="0"/>
    </xf>
    <xf borderId="0" fillId="0" fontId="44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shrinkToFit="1" wrapText="0"/>
    </xf>
    <xf borderId="0" fillId="0" fontId="43" numFmtId="167" xfId="0" applyAlignment="1" applyFont="1" applyNumberFormat="1">
      <alignment shrinkToFit="1" wrapText="0"/>
    </xf>
    <xf borderId="0" fillId="0" fontId="44" numFmtId="16" xfId="0" applyAlignment="1" applyFont="1" applyNumberFormat="1">
      <alignment horizontal="center" shrinkToFit="1" vertical="center" wrapText="0"/>
    </xf>
    <xf borderId="0" fillId="0" fontId="44" numFmtId="166" xfId="0" applyAlignment="1" applyFont="1" applyNumberFormat="1">
      <alignment horizontal="center" shrinkToFit="1" vertical="center" wrapText="0"/>
    </xf>
    <xf borderId="0" fillId="0" fontId="19" numFmtId="168" xfId="0" applyAlignment="1" applyFont="1" applyNumberFormat="1">
      <alignment shrinkToFit="1" wrapText="0"/>
    </xf>
    <xf borderId="0" fillId="0" fontId="43" numFmtId="0" xfId="0" applyAlignment="1" applyFont="1">
      <alignment horizontal="left" shrinkToFit="1" vertical="center" wrapText="0"/>
    </xf>
    <xf borderId="0" fillId="0" fontId="45" numFmtId="0" xfId="0" applyAlignment="1" applyFont="1">
      <alignment horizontal="left" shrinkToFit="1" vertical="center" wrapText="0"/>
    </xf>
    <xf borderId="0" fillId="0" fontId="44" numFmtId="168" xfId="0" applyAlignment="1" applyFont="1" applyNumberFormat="1">
      <alignment shrinkToFit="1" wrapText="0"/>
    </xf>
    <xf borderId="0" fillId="0" fontId="31" numFmtId="168" xfId="0" applyAlignment="1" applyFont="1" applyNumberFormat="1">
      <alignment horizontal="center" shrinkToFit="1" wrapText="0"/>
    </xf>
    <xf borderId="0" fillId="0" fontId="31" numFmtId="167" xfId="0" applyAlignment="1" applyFont="1" applyNumberFormat="1">
      <alignment horizontal="center" shrinkToFit="1" wrapText="0"/>
    </xf>
    <xf borderId="0" fillId="0" fontId="31" numFmtId="0" xfId="0" applyAlignment="1" applyFont="1">
      <alignment horizontal="center" shrinkToFit="1" wrapText="0"/>
    </xf>
    <xf borderId="0" fillId="0" fontId="46" numFmtId="0" xfId="0" applyAlignment="1" applyFont="1">
      <alignment horizontal="center" shrinkToFit="1" wrapText="0"/>
    </xf>
    <xf borderId="0" fillId="0" fontId="44" numFmtId="176" xfId="0" applyAlignment="1" applyFont="1" applyNumberFormat="1">
      <alignment horizontal="center" shrinkToFit="1" vertical="center" wrapText="0"/>
    </xf>
    <xf borderId="0" fillId="0" fontId="31" numFmtId="177" xfId="0" applyAlignment="1" applyFont="1" applyNumberFormat="1">
      <alignment horizontal="center" shrinkToFit="1" wrapText="0"/>
    </xf>
    <xf borderId="0" fillId="0" fontId="39" numFmtId="166" xfId="0" applyAlignment="1" applyFont="1" applyNumberFormat="1">
      <alignment shrinkToFit="1" vertical="center" wrapText="0"/>
    </xf>
    <xf borderId="0" fillId="0" fontId="44" numFmtId="0" xfId="0" applyAlignment="1" applyFont="1">
      <alignment horizontal="center" shrinkToFit="1" wrapText="0"/>
    </xf>
    <xf borderId="0" fillId="0" fontId="44" numFmtId="2" xfId="0" applyAlignment="1" applyFont="1" applyNumberFormat="1">
      <alignment shrinkToFit="1" wrapText="0"/>
    </xf>
    <xf borderId="0" fillId="0" fontId="47" numFmtId="0" xfId="0" applyAlignment="1" applyFont="1">
      <alignment horizontal="center" shrinkToFit="1" vertical="center" wrapText="0"/>
    </xf>
    <xf borderId="0" fillId="0" fontId="47" numFmtId="166" xfId="0" applyAlignment="1" applyFont="1" applyNumberFormat="1">
      <alignment horizontal="center" shrinkToFit="1" vertical="center" wrapText="0"/>
    </xf>
    <xf borderId="0" fillId="0" fontId="46" numFmtId="167" xfId="0" applyAlignment="1" applyFont="1" applyNumberFormat="1">
      <alignment horizontal="center" shrinkToFit="1" vertical="center" wrapText="0"/>
    </xf>
    <xf borderId="0" fillId="0" fontId="47" numFmtId="167" xfId="0" applyAlignment="1" applyFont="1" applyNumberFormat="1">
      <alignment horizontal="center" shrinkToFit="1" vertical="center" wrapText="0"/>
    </xf>
    <xf borderId="0" fillId="0" fontId="44" numFmtId="176" xfId="0" applyAlignment="1" applyFont="1" applyNumberFormat="1">
      <alignment horizontal="center" shrinkToFit="1" wrapText="0"/>
    </xf>
    <xf borderId="0" fillId="0" fontId="46" numFmtId="0" xfId="0" applyAlignment="1" applyFont="1">
      <alignment horizontal="center" shrinkToFit="1" vertical="center" wrapText="0"/>
    </xf>
    <xf borderId="0" fillId="0" fontId="44" numFmtId="167" xfId="0" applyAlignment="1" applyFont="1" applyNumberFormat="1">
      <alignment horizontal="center" shrinkToFit="1" vertical="center" wrapText="0"/>
    </xf>
    <xf borderId="0" fillId="0" fontId="46" numFmtId="166" xfId="0" applyAlignment="1" applyFont="1" applyNumberFormat="1">
      <alignment horizontal="center" shrinkToFit="1" vertical="center" wrapText="0"/>
    </xf>
    <xf borderId="30" fillId="4" fontId="46" numFmtId="176" xfId="0" applyAlignment="1" applyBorder="1" applyFont="1" applyNumberFormat="1">
      <alignment horizontal="center" shrinkToFit="1" vertical="center" wrapText="0"/>
    </xf>
    <xf borderId="30" fillId="4" fontId="46" numFmtId="0" xfId="0" applyAlignment="1" applyBorder="1" applyFont="1">
      <alignment horizontal="center" shrinkToFit="1" vertical="center" wrapText="0"/>
    </xf>
    <xf borderId="0" fillId="0" fontId="31" numFmtId="178" xfId="0" applyAlignment="1" applyFont="1" applyNumberFormat="1">
      <alignment horizontal="center" shrinkToFit="1" wrapText="0"/>
    </xf>
    <xf borderId="0" fillId="0" fontId="31" numFmtId="0" xfId="0" applyAlignment="1" applyFont="1">
      <alignment horizontal="center" shrinkToFit="1" vertical="center" wrapText="0"/>
    </xf>
    <xf borderId="0" fillId="0" fontId="31" numFmtId="166" xfId="0" applyAlignment="1" applyFont="1" applyNumberFormat="1">
      <alignment horizontal="center" shrinkToFit="1" vertical="center" wrapText="0"/>
    </xf>
    <xf borderId="0" fillId="0" fontId="43" numFmtId="0" xfId="0" applyAlignment="1" applyFont="1">
      <alignment horizontal="center" shrinkToFit="1" vertical="center" wrapText="0"/>
    </xf>
    <xf borderId="0" fillId="0" fontId="43" numFmtId="166" xfId="0" applyAlignment="1" applyFont="1" applyNumberFormat="1">
      <alignment horizontal="center" shrinkToFit="1" vertical="center" wrapText="0"/>
    </xf>
    <xf borderId="0" fillId="0" fontId="43" numFmtId="167" xfId="0" applyAlignment="1" applyFont="1" applyNumberFormat="1">
      <alignment horizontal="center" shrinkToFit="1" wrapText="0"/>
    </xf>
    <xf borderId="0" fillId="0" fontId="45" numFmtId="0" xfId="0" applyAlignment="1" applyFont="1">
      <alignment horizontal="center" shrinkToFit="1" vertical="center" wrapText="0"/>
    </xf>
    <xf borderId="0" fillId="0" fontId="45" numFmtId="166" xfId="0" applyAlignment="1" applyFont="1" applyNumberFormat="1">
      <alignment horizontal="center" shrinkToFit="1" vertical="center" wrapText="0"/>
    </xf>
    <xf borderId="0" fillId="0" fontId="45" numFmtId="167" xfId="0" applyAlignment="1" applyFont="1" applyNumberFormat="1">
      <alignment horizontal="center" shrinkToFit="1" wrapText="0"/>
    </xf>
    <xf borderId="0" fillId="0" fontId="45" numFmtId="0" xfId="0" applyAlignment="1" applyFont="1">
      <alignment horizontal="left" shrinkToFit="1" wrapText="0"/>
    </xf>
    <xf borderId="0" fillId="0" fontId="43" numFmtId="0" xfId="0" applyAlignment="1" applyFont="1">
      <alignment horizontal="left" shrinkToFit="1" wrapText="0"/>
    </xf>
    <xf borderId="0" fillId="0" fontId="36" numFmtId="0" xfId="0" applyAlignment="1" applyFont="1">
      <alignment horizontal="left" shrinkToFit="1" wrapText="0"/>
    </xf>
    <xf borderId="0" fillId="0" fontId="44" numFmtId="0" xfId="0" applyAlignment="1" applyFont="1">
      <alignment shrinkToFit="1" vertical="top" wrapText="0"/>
    </xf>
    <xf borderId="0" fillId="0" fontId="44" numFmtId="0" xfId="0" applyAlignment="1" applyFont="1">
      <alignment horizontal="left" shrinkToFit="1" wrapText="0"/>
    </xf>
    <xf borderId="0" fillId="0" fontId="39" numFmtId="0" xfId="0" applyAlignment="1" applyFont="1">
      <alignment horizontal="center" shrinkToFit="1" wrapText="0"/>
    </xf>
    <xf borderId="0" fillId="0" fontId="36" numFmtId="0" xfId="0" applyAlignment="1" applyFont="1">
      <alignment horizontal="center" shrinkToFit="1" wrapText="0"/>
    </xf>
    <xf borderId="0" fillId="0" fontId="19" numFmtId="0" xfId="0" applyAlignment="1" applyFont="1">
      <alignment horizontal="left" shrinkToFit="1" vertical="center" wrapText="0"/>
    </xf>
    <xf borderId="0" fillId="0" fontId="19" numFmtId="0" xfId="0" applyAlignment="1" applyFont="1">
      <alignment horizontal="center" shrinkToFit="1" wrapText="0"/>
    </xf>
    <xf borderId="0" fillId="0" fontId="19" numFmtId="14" xfId="0" applyAlignment="1" applyFont="1" applyNumberFormat="1">
      <alignment shrinkToFit="1" wrapText="0"/>
    </xf>
    <xf borderId="0" fillId="0" fontId="19" numFmtId="2" xfId="0" applyAlignment="1" applyFont="1" applyNumberFormat="1">
      <alignment horizontal="left" shrinkToFit="1" wrapText="0"/>
    </xf>
    <xf borderId="0" fillId="0" fontId="19" numFmtId="0" xfId="0" applyAlignment="1" applyFont="1">
      <alignment horizontal="left" shrinkToFit="1" wrapText="0"/>
    </xf>
    <xf borderId="0" fillId="0" fontId="19" numFmtId="0" xfId="0" applyAlignment="1" applyFont="1">
      <alignment shrinkToFit="1" wrapText="0"/>
    </xf>
    <xf borderId="0" fillId="0" fontId="48" numFmtId="0" xfId="0" applyAlignment="1" applyFont="1">
      <alignment shrinkToFit="1" wrapText="0"/>
    </xf>
    <xf borderId="0" fillId="0" fontId="39" numFmtId="0" xfId="0" applyAlignment="1" applyFont="1">
      <alignment shrinkToFit="1" wrapText="0"/>
    </xf>
    <xf borderId="0" fillId="0" fontId="44" numFmtId="0" xfId="0" applyAlignment="1" applyFont="1">
      <alignment horizontal="left" shrinkToFit="1" vertical="center" wrapText="0"/>
    </xf>
    <xf borderId="0" fillId="0" fontId="44" numFmtId="168" xfId="0" applyAlignment="1" applyFont="1" applyNumberFormat="1">
      <alignment horizontal="left" shrinkToFit="1" wrapText="0"/>
    </xf>
    <xf borderId="0" fillId="0" fontId="44" numFmtId="9" xfId="0" applyAlignment="1" applyFont="1" applyNumberFormat="1">
      <alignment horizontal="center" shrinkToFit="1" wrapText="0"/>
    </xf>
    <xf borderId="0" fillId="0" fontId="44" numFmtId="10" xfId="0" applyAlignment="1" applyFont="1" applyNumberFormat="1">
      <alignment horizontal="center" shrinkToFit="1" wrapText="0"/>
    </xf>
    <xf borderId="0" fillId="0" fontId="44" numFmtId="9" xfId="0" applyAlignment="1" applyFont="1" applyNumberFormat="1">
      <alignment horizontal="left" shrinkToFit="1" wrapText="0"/>
    </xf>
    <xf borderId="0" fillId="0" fontId="39" numFmtId="9" xfId="0" applyAlignment="1" applyFont="1" applyNumberFormat="1">
      <alignment horizontal="center" shrinkToFit="1" wrapText="0"/>
    </xf>
    <xf borderId="0" fillId="0" fontId="39" numFmtId="9" xfId="0" applyAlignment="1" applyFont="1" applyNumberFormat="1">
      <alignment horizontal="left" shrinkToFit="1" wrapText="0"/>
    </xf>
    <xf borderId="0" fillId="0" fontId="39" numFmtId="0" xfId="0" applyAlignment="1" applyFont="1">
      <alignment horizontal="left" shrinkToFit="1" wrapText="0"/>
    </xf>
    <xf borderId="0" fillId="0" fontId="44" numFmtId="178" xfId="0" applyAlignment="1" applyFont="1" applyNumberFormat="1">
      <alignment horizontal="center" shrinkToFit="1" vertical="center" wrapText="0"/>
    </xf>
    <xf borderId="0" fillId="0" fontId="44" numFmtId="1" xfId="0" applyAlignment="1" applyFont="1" applyNumberFormat="1">
      <alignment horizontal="center" shrinkToFit="1" vertical="center" wrapText="0"/>
    </xf>
    <xf borderId="0" fillId="0" fontId="45" numFmtId="0" xfId="0" applyAlignment="1" applyFont="1">
      <alignment horizontal="center" shrinkToFit="1" wrapText="0"/>
    </xf>
    <xf borderId="0" fillId="0" fontId="31" numFmtId="172" xfId="0" applyAlignment="1" applyFont="1" applyNumberFormat="1">
      <alignment horizontal="center" shrinkToFit="1" wrapText="0"/>
    </xf>
    <xf borderId="0" fillId="0" fontId="31" numFmtId="166" xfId="0" applyAlignment="1" applyFont="1" applyNumberFormat="1">
      <alignment horizontal="center" shrinkToFit="1" wrapText="0"/>
    </xf>
    <xf borderId="0" fillId="0" fontId="44" numFmtId="178" xfId="0" applyAlignment="1" applyFont="1" applyNumberFormat="1">
      <alignment horizontal="center" shrinkToFit="1" wrapText="0"/>
    </xf>
    <xf borderId="30" fillId="3" fontId="46" numFmtId="166" xfId="0" applyAlignment="1" applyBorder="1" applyFont="1" applyNumberFormat="1">
      <alignment horizontal="center" shrinkToFit="1" vertical="center" wrapText="0"/>
    </xf>
    <xf borderId="30" fillId="6" fontId="44" numFmtId="178" xfId="0" applyAlignment="1" applyBorder="1" applyFont="1" applyNumberFormat="1">
      <alignment horizontal="center" shrinkToFit="1" vertical="center" wrapText="0"/>
    </xf>
    <xf borderId="30" fillId="4" fontId="46" numFmtId="178" xfId="0" applyAlignment="1" applyBorder="1" applyFont="1" applyNumberFormat="1">
      <alignment horizontal="center" shrinkToFit="1" vertical="center" wrapText="0"/>
    </xf>
    <xf borderId="30" fillId="3" fontId="49" numFmtId="1" xfId="0" applyAlignment="1" applyBorder="1" applyFont="1" applyNumberFormat="1">
      <alignment horizontal="center" shrinkToFit="1" vertical="center" wrapText="0"/>
    </xf>
    <xf borderId="0" fillId="0" fontId="46" numFmtId="178" xfId="0" applyAlignment="1" applyFont="1" applyNumberFormat="1">
      <alignment horizontal="center" shrinkToFit="1" vertical="center" wrapText="0"/>
    </xf>
    <xf borderId="0" fillId="0" fontId="43" numFmtId="164" xfId="0" applyAlignment="1" applyFont="1" applyNumberFormat="1">
      <alignment shrinkToFit="1" wrapText="0"/>
    </xf>
    <xf borderId="0" fillId="0" fontId="31" numFmtId="178" xfId="0" applyAlignment="1" applyFont="1" applyNumberFormat="1">
      <alignment horizontal="center" shrinkToFit="1" vertical="center" wrapText="0"/>
    </xf>
    <xf borderId="0" fillId="0" fontId="44" numFmtId="164" xfId="0" applyAlignment="1" applyFont="1" applyNumberFormat="1">
      <alignment horizontal="center" shrinkToFit="1" vertical="center" wrapText="0"/>
    </xf>
    <xf borderId="0" fillId="0" fontId="44" numFmtId="168" xfId="0" applyAlignment="1" applyFont="1" applyNumberFormat="1">
      <alignment horizontal="center" shrinkToFit="1" vertical="center" wrapText="0"/>
    </xf>
    <xf borderId="0" fillId="0" fontId="31" numFmtId="1" xfId="0" applyAlignment="1" applyFont="1" applyNumberFormat="1">
      <alignment horizontal="center" shrinkToFit="1" vertical="center" wrapText="0"/>
    </xf>
    <xf borderId="0" fillId="0" fontId="44" numFmtId="2" xfId="0" applyAlignment="1" applyFont="1" applyNumberFormat="1">
      <alignment horizontal="center" shrinkToFit="1" wrapText="0"/>
    </xf>
    <xf borderId="0" fillId="0" fontId="44" numFmtId="164" xfId="0" applyAlignment="1" applyFont="1" applyNumberFormat="1">
      <alignment horizontal="center" shrinkToFit="1" wrapText="0"/>
    </xf>
    <xf borderId="0" fillId="0" fontId="44" numFmtId="2" xfId="0" applyAlignment="1" applyFont="1" applyNumberFormat="1">
      <alignment horizontal="center" shrinkToFit="1" vertical="center" wrapText="0"/>
    </xf>
    <xf borderId="0" fillId="0" fontId="44" numFmtId="168" xfId="0" applyAlignment="1" applyFont="1" applyNumberFormat="1">
      <alignment horizontal="center" shrinkToFit="1" wrapText="0"/>
    </xf>
    <xf borderId="30" fillId="6" fontId="31" numFmtId="178" xfId="0" applyAlignment="1" applyBorder="1" applyFont="1" applyNumberFormat="1">
      <alignment horizontal="center" shrinkToFit="1" vertical="center" wrapText="0"/>
    </xf>
    <xf borderId="0" fillId="0" fontId="36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horizontal="left" shrinkToFit="1" vertical="center" wrapText="0"/>
    </xf>
    <xf borderId="0" fillId="0" fontId="36" numFmtId="164" xfId="0" applyAlignment="1" applyFont="1" applyNumberFormat="1">
      <alignment horizontal="left" shrinkToFit="1" wrapText="0"/>
    </xf>
    <xf borderId="0" fillId="0" fontId="19" numFmtId="164" xfId="0" applyAlignment="1" applyFont="1" applyNumberFormat="1">
      <alignment horizontal="left" shrinkToFit="1" wrapText="0"/>
    </xf>
    <xf borderId="0" fillId="0" fontId="50" numFmtId="0" xfId="0" applyAlignment="1" applyFont="1">
      <alignment horizontal="center" shrinkToFit="1" wrapText="0"/>
    </xf>
    <xf borderId="0" fillId="0" fontId="12" numFmtId="0" xfId="0" applyAlignment="1" applyFont="1">
      <alignment horizontal="center" shrinkToFit="1" vertical="center" wrapText="0"/>
    </xf>
    <xf borderId="0" fillId="0" fontId="51" numFmtId="0" xfId="0" applyAlignment="1" applyFont="1">
      <alignment horizontal="left" shrinkToFit="1" vertical="center" wrapText="0"/>
    </xf>
    <xf borderId="0" fillId="0" fontId="50" numFmtId="0" xfId="0" applyAlignment="1" applyFont="1">
      <alignment shrinkToFit="1" wrapText="0"/>
    </xf>
    <xf borderId="0" fillId="0" fontId="40" numFmtId="167" xfId="0" applyAlignment="1" applyFont="1" applyNumberFormat="1">
      <alignment horizontal="center" shrinkToFit="1" wrapText="0"/>
    </xf>
    <xf borderId="0" fillId="0" fontId="8" numFmtId="164" xfId="0" applyAlignment="1" applyFont="1" applyNumberFormat="1">
      <alignment shrinkToFit="1" wrapText="0"/>
    </xf>
    <xf borderId="0" fillId="0" fontId="2" numFmtId="164" xfId="0" applyAlignment="1" applyFont="1" applyNumberFormat="1">
      <alignment shrinkToFit="1" wrapText="0"/>
    </xf>
    <xf borderId="0" fillId="0" fontId="50" numFmtId="167" xfId="0" applyAlignment="1" applyFont="1" applyNumberFormat="1">
      <alignment shrinkToFit="1" wrapText="0"/>
    </xf>
    <xf borderId="0" fillId="0" fontId="12" numFmtId="16" xfId="0" applyAlignment="1" applyFont="1" applyNumberFormat="1">
      <alignment horizontal="center" shrinkToFit="1" vertical="center" wrapText="0"/>
    </xf>
    <xf borderId="0" fillId="0" fontId="12" numFmtId="166" xfId="0" applyAlignment="1" applyFont="1" applyNumberFormat="1">
      <alignment horizontal="center" shrinkToFit="1" vertical="center" wrapText="0"/>
    </xf>
    <xf borderId="0" fillId="0" fontId="2" numFmtId="168" xfId="0" applyAlignment="1" applyFont="1" applyNumberFormat="1">
      <alignment shrinkToFit="1" wrapText="0"/>
    </xf>
    <xf borderId="0" fillId="0" fontId="8" numFmtId="168" xfId="0" applyAlignment="1" applyFont="1" applyNumberFormat="1">
      <alignment shrinkToFit="1" wrapText="0"/>
    </xf>
    <xf borderId="0" fillId="0" fontId="50" numFmtId="0" xfId="0" applyAlignment="1" applyFont="1">
      <alignment horizontal="left" shrinkToFit="1" vertical="center" wrapText="0"/>
    </xf>
    <xf borderId="0" fillId="0" fontId="52" numFmtId="0" xfId="0" applyAlignment="1" applyFont="1">
      <alignment horizontal="left" shrinkToFit="1" vertical="center" wrapText="0"/>
    </xf>
    <xf borderId="0" fillId="0" fontId="40" numFmtId="0" xfId="0" applyAlignment="1" applyFont="1">
      <alignment horizontal="center" shrinkToFit="1" wrapText="0"/>
    </xf>
    <xf borderId="0" fillId="0" fontId="40" numFmtId="178" xfId="0" applyAlignment="1" applyFont="1" applyNumberFormat="1">
      <alignment horizontal="center" shrinkToFit="1" wrapText="0"/>
    </xf>
    <xf borderId="0" fillId="0" fontId="40" numFmtId="168" xfId="0" applyAlignment="1" applyFont="1" applyNumberFormat="1">
      <alignment horizontal="center" shrinkToFit="1" wrapText="0"/>
    </xf>
    <xf borderId="0" fillId="0" fontId="40" numFmtId="177" xfId="0" applyAlignment="1" applyFont="1" applyNumberFormat="1">
      <alignment horizontal="center" shrinkToFit="1" wrapText="0"/>
    </xf>
    <xf borderId="0" fillId="0" fontId="12" numFmtId="0" xfId="0" applyAlignment="1" applyFont="1">
      <alignment horizontal="center" shrinkToFit="1" wrapText="0"/>
    </xf>
    <xf borderId="0" fillId="0" fontId="8" numFmtId="2" xfId="0" applyAlignment="1" applyFont="1" applyNumberFormat="1">
      <alignment shrinkToFit="1" wrapText="0"/>
    </xf>
    <xf borderId="0" fillId="0" fontId="12" numFmtId="167" xfId="0" applyAlignment="1" applyFont="1" applyNumberFormat="1">
      <alignment horizontal="center" shrinkToFit="1" vertical="center" wrapText="0"/>
    </xf>
    <xf borderId="0" fillId="0" fontId="8" numFmtId="0" xfId="0" applyAlignment="1" applyFont="1">
      <alignment horizontal="center" shrinkToFit="1" wrapText="0"/>
    </xf>
    <xf borderId="0" fillId="0" fontId="53" numFmtId="0" xfId="0" applyAlignment="1" applyFont="1">
      <alignment shrinkToFit="1" wrapText="0"/>
    </xf>
    <xf borderId="30" fillId="6" fontId="31" numFmtId="0" xfId="0" applyAlignment="1" applyBorder="1" applyFont="1">
      <alignment horizontal="center" shrinkToFit="1" vertical="center" wrapText="0"/>
    </xf>
    <xf borderId="30" fillId="4" fontId="54" numFmtId="178" xfId="0" applyAlignment="1" applyBorder="1" applyFont="1" applyNumberFormat="1">
      <alignment horizontal="center" shrinkToFit="1" vertical="center" wrapText="0"/>
    </xf>
    <xf borderId="30" fillId="4" fontId="54" numFmtId="0" xfId="0" applyAlignment="1" applyBorder="1" applyFont="1">
      <alignment horizontal="center" shrinkToFit="1" vertical="center" wrapText="0"/>
    </xf>
    <xf borderId="0" fillId="0" fontId="55" numFmtId="0" xfId="0" applyAlignment="1" applyFont="1">
      <alignment horizontal="center" shrinkToFit="1" vertical="center" wrapText="0"/>
    </xf>
    <xf borderId="0" fillId="0" fontId="55" numFmtId="166" xfId="0" applyAlignment="1" applyFont="1" applyNumberFormat="1">
      <alignment horizontal="center" shrinkToFit="1" vertical="center" wrapText="0"/>
    </xf>
    <xf borderId="0" fillId="0" fontId="51" numFmtId="0" xfId="0" applyAlignment="1" applyFont="1">
      <alignment horizontal="center" shrinkToFit="1" vertical="center" wrapText="0"/>
    </xf>
    <xf borderId="0" fillId="0" fontId="51" numFmtId="166" xfId="0" applyAlignment="1" applyFont="1" applyNumberFormat="1">
      <alignment horizontal="center" shrinkToFit="1" vertical="center" wrapText="0"/>
    </xf>
    <xf borderId="0" fillId="0" fontId="50" numFmtId="167" xfId="0" applyAlignment="1" applyFont="1" applyNumberFormat="1">
      <alignment horizontal="center" shrinkToFit="1" wrapText="0"/>
    </xf>
    <xf borderId="0" fillId="0" fontId="52" numFmtId="0" xfId="0" applyAlignment="1" applyFont="1">
      <alignment horizontal="center" shrinkToFit="1" vertical="center" wrapText="0"/>
    </xf>
    <xf borderId="0" fillId="0" fontId="52" numFmtId="166" xfId="0" applyAlignment="1" applyFont="1" applyNumberFormat="1">
      <alignment horizontal="center" shrinkToFit="1" vertical="center" wrapText="0"/>
    </xf>
    <xf borderId="0" fillId="0" fontId="7" numFmtId="167" xfId="0" applyAlignment="1" applyFont="1" applyNumberFormat="1">
      <alignment horizontal="center" shrinkToFit="1" wrapText="0"/>
    </xf>
    <xf borderId="0" fillId="0" fontId="50" numFmtId="0" xfId="0" applyAlignment="1" applyFont="1">
      <alignment horizontal="left" shrinkToFit="1" wrapText="0"/>
    </xf>
    <xf borderId="0" fillId="0" fontId="8" numFmtId="0" xfId="0" applyAlignment="1" applyFont="1">
      <alignment shrinkToFit="1" vertical="top" wrapText="0"/>
    </xf>
    <xf borderId="0" fillId="0" fontId="8" numFmtId="0" xfId="0" applyAlignment="1" applyFont="1">
      <alignment horizontal="left" shrinkToFit="1" wrapText="0"/>
    </xf>
    <xf borderId="0" fillId="0" fontId="3" numFmtId="0" xfId="0" applyAlignment="1" applyFont="1">
      <alignment horizontal="center" shrinkToFit="1" wrapText="0"/>
    </xf>
    <xf borderId="0" fillId="0" fontId="17" numFmtId="0" xfId="0" applyAlignment="1" applyFont="1">
      <alignment horizontal="left" shrinkToFit="1" vertical="center" wrapText="0"/>
    </xf>
    <xf borderId="0" fillId="0" fontId="2" numFmtId="0" xfId="0" applyAlignment="1" applyFont="1">
      <alignment horizontal="center" shrinkToFit="1" wrapText="0"/>
    </xf>
    <xf borderId="0" fillId="0" fontId="2" numFmtId="14" xfId="0" applyAlignment="1" applyFont="1" applyNumberFormat="1">
      <alignment shrinkToFit="1" wrapText="0"/>
    </xf>
    <xf borderId="0" fillId="0" fontId="2" numFmtId="2" xfId="0" applyAlignment="1" applyFont="1" applyNumberFormat="1">
      <alignment horizontal="left" shrinkToFit="1" wrapText="0"/>
    </xf>
    <xf borderId="0" fillId="0" fontId="2" numFmtId="0" xfId="0" applyAlignment="1" applyFont="1">
      <alignment horizontal="left" shrinkToFit="1" wrapText="0"/>
    </xf>
    <xf borderId="0" fillId="0" fontId="8" numFmtId="0" xfId="0" applyAlignment="1" applyFont="1">
      <alignment horizontal="center" shrinkToFit="1" vertical="center" wrapText="0"/>
    </xf>
    <xf borderId="0" fillId="0" fontId="8" numFmtId="0" xfId="0" applyAlignment="1" applyFont="1">
      <alignment horizontal="left" shrinkToFit="1" vertical="center" wrapText="0"/>
    </xf>
    <xf borderId="0" fillId="0" fontId="8" numFmtId="168" xfId="0" applyAlignment="1" applyFont="1" applyNumberFormat="1">
      <alignment horizontal="left" shrinkToFit="1" wrapText="0"/>
    </xf>
    <xf borderId="0" fillId="0" fontId="8" numFmtId="9" xfId="0" applyAlignment="1" applyFont="1" applyNumberFormat="1">
      <alignment horizontal="center" shrinkToFit="1" wrapText="0"/>
    </xf>
    <xf borderId="0" fillId="0" fontId="8" numFmtId="10" xfId="0" applyAlignment="1" applyFont="1" applyNumberFormat="1">
      <alignment horizontal="center" shrinkToFit="1" wrapText="0"/>
    </xf>
    <xf borderId="30" fillId="17" fontId="56" numFmtId="0" xfId="0" applyAlignment="1" applyBorder="1" applyFill="1" applyFont="1">
      <alignment shrinkToFit="1" wrapText="0"/>
    </xf>
    <xf borderId="0" fillId="0" fontId="3" numFmtId="0" xfId="0" applyFont="1"/>
    <xf borderId="30" fillId="17" fontId="3" numFmtId="0" xfId="0" applyAlignment="1" applyBorder="1" applyFont="1">
      <alignment shrinkToFit="1" wrapText="0"/>
    </xf>
    <xf borderId="64" fillId="5" fontId="3" numFmtId="0" xfId="0" applyAlignment="1" applyBorder="1" applyFont="1">
      <alignment shrinkToFit="1" wrapText="0"/>
    </xf>
    <xf borderId="73" fillId="18" fontId="57" numFmtId="0" xfId="0" applyAlignment="1" applyBorder="1" applyFill="1" applyFont="1">
      <alignment horizontal="center" shrinkToFit="1" wrapText="0"/>
    </xf>
    <xf borderId="74" fillId="4" fontId="58" numFmtId="0" xfId="0" applyAlignment="1" applyBorder="1" applyFont="1">
      <alignment horizontal="center" shrinkToFit="1" wrapText="0"/>
    </xf>
    <xf borderId="74" fillId="18" fontId="57" numFmtId="0" xfId="0" applyAlignment="1" applyBorder="1" applyFont="1">
      <alignment horizontal="center" shrinkToFit="1" wrapText="0"/>
    </xf>
    <xf borderId="69" fillId="18" fontId="57" numFmtId="0" xfId="0" applyAlignment="1" applyBorder="1" applyFont="1">
      <alignment horizontal="center" shrinkToFit="1" wrapText="0"/>
    </xf>
    <xf borderId="55" fillId="5" fontId="3" numFmtId="0" xfId="0" applyAlignment="1" applyBorder="1" applyFont="1">
      <alignment shrinkToFit="1" wrapText="0"/>
    </xf>
    <xf borderId="39" fillId="5" fontId="3" numFmtId="0" xfId="0" applyAlignment="1" applyBorder="1" applyFont="1">
      <alignment shrinkToFit="1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3" t="s">
        <v>42</v>
      </c>
      <c r="C137" s="13" t="s">
        <v>43</v>
      </c>
      <c r="D137" s="13" t="s">
        <v>44</v>
      </c>
      <c r="E137" s="13" t="s">
        <v>45</v>
      </c>
      <c r="F137" s="109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0" t="s">
        <v>48</v>
      </c>
      <c r="B138" s="111">
        <f>+E12</f>
        <v>0</v>
      </c>
      <c r="C138" s="112">
        <f>+H100</f>
        <v>12286.586</v>
      </c>
      <c r="D138" s="112">
        <f>+H115</f>
        <v>18.024</v>
      </c>
      <c r="E138" s="113">
        <f>+H132</f>
        <v>228</v>
      </c>
      <c r="F138" s="114">
        <f>+G12</f>
        <v>0</v>
      </c>
      <c r="G138" s="115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6" t="s">
        <v>49</v>
      </c>
      <c r="B139" s="105"/>
      <c r="C139" s="117" t="str">
        <f>+C138/B138</f>
        <v>#DIV/0!</v>
      </c>
      <c r="D139" s="118" t="str">
        <f>+D138/B138</f>
        <v>#DIV/0!</v>
      </c>
      <c r="E139" s="118" t="str">
        <f>+E138/B138</f>
        <v>#DIV/0!</v>
      </c>
      <c r="F139" s="119" t="str">
        <f>+F138/B138</f>
        <v>#DIV/0!</v>
      </c>
      <c r="G139" s="120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1"/>
      <c r="B140" s="122"/>
      <c r="C140" s="123"/>
      <c r="D140" s="123"/>
      <c r="E140" s="123"/>
      <c r="F140" s="124"/>
      <c r="G140" s="125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6"/>
      <c r="B141" s="90"/>
      <c r="C141" s="90"/>
      <c r="D141" s="127" t="s">
        <v>50</v>
      </c>
      <c r="E141" s="127" t="s">
        <v>48</v>
      </c>
      <c r="F141" s="128">
        <f>+D138+E138+F138+G138</f>
        <v>-12286.586</v>
      </c>
      <c r="G141" s="129"/>
      <c r="P141" s="130"/>
      <c r="S141" s="4"/>
      <c r="T141" s="4"/>
      <c r="U141" s="4"/>
      <c r="V141" s="4"/>
      <c r="W141" s="4"/>
      <c r="X141" s="4"/>
      <c r="Y141" s="4"/>
    </row>
    <row r="142" ht="15.75" customHeight="1">
      <c r="A142" s="131"/>
      <c r="B142" s="4"/>
      <c r="C142" s="4"/>
      <c r="D142" s="2"/>
      <c r="E142" s="26" t="s">
        <v>49</v>
      </c>
      <c r="F142" s="132" t="str">
        <f>+F141/B138</f>
        <v>#DIV/0!</v>
      </c>
      <c r="G142" s="133"/>
      <c r="P142" s="130"/>
      <c r="S142" s="4"/>
      <c r="T142" s="4"/>
      <c r="U142" s="4"/>
      <c r="V142" s="4"/>
      <c r="W142" s="4"/>
      <c r="X142" s="4"/>
      <c r="Y142" s="4"/>
    </row>
    <row r="143" ht="15.75" customHeight="1">
      <c r="A143" s="134"/>
      <c r="B143" s="66"/>
      <c r="C143" s="26" t="s">
        <v>51</v>
      </c>
      <c r="D143" s="66"/>
      <c r="E143" s="66"/>
      <c r="F143" s="135"/>
      <c r="G143" s="136"/>
      <c r="P143" s="137"/>
      <c r="S143" s="4"/>
      <c r="T143" s="4"/>
      <c r="U143" s="4"/>
      <c r="V143" s="4"/>
      <c r="W143" s="4"/>
      <c r="X143" s="4"/>
      <c r="Y143" s="4"/>
    </row>
    <row r="144" ht="15.75" customHeight="1">
      <c r="A144" s="134"/>
      <c r="B144" s="66"/>
      <c r="C144" s="66"/>
      <c r="D144" s="26" t="s">
        <v>52</v>
      </c>
      <c r="E144" s="66"/>
      <c r="F144" s="135">
        <f>+F143*(F141-F138)</f>
        <v>0</v>
      </c>
      <c r="G144" s="136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8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26" width="10.43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44347.0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</row>
    <row r="7" ht="36.0" customHeight="1">
      <c r="A7" s="146" t="s">
        <v>6</v>
      </c>
      <c r="B7" s="147"/>
      <c r="C7" s="148" t="s">
        <v>54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55</v>
      </c>
      <c r="C8" s="154">
        <v>29.5</v>
      </c>
      <c r="D8" s="155">
        <v>0.0155</v>
      </c>
      <c r="E8" s="156">
        <f>252.985*29.15</f>
        <v>7374.51275</v>
      </c>
      <c r="F8" s="156"/>
      <c r="G8" s="156"/>
      <c r="H8" s="157">
        <v>29.15</v>
      </c>
      <c r="I8" s="158">
        <f t="shared" ref="I8:I18" si="1">+D8*E8</f>
        <v>114.3049476</v>
      </c>
      <c r="J8" s="159">
        <f t="shared" ref="J8:J18" si="2">E8-I8</f>
        <v>7260.207802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60" t="s">
        <v>56</v>
      </c>
      <c r="C9" s="154">
        <v>29.5</v>
      </c>
      <c r="D9" s="161">
        <v>0.0147</v>
      </c>
      <c r="E9" s="162">
        <f>251.86*20.961</f>
        <v>5279.23746</v>
      </c>
      <c r="F9" s="162"/>
      <c r="G9" s="162"/>
      <c r="H9" s="157">
        <v>20.961</v>
      </c>
      <c r="I9" s="158">
        <f t="shared" si="1"/>
        <v>77.60479066</v>
      </c>
      <c r="J9" s="159">
        <f t="shared" si="2"/>
        <v>5201.632669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60" t="s">
        <v>55</v>
      </c>
      <c r="C10" s="154">
        <v>29.5</v>
      </c>
      <c r="D10" s="155">
        <v>0.0155</v>
      </c>
      <c r="E10" s="156">
        <f>252.985*12</f>
        <v>3035.82</v>
      </c>
      <c r="F10" s="156"/>
      <c r="G10" s="156"/>
      <c r="H10" s="157">
        <v>12.0</v>
      </c>
      <c r="I10" s="158">
        <f t="shared" si="1"/>
        <v>47.05521</v>
      </c>
      <c r="J10" s="159">
        <f t="shared" si="2"/>
        <v>2988.76479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60" t="s">
        <v>56</v>
      </c>
      <c r="C11" s="154">
        <v>29.5</v>
      </c>
      <c r="D11" s="161">
        <v>0.0147</v>
      </c>
      <c r="E11" s="162">
        <f>251.86*21</f>
        <v>5289.06</v>
      </c>
      <c r="F11" s="162"/>
      <c r="G11" s="162"/>
      <c r="H11" s="157">
        <v>21.0</v>
      </c>
      <c r="I11" s="158">
        <f t="shared" si="1"/>
        <v>77.749182</v>
      </c>
      <c r="J11" s="159">
        <f t="shared" si="2"/>
        <v>5211.310818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0" t="s">
        <v>57</v>
      </c>
      <c r="C12" s="160">
        <v>20.5</v>
      </c>
      <c r="D12" s="161">
        <v>0.0846</v>
      </c>
      <c r="E12" s="162">
        <f>219.548*16.175</f>
        <v>3551.1889</v>
      </c>
      <c r="F12" s="162"/>
      <c r="G12" s="162"/>
      <c r="H12" s="157">
        <v>16.175</v>
      </c>
      <c r="I12" s="158">
        <f t="shared" si="1"/>
        <v>300.4305809</v>
      </c>
      <c r="J12" s="159">
        <f t="shared" si="2"/>
        <v>3250.758319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6.0</v>
      </c>
      <c r="B13" s="160" t="s">
        <v>55</v>
      </c>
      <c r="C13" s="160">
        <v>29.5</v>
      </c>
      <c r="D13" s="161">
        <v>0.0155</v>
      </c>
      <c r="E13" s="162">
        <f>245.746*21</f>
        <v>5160.666</v>
      </c>
      <c r="F13" s="162"/>
      <c r="G13" s="162"/>
      <c r="H13" s="157">
        <v>21.0</v>
      </c>
      <c r="I13" s="158">
        <f t="shared" si="1"/>
        <v>79.990323</v>
      </c>
      <c r="J13" s="159">
        <f t="shared" si="2"/>
        <v>5080.675677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3">
        <v>7.0</v>
      </c>
      <c r="B14" s="160" t="s">
        <v>58</v>
      </c>
      <c r="C14" s="160">
        <v>29.5</v>
      </c>
      <c r="D14" s="161">
        <v>0.088</v>
      </c>
      <c r="E14" s="162">
        <f>185.99*12</f>
        <v>2231.88</v>
      </c>
      <c r="F14" s="162"/>
      <c r="G14" s="162"/>
      <c r="H14" s="157">
        <v>12.0</v>
      </c>
      <c r="I14" s="158">
        <f t="shared" si="1"/>
        <v>196.40544</v>
      </c>
      <c r="J14" s="159">
        <f t="shared" si="2"/>
        <v>2035.47456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customHeight="1">
      <c r="A15" s="153">
        <v>8.0</v>
      </c>
      <c r="B15" s="160" t="s">
        <v>56</v>
      </c>
      <c r="C15" s="160">
        <v>29.5</v>
      </c>
      <c r="D15" s="161">
        <v>0.0147</v>
      </c>
      <c r="E15" s="162">
        <f>223.063*10.138</f>
        <v>2261.412694</v>
      </c>
      <c r="F15" s="162"/>
      <c r="G15" s="162"/>
      <c r="H15" s="157">
        <v>10.138</v>
      </c>
      <c r="I15" s="158">
        <f t="shared" si="1"/>
        <v>33.2427666</v>
      </c>
      <c r="J15" s="159">
        <f t="shared" si="2"/>
        <v>2228.169927</v>
      </c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customHeight="1">
      <c r="A16" s="153">
        <v>9.0</v>
      </c>
      <c r="B16" s="160" t="s">
        <v>59</v>
      </c>
      <c r="C16" s="160">
        <v>35.5</v>
      </c>
      <c r="D16" s="161">
        <v>0.0444</v>
      </c>
      <c r="E16" s="162">
        <f>244.119*1.234</f>
        <v>301.242846</v>
      </c>
      <c r="F16" s="162"/>
      <c r="G16" s="162"/>
      <c r="H16" s="157">
        <v>1.234</v>
      </c>
      <c r="I16" s="158">
        <f t="shared" si="1"/>
        <v>13.37518236</v>
      </c>
      <c r="J16" s="159">
        <f t="shared" si="2"/>
        <v>287.8676636</v>
      </c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customHeight="1">
      <c r="A17" s="153">
        <v>10.0</v>
      </c>
      <c r="B17" s="160" t="s">
        <v>60</v>
      </c>
      <c r="C17" s="160">
        <v>35.5</v>
      </c>
      <c r="D17" s="161">
        <v>0.0576</v>
      </c>
      <c r="E17" s="162">
        <f>239.361*1.282</f>
        <v>306.860802</v>
      </c>
      <c r="F17" s="162"/>
      <c r="G17" s="162"/>
      <c r="H17" s="157">
        <v>1.282</v>
      </c>
      <c r="I17" s="158">
        <f t="shared" si="1"/>
        <v>17.6751822</v>
      </c>
      <c r="J17" s="159">
        <f t="shared" si="2"/>
        <v>289.1856198</v>
      </c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customHeight="1">
      <c r="A18" s="153">
        <v>11.0</v>
      </c>
      <c r="B18" s="160" t="s">
        <v>61</v>
      </c>
      <c r="C18" s="160">
        <v>29.5</v>
      </c>
      <c r="D18" s="161">
        <v>0.068</v>
      </c>
      <c r="E18" s="162">
        <f>256.892*1.204</f>
        <v>309.297968</v>
      </c>
      <c r="F18" s="162"/>
      <c r="G18" s="162"/>
      <c r="H18" s="157">
        <v>1.204</v>
      </c>
      <c r="I18" s="158">
        <f t="shared" si="1"/>
        <v>21.03226182</v>
      </c>
      <c r="J18" s="159">
        <f t="shared" si="2"/>
        <v>288.2657062</v>
      </c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63"/>
      <c r="B19" s="164"/>
      <c r="C19" s="165"/>
      <c r="D19" s="166"/>
      <c r="E19" s="167">
        <f>SUM(E8:E18)</f>
        <v>35101.17942</v>
      </c>
      <c r="F19" s="168"/>
      <c r="G19" s="168"/>
      <c r="H19" s="169"/>
      <c r="I19" s="170">
        <f t="shared" ref="I19:J19" si="3">SUM(I8:I18)</f>
        <v>978.8658672</v>
      </c>
      <c r="J19" s="171">
        <f t="shared" si="3"/>
        <v>34122.31355</v>
      </c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72"/>
      <c r="B20" s="144"/>
      <c r="C20" s="144"/>
      <c r="D20" s="173"/>
      <c r="E20" s="174"/>
      <c r="F20" s="151"/>
      <c r="G20" s="151"/>
      <c r="H20" s="147"/>
      <c r="I20" s="175"/>
      <c r="J20" s="139"/>
      <c r="K20" s="139"/>
      <c r="L20" s="139"/>
      <c r="M20" s="139"/>
      <c r="N20" s="139"/>
      <c r="O20" s="139"/>
      <c r="P20" s="139"/>
      <c r="Q20" s="141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39"/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41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41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 t="s">
        <v>11</v>
      </c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41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41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40.5" customHeight="1">
      <c r="A25" s="176"/>
      <c r="B25" s="160" t="s">
        <v>12</v>
      </c>
      <c r="C25" s="177" t="s">
        <v>62</v>
      </c>
      <c r="D25" s="52"/>
      <c r="E25" s="53"/>
      <c r="F25" s="178"/>
      <c r="G25" s="178"/>
      <c r="H25" s="179" t="s">
        <v>14</v>
      </c>
      <c r="I25" s="160" t="s">
        <v>15</v>
      </c>
      <c r="J25" s="160" t="s">
        <v>16</v>
      </c>
      <c r="K25" s="139"/>
      <c r="L25" s="160" t="s">
        <v>17</v>
      </c>
      <c r="M25" s="160" t="s">
        <v>15</v>
      </c>
      <c r="N25" s="176" t="s">
        <v>18</v>
      </c>
      <c r="O25" s="139"/>
      <c r="P25" s="139"/>
      <c r="Q25" s="180"/>
      <c r="R25" s="160" t="s">
        <v>17</v>
      </c>
      <c r="S25" s="160" t="s">
        <v>15</v>
      </c>
      <c r="T25" s="176" t="s">
        <v>18</v>
      </c>
      <c r="U25" s="139"/>
      <c r="V25" s="176" t="s">
        <v>19</v>
      </c>
      <c r="W25" s="176" t="s">
        <v>20</v>
      </c>
      <c r="X25" s="176" t="s">
        <v>21</v>
      </c>
      <c r="Y25" s="176" t="s">
        <v>63</v>
      </c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27.0" customHeight="1">
      <c r="A26" s="181">
        <v>1.0</v>
      </c>
      <c r="B26" s="182" t="s">
        <v>64</v>
      </c>
      <c r="C26" s="183">
        <v>84.0</v>
      </c>
      <c r="D26" s="183">
        <v>214.0</v>
      </c>
      <c r="E26" s="183">
        <v>204.0</v>
      </c>
      <c r="F26" s="183">
        <f t="shared" ref="F26:F151" si="5">VALUE(IF(RIGHT(B26, 1)="%", RIGHT(B26, 3), 0))</f>
        <v>0.8</v>
      </c>
      <c r="G26" s="183">
        <f t="shared" ref="G26:G151" si="6">+Q26*C26/100*D26/100*E26/100</f>
        <v>108.179568</v>
      </c>
      <c r="H26" s="184">
        <f t="shared" ref="H26:H151" si="7">IF(F26=0, G26, F26*G26)</f>
        <v>86.5436544</v>
      </c>
      <c r="I26" s="183">
        <v>1.0</v>
      </c>
      <c r="J26" s="185">
        <f t="shared" ref="J26:J151" si="8">+I26*H26</f>
        <v>86.5436544</v>
      </c>
      <c r="K26" s="186"/>
      <c r="L26" s="187">
        <f>D26*25.4/1000</f>
        <v>5.4356</v>
      </c>
      <c r="M26" s="181">
        <f>+I26</f>
        <v>1</v>
      </c>
      <c r="N26" s="181">
        <f>M26*L26</f>
        <v>5.4356</v>
      </c>
      <c r="O26" s="186"/>
      <c r="P26" s="186"/>
      <c r="Q26" s="188">
        <v>29.5</v>
      </c>
      <c r="R26" s="187">
        <f t="shared" ref="R26:R152" si="9">E26/100</f>
        <v>2.04</v>
      </c>
      <c r="S26" s="181">
        <f t="shared" ref="S26:S152" si="10">I26</f>
        <v>1</v>
      </c>
      <c r="T26" s="181">
        <f t="shared" ref="T26:T152" si="11">S26*R26</f>
        <v>2.04</v>
      </c>
      <c r="U26" s="186">
        <f t="shared" ref="U26:U151" si="12">+Q26*C26/100*D26/100*E26/100</f>
        <v>108.179568</v>
      </c>
      <c r="V26" s="187">
        <f t="shared" ref="V26:W26" si="4">C26/100</f>
        <v>0.84</v>
      </c>
      <c r="W26" s="187">
        <f t="shared" si="4"/>
        <v>2.14</v>
      </c>
      <c r="X26" s="187">
        <f t="shared" ref="X26:X152" si="14">T26</f>
        <v>2.04</v>
      </c>
      <c r="Y26" s="189">
        <f t="shared" ref="Y26:Y152" si="15">V26*W26*X26</f>
        <v>3.667104</v>
      </c>
      <c r="Z26" s="190">
        <f>+SUM(J26:J43)</f>
        <v>4827.833922</v>
      </c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</row>
    <row r="27" ht="27.0" customHeight="1">
      <c r="A27" s="181">
        <v>2.0</v>
      </c>
      <c r="B27" s="191" t="s">
        <v>55</v>
      </c>
      <c r="C27" s="191">
        <v>99.0</v>
      </c>
      <c r="D27" s="191">
        <v>214.0</v>
      </c>
      <c r="E27" s="191">
        <v>219.0</v>
      </c>
      <c r="F27" s="191">
        <f t="shared" si="5"/>
        <v>0</v>
      </c>
      <c r="G27" s="191">
        <f t="shared" si="6"/>
        <v>136.872153</v>
      </c>
      <c r="H27" s="192">
        <f t="shared" si="7"/>
        <v>136.872153</v>
      </c>
      <c r="I27" s="191">
        <v>1.0</v>
      </c>
      <c r="J27" s="193">
        <f t="shared" si="8"/>
        <v>136.872153</v>
      </c>
      <c r="K27" s="186"/>
      <c r="L27" s="187"/>
      <c r="M27" s="181"/>
      <c r="N27" s="181"/>
      <c r="O27" s="186"/>
      <c r="P27" s="186"/>
      <c r="Q27" s="188">
        <v>29.5</v>
      </c>
      <c r="R27" s="187">
        <f t="shared" si="9"/>
        <v>2.19</v>
      </c>
      <c r="S27" s="181">
        <f t="shared" si="10"/>
        <v>1</v>
      </c>
      <c r="T27" s="181">
        <f t="shared" si="11"/>
        <v>2.19</v>
      </c>
      <c r="U27" s="186">
        <f t="shared" si="12"/>
        <v>136.872153</v>
      </c>
      <c r="V27" s="187">
        <f t="shared" ref="V27:W27" si="13">C27/100</f>
        <v>0.99</v>
      </c>
      <c r="W27" s="187">
        <f t="shared" si="13"/>
        <v>2.14</v>
      </c>
      <c r="X27" s="187">
        <f t="shared" si="14"/>
        <v>2.19</v>
      </c>
      <c r="Y27" s="189">
        <f t="shared" si="15"/>
        <v>4.639734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</row>
    <row r="28" ht="27.0" customHeight="1">
      <c r="A28" s="181">
        <v>3.0</v>
      </c>
      <c r="B28" s="191" t="s">
        <v>55</v>
      </c>
      <c r="C28" s="191">
        <v>100.0</v>
      </c>
      <c r="D28" s="191">
        <v>214.0</v>
      </c>
      <c r="E28" s="191">
        <v>216.0</v>
      </c>
      <c r="F28" s="191">
        <f t="shared" si="5"/>
        <v>0</v>
      </c>
      <c r="G28" s="191">
        <f t="shared" si="6"/>
        <v>136.3608</v>
      </c>
      <c r="H28" s="192">
        <f t="shared" si="7"/>
        <v>136.3608</v>
      </c>
      <c r="I28" s="191">
        <v>3.0</v>
      </c>
      <c r="J28" s="193">
        <f t="shared" si="8"/>
        <v>409.0824</v>
      </c>
      <c r="K28" s="186"/>
      <c r="L28" s="187">
        <f t="shared" ref="L28:L43" si="17">D28*25.4/1000</f>
        <v>5.4356</v>
      </c>
      <c r="M28" s="181">
        <f t="shared" ref="M28:M46" si="18">+I28</f>
        <v>3</v>
      </c>
      <c r="N28" s="181">
        <f t="shared" ref="N28:N43" si="19">M28*L28</f>
        <v>16.3068</v>
      </c>
      <c r="O28" s="186"/>
      <c r="P28" s="186"/>
      <c r="Q28" s="188">
        <v>29.5</v>
      </c>
      <c r="R28" s="187">
        <f t="shared" si="9"/>
        <v>2.16</v>
      </c>
      <c r="S28" s="181">
        <f t="shared" si="10"/>
        <v>3</v>
      </c>
      <c r="T28" s="181">
        <f t="shared" si="11"/>
        <v>6.48</v>
      </c>
      <c r="U28" s="186">
        <f t="shared" si="12"/>
        <v>136.3608</v>
      </c>
      <c r="V28" s="187">
        <f t="shared" ref="V28:W28" si="16">C28/100</f>
        <v>1</v>
      </c>
      <c r="W28" s="187">
        <f t="shared" si="16"/>
        <v>2.14</v>
      </c>
      <c r="X28" s="187">
        <f t="shared" si="14"/>
        <v>6.48</v>
      </c>
      <c r="Y28" s="189">
        <f t="shared" si="15"/>
        <v>13.8672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</row>
    <row r="29" ht="27.0" customHeight="1">
      <c r="A29" s="181">
        <v>4.0</v>
      </c>
      <c r="B29" s="191" t="s">
        <v>55</v>
      </c>
      <c r="C29" s="191">
        <v>100.0</v>
      </c>
      <c r="D29" s="191">
        <v>214.0</v>
      </c>
      <c r="E29" s="191">
        <v>219.0</v>
      </c>
      <c r="F29" s="191">
        <f t="shared" si="5"/>
        <v>0</v>
      </c>
      <c r="G29" s="191">
        <f t="shared" si="6"/>
        <v>138.2547</v>
      </c>
      <c r="H29" s="192">
        <f t="shared" si="7"/>
        <v>138.2547</v>
      </c>
      <c r="I29" s="191">
        <v>3.0</v>
      </c>
      <c r="J29" s="193">
        <f t="shared" si="8"/>
        <v>414.7641</v>
      </c>
      <c r="K29" s="186"/>
      <c r="L29" s="187">
        <f t="shared" si="17"/>
        <v>5.4356</v>
      </c>
      <c r="M29" s="181">
        <f t="shared" si="18"/>
        <v>3</v>
      </c>
      <c r="N29" s="181">
        <f t="shared" si="19"/>
        <v>16.3068</v>
      </c>
      <c r="O29" s="186"/>
      <c r="P29" s="186"/>
      <c r="Q29" s="188">
        <v>29.5</v>
      </c>
      <c r="R29" s="187">
        <f t="shared" si="9"/>
        <v>2.19</v>
      </c>
      <c r="S29" s="181">
        <f t="shared" si="10"/>
        <v>3</v>
      </c>
      <c r="T29" s="181">
        <f t="shared" si="11"/>
        <v>6.57</v>
      </c>
      <c r="U29" s="186">
        <f t="shared" si="12"/>
        <v>138.2547</v>
      </c>
      <c r="V29" s="187">
        <f t="shared" ref="V29:W29" si="20">C29/100</f>
        <v>1</v>
      </c>
      <c r="W29" s="187">
        <f t="shared" si="20"/>
        <v>2.14</v>
      </c>
      <c r="X29" s="187">
        <f t="shared" si="14"/>
        <v>6.57</v>
      </c>
      <c r="Y29" s="189">
        <f t="shared" si="15"/>
        <v>14.0598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</row>
    <row r="30" ht="27.0" customHeight="1">
      <c r="A30" s="181">
        <v>5.0</v>
      </c>
      <c r="B30" s="191" t="s">
        <v>55</v>
      </c>
      <c r="C30" s="191">
        <v>100.0</v>
      </c>
      <c r="D30" s="191">
        <v>214.0</v>
      </c>
      <c r="E30" s="191">
        <v>215.0</v>
      </c>
      <c r="F30" s="191">
        <f t="shared" si="5"/>
        <v>0</v>
      </c>
      <c r="G30" s="191">
        <f t="shared" si="6"/>
        <v>135.7295</v>
      </c>
      <c r="H30" s="192">
        <f t="shared" si="7"/>
        <v>135.7295</v>
      </c>
      <c r="I30" s="191">
        <v>3.0</v>
      </c>
      <c r="J30" s="193">
        <f t="shared" si="8"/>
        <v>407.1885</v>
      </c>
      <c r="K30" s="186"/>
      <c r="L30" s="187">
        <f t="shared" si="17"/>
        <v>5.4356</v>
      </c>
      <c r="M30" s="181">
        <f t="shared" si="18"/>
        <v>3</v>
      </c>
      <c r="N30" s="181">
        <f t="shared" si="19"/>
        <v>16.3068</v>
      </c>
      <c r="O30" s="186"/>
      <c r="P30" s="186"/>
      <c r="Q30" s="188">
        <v>29.5</v>
      </c>
      <c r="R30" s="187">
        <f t="shared" si="9"/>
        <v>2.15</v>
      </c>
      <c r="S30" s="181">
        <f t="shared" si="10"/>
        <v>3</v>
      </c>
      <c r="T30" s="181">
        <f t="shared" si="11"/>
        <v>6.45</v>
      </c>
      <c r="U30" s="186">
        <f t="shared" si="12"/>
        <v>135.7295</v>
      </c>
      <c r="V30" s="187">
        <f t="shared" ref="V30:W30" si="21">C30/100</f>
        <v>1</v>
      </c>
      <c r="W30" s="187">
        <f t="shared" si="21"/>
        <v>2.14</v>
      </c>
      <c r="X30" s="187">
        <f t="shared" si="14"/>
        <v>6.45</v>
      </c>
      <c r="Y30" s="189">
        <f t="shared" si="15"/>
        <v>13.803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</row>
    <row r="31" ht="27.0" customHeight="1">
      <c r="A31" s="181">
        <v>6.0</v>
      </c>
      <c r="B31" s="191" t="s">
        <v>55</v>
      </c>
      <c r="C31" s="191">
        <v>100.0</v>
      </c>
      <c r="D31" s="191">
        <v>214.0</v>
      </c>
      <c r="E31" s="191">
        <v>218.0</v>
      </c>
      <c r="F31" s="191">
        <f t="shared" si="5"/>
        <v>0</v>
      </c>
      <c r="G31" s="191">
        <f t="shared" si="6"/>
        <v>137.6234</v>
      </c>
      <c r="H31" s="192">
        <f t="shared" si="7"/>
        <v>137.6234</v>
      </c>
      <c r="I31" s="191">
        <v>6.0</v>
      </c>
      <c r="J31" s="193">
        <f t="shared" si="8"/>
        <v>825.7404</v>
      </c>
      <c r="K31" s="186"/>
      <c r="L31" s="187">
        <f t="shared" si="17"/>
        <v>5.4356</v>
      </c>
      <c r="M31" s="181">
        <f t="shared" si="18"/>
        <v>6</v>
      </c>
      <c r="N31" s="181">
        <f t="shared" si="19"/>
        <v>32.6136</v>
      </c>
      <c r="O31" s="186"/>
      <c r="P31" s="186"/>
      <c r="Q31" s="188">
        <v>29.5</v>
      </c>
      <c r="R31" s="187">
        <f t="shared" si="9"/>
        <v>2.18</v>
      </c>
      <c r="S31" s="181">
        <f t="shared" si="10"/>
        <v>6</v>
      </c>
      <c r="T31" s="181">
        <f t="shared" si="11"/>
        <v>13.08</v>
      </c>
      <c r="U31" s="186">
        <f t="shared" si="12"/>
        <v>137.6234</v>
      </c>
      <c r="V31" s="187">
        <f t="shared" ref="V31:W31" si="22">C31/100</f>
        <v>1</v>
      </c>
      <c r="W31" s="187">
        <f t="shared" si="22"/>
        <v>2.14</v>
      </c>
      <c r="X31" s="187">
        <f t="shared" si="14"/>
        <v>13.08</v>
      </c>
      <c r="Y31" s="189">
        <f t="shared" si="15"/>
        <v>27.9912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</row>
    <row r="32" ht="27.0" customHeight="1">
      <c r="A32" s="181">
        <v>7.0</v>
      </c>
      <c r="B32" s="191" t="s">
        <v>55</v>
      </c>
      <c r="C32" s="191">
        <v>101.0</v>
      </c>
      <c r="D32" s="191">
        <v>214.0</v>
      </c>
      <c r="E32" s="191">
        <v>204.0</v>
      </c>
      <c r="F32" s="191">
        <f t="shared" si="5"/>
        <v>0</v>
      </c>
      <c r="G32" s="191">
        <f t="shared" si="6"/>
        <v>130.073052</v>
      </c>
      <c r="H32" s="192">
        <f t="shared" si="7"/>
        <v>130.073052</v>
      </c>
      <c r="I32" s="191">
        <v>1.0</v>
      </c>
      <c r="J32" s="193">
        <f t="shared" si="8"/>
        <v>130.073052</v>
      </c>
      <c r="K32" s="186"/>
      <c r="L32" s="187">
        <f t="shared" si="17"/>
        <v>5.4356</v>
      </c>
      <c r="M32" s="181">
        <f t="shared" si="18"/>
        <v>1</v>
      </c>
      <c r="N32" s="181">
        <f t="shared" si="19"/>
        <v>5.4356</v>
      </c>
      <c r="O32" s="186"/>
      <c r="P32" s="186"/>
      <c r="Q32" s="188">
        <v>29.5</v>
      </c>
      <c r="R32" s="187">
        <f t="shared" si="9"/>
        <v>2.04</v>
      </c>
      <c r="S32" s="181">
        <f t="shared" si="10"/>
        <v>1</v>
      </c>
      <c r="T32" s="181">
        <f t="shared" si="11"/>
        <v>2.04</v>
      </c>
      <c r="U32" s="186">
        <f t="shared" si="12"/>
        <v>130.073052</v>
      </c>
      <c r="V32" s="187">
        <f t="shared" ref="V32:W32" si="23">C32/100</f>
        <v>1.01</v>
      </c>
      <c r="W32" s="187">
        <f t="shared" si="23"/>
        <v>2.14</v>
      </c>
      <c r="X32" s="187">
        <f t="shared" si="14"/>
        <v>2.04</v>
      </c>
      <c r="Y32" s="189">
        <f t="shared" si="15"/>
        <v>4.409256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</row>
    <row r="33" ht="27.0" customHeight="1">
      <c r="A33" s="181">
        <v>8.0</v>
      </c>
      <c r="B33" s="191" t="s">
        <v>55</v>
      </c>
      <c r="C33" s="191">
        <v>100.0</v>
      </c>
      <c r="D33" s="191">
        <v>214.0</v>
      </c>
      <c r="E33" s="191">
        <v>203.0</v>
      </c>
      <c r="F33" s="191">
        <f t="shared" si="5"/>
        <v>0</v>
      </c>
      <c r="G33" s="191">
        <f t="shared" si="6"/>
        <v>128.1539</v>
      </c>
      <c r="H33" s="192">
        <f t="shared" si="7"/>
        <v>128.1539</v>
      </c>
      <c r="I33" s="191">
        <v>7.0</v>
      </c>
      <c r="J33" s="193">
        <f t="shared" si="8"/>
        <v>897.0773</v>
      </c>
      <c r="K33" s="186"/>
      <c r="L33" s="187">
        <f t="shared" si="17"/>
        <v>5.4356</v>
      </c>
      <c r="M33" s="181">
        <f t="shared" si="18"/>
        <v>7</v>
      </c>
      <c r="N33" s="181">
        <f t="shared" si="19"/>
        <v>38.0492</v>
      </c>
      <c r="O33" s="186"/>
      <c r="P33" s="186"/>
      <c r="Q33" s="188">
        <v>29.5</v>
      </c>
      <c r="R33" s="187">
        <f t="shared" si="9"/>
        <v>2.03</v>
      </c>
      <c r="S33" s="181">
        <f t="shared" si="10"/>
        <v>7</v>
      </c>
      <c r="T33" s="181">
        <f t="shared" si="11"/>
        <v>14.21</v>
      </c>
      <c r="U33" s="186">
        <f t="shared" si="12"/>
        <v>128.1539</v>
      </c>
      <c r="V33" s="187">
        <f t="shared" ref="V33:W33" si="24">C33/100</f>
        <v>1</v>
      </c>
      <c r="W33" s="187">
        <f t="shared" si="24"/>
        <v>2.14</v>
      </c>
      <c r="X33" s="187">
        <f t="shared" si="14"/>
        <v>14.21</v>
      </c>
      <c r="Y33" s="189">
        <f t="shared" si="15"/>
        <v>30.4094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</row>
    <row r="34" ht="27.0" customHeight="1">
      <c r="A34" s="181">
        <v>9.0</v>
      </c>
      <c r="B34" s="191" t="s">
        <v>55</v>
      </c>
      <c r="C34" s="191">
        <v>93.0</v>
      </c>
      <c r="D34" s="191">
        <v>214.0</v>
      </c>
      <c r="E34" s="191">
        <v>202.0</v>
      </c>
      <c r="F34" s="191">
        <f t="shared" si="5"/>
        <v>0</v>
      </c>
      <c r="G34" s="191">
        <f t="shared" si="6"/>
        <v>118.596018</v>
      </c>
      <c r="H34" s="192">
        <f t="shared" si="7"/>
        <v>118.596018</v>
      </c>
      <c r="I34" s="191">
        <v>1.0</v>
      </c>
      <c r="J34" s="193">
        <f t="shared" si="8"/>
        <v>118.596018</v>
      </c>
      <c r="K34" s="186"/>
      <c r="L34" s="187">
        <f t="shared" si="17"/>
        <v>5.4356</v>
      </c>
      <c r="M34" s="181">
        <f t="shared" si="18"/>
        <v>1</v>
      </c>
      <c r="N34" s="181">
        <f t="shared" si="19"/>
        <v>5.4356</v>
      </c>
      <c r="O34" s="186"/>
      <c r="P34" s="186"/>
      <c r="Q34" s="188">
        <v>29.5</v>
      </c>
      <c r="R34" s="187">
        <f t="shared" si="9"/>
        <v>2.02</v>
      </c>
      <c r="S34" s="181">
        <f t="shared" si="10"/>
        <v>1</v>
      </c>
      <c r="T34" s="181">
        <f t="shared" si="11"/>
        <v>2.02</v>
      </c>
      <c r="U34" s="186">
        <f t="shared" si="12"/>
        <v>118.596018</v>
      </c>
      <c r="V34" s="187">
        <f t="shared" ref="V34:W34" si="25">C34/100</f>
        <v>0.93</v>
      </c>
      <c r="W34" s="187">
        <f t="shared" si="25"/>
        <v>2.14</v>
      </c>
      <c r="X34" s="187">
        <f t="shared" si="14"/>
        <v>2.02</v>
      </c>
      <c r="Y34" s="189">
        <f t="shared" si="15"/>
        <v>4.020204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</row>
    <row r="35" ht="27.0" customHeight="1">
      <c r="A35" s="181">
        <v>10.0</v>
      </c>
      <c r="B35" s="191" t="s">
        <v>55</v>
      </c>
      <c r="C35" s="191">
        <v>97.0</v>
      </c>
      <c r="D35" s="191">
        <v>214.0</v>
      </c>
      <c r="E35" s="191">
        <v>202.0</v>
      </c>
      <c r="F35" s="191">
        <f t="shared" si="5"/>
        <v>0</v>
      </c>
      <c r="G35" s="191">
        <f t="shared" si="6"/>
        <v>123.696922</v>
      </c>
      <c r="H35" s="192">
        <f t="shared" si="7"/>
        <v>123.696922</v>
      </c>
      <c r="I35" s="191">
        <v>2.0</v>
      </c>
      <c r="J35" s="193">
        <f t="shared" si="8"/>
        <v>247.393844</v>
      </c>
      <c r="K35" s="186"/>
      <c r="L35" s="187">
        <f t="shared" si="17"/>
        <v>5.4356</v>
      </c>
      <c r="M35" s="181">
        <f t="shared" si="18"/>
        <v>2</v>
      </c>
      <c r="N35" s="181">
        <f t="shared" si="19"/>
        <v>10.8712</v>
      </c>
      <c r="O35" s="186"/>
      <c r="P35" s="186"/>
      <c r="Q35" s="188">
        <v>29.5</v>
      </c>
      <c r="R35" s="187">
        <f t="shared" si="9"/>
        <v>2.02</v>
      </c>
      <c r="S35" s="181">
        <f t="shared" si="10"/>
        <v>2</v>
      </c>
      <c r="T35" s="181">
        <f t="shared" si="11"/>
        <v>4.04</v>
      </c>
      <c r="U35" s="186">
        <f t="shared" si="12"/>
        <v>123.696922</v>
      </c>
      <c r="V35" s="187">
        <f t="shared" ref="V35:W35" si="26">C35/100</f>
        <v>0.97</v>
      </c>
      <c r="W35" s="187">
        <f t="shared" si="26"/>
        <v>2.14</v>
      </c>
      <c r="X35" s="187">
        <f t="shared" si="14"/>
        <v>4.04</v>
      </c>
      <c r="Y35" s="189">
        <f t="shared" si="15"/>
        <v>8.386232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</row>
    <row r="36" ht="27.0" customHeight="1">
      <c r="A36" s="181">
        <v>11.0</v>
      </c>
      <c r="B36" s="191" t="s">
        <v>55</v>
      </c>
      <c r="C36" s="191">
        <v>89.0</v>
      </c>
      <c r="D36" s="191">
        <v>214.0</v>
      </c>
      <c r="E36" s="191">
        <v>217.0</v>
      </c>
      <c r="F36" s="191">
        <f t="shared" si="5"/>
        <v>0</v>
      </c>
      <c r="G36" s="191">
        <f t="shared" si="6"/>
        <v>121.922969</v>
      </c>
      <c r="H36" s="192">
        <f t="shared" si="7"/>
        <v>121.922969</v>
      </c>
      <c r="I36" s="191">
        <v>1.0</v>
      </c>
      <c r="J36" s="193">
        <f t="shared" si="8"/>
        <v>121.922969</v>
      </c>
      <c r="K36" s="186"/>
      <c r="L36" s="187">
        <f t="shared" si="17"/>
        <v>5.4356</v>
      </c>
      <c r="M36" s="181">
        <f t="shared" si="18"/>
        <v>1</v>
      </c>
      <c r="N36" s="181">
        <f t="shared" si="19"/>
        <v>5.4356</v>
      </c>
      <c r="O36" s="186"/>
      <c r="P36" s="186"/>
      <c r="Q36" s="188">
        <v>29.5</v>
      </c>
      <c r="R36" s="187">
        <f t="shared" si="9"/>
        <v>2.17</v>
      </c>
      <c r="S36" s="181">
        <f t="shared" si="10"/>
        <v>1</v>
      </c>
      <c r="T36" s="181">
        <f t="shared" si="11"/>
        <v>2.17</v>
      </c>
      <c r="U36" s="186">
        <f t="shared" si="12"/>
        <v>121.922969</v>
      </c>
      <c r="V36" s="187">
        <f t="shared" ref="V36:W36" si="27">C36/100</f>
        <v>0.89</v>
      </c>
      <c r="W36" s="187">
        <f t="shared" si="27"/>
        <v>2.14</v>
      </c>
      <c r="X36" s="187">
        <f t="shared" si="14"/>
        <v>2.17</v>
      </c>
      <c r="Y36" s="189">
        <f t="shared" si="15"/>
        <v>4.132982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</row>
    <row r="37" ht="27.0" customHeight="1">
      <c r="A37" s="181">
        <v>12.0</v>
      </c>
      <c r="B37" s="191" t="s">
        <v>55</v>
      </c>
      <c r="C37" s="191">
        <v>97.0</v>
      </c>
      <c r="D37" s="191">
        <v>214.0</v>
      </c>
      <c r="E37" s="191">
        <v>219.0</v>
      </c>
      <c r="F37" s="191">
        <f t="shared" si="5"/>
        <v>0</v>
      </c>
      <c r="G37" s="191">
        <f t="shared" si="6"/>
        <v>134.107059</v>
      </c>
      <c r="H37" s="192">
        <f t="shared" si="7"/>
        <v>134.107059</v>
      </c>
      <c r="I37" s="191">
        <v>1.0</v>
      </c>
      <c r="J37" s="193">
        <f t="shared" si="8"/>
        <v>134.107059</v>
      </c>
      <c r="K37" s="186"/>
      <c r="L37" s="187">
        <f t="shared" si="17"/>
        <v>5.4356</v>
      </c>
      <c r="M37" s="181">
        <f t="shared" si="18"/>
        <v>1</v>
      </c>
      <c r="N37" s="181">
        <f t="shared" si="19"/>
        <v>5.4356</v>
      </c>
      <c r="O37" s="186"/>
      <c r="P37" s="186"/>
      <c r="Q37" s="188">
        <v>29.5</v>
      </c>
      <c r="R37" s="187">
        <f t="shared" si="9"/>
        <v>2.19</v>
      </c>
      <c r="S37" s="181">
        <f t="shared" si="10"/>
        <v>1</v>
      </c>
      <c r="T37" s="181">
        <f t="shared" si="11"/>
        <v>2.19</v>
      </c>
      <c r="U37" s="186">
        <f t="shared" si="12"/>
        <v>134.107059</v>
      </c>
      <c r="V37" s="187">
        <f t="shared" ref="V37:W37" si="28">C37/100</f>
        <v>0.97</v>
      </c>
      <c r="W37" s="187">
        <f t="shared" si="28"/>
        <v>2.14</v>
      </c>
      <c r="X37" s="187">
        <f t="shared" si="14"/>
        <v>2.19</v>
      </c>
      <c r="Y37" s="189">
        <f t="shared" si="15"/>
        <v>4.546002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</row>
    <row r="38" ht="27.0" customHeight="1">
      <c r="A38" s="181">
        <v>13.0</v>
      </c>
      <c r="B38" s="191" t="s">
        <v>55</v>
      </c>
      <c r="C38" s="191">
        <v>99.0</v>
      </c>
      <c r="D38" s="191">
        <v>214.0</v>
      </c>
      <c r="E38" s="191">
        <v>203.0</v>
      </c>
      <c r="F38" s="191">
        <f t="shared" si="5"/>
        <v>0</v>
      </c>
      <c r="G38" s="191">
        <f t="shared" si="6"/>
        <v>126.872361</v>
      </c>
      <c r="H38" s="192">
        <f t="shared" si="7"/>
        <v>126.872361</v>
      </c>
      <c r="I38" s="191">
        <v>1.0</v>
      </c>
      <c r="J38" s="193">
        <f t="shared" si="8"/>
        <v>126.872361</v>
      </c>
      <c r="K38" s="186"/>
      <c r="L38" s="187">
        <f t="shared" si="17"/>
        <v>5.4356</v>
      </c>
      <c r="M38" s="181">
        <f t="shared" si="18"/>
        <v>1</v>
      </c>
      <c r="N38" s="181">
        <f t="shared" si="19"/>
        <v>5.4356</v>
      </c>
      <c r="O38" s="186"/>
      <c r="P38" s="186"/>
      <c r="Q38" s="188">
        <v>29.5</v>
      </c>
      <c r="R38" s="187">
        <f t="shared" si="9"/>
        <v>2.03</v>
      </c>
      <c r="S38" s="181">
        <f t="shared" si="10"/>
        <v>1</v>
      </c>
      <c r="T38" s="181">
        <f t="shared" si="11"/>
        <v>2.03</v>
      </c>
      <c r="U38" s="186">
        <f t="shared" si="12"/>
        <v>126.872361</v>
      </c>
      <c r="V38" s="187">
        <f t="shared" ref="V38:W38" si="29">C38/100</f>
        <v>0.99</v>
      </c>
      <c r="W38" s="187">
        <f t="shared" si="29"/>
        <v>2.14</v>
      </c>
      <c r="X38" s="187">
        <f t="shared" si="14"/>
        <v>2.03</v>
      </c>
      <c r="Y38" s="189">
        <f t="shared" si="15"/>
        <v>4.300758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</row>
    <row r="39" ht="27.0" customHeight="1">
      <c r="A39" s="181">
        <v>14.0</v>
      </c>
      <c r="B39" s="191" t="s">
        <v>55</v>
      </c>
      <c r="C39" s="191">
        <v>99.0</v>
      </c>
      <c r="D39" s="191">
        <v>214.0</v>
      </c>
      <c r="E39" s="191">
        <v>218.0</v>
      </c>
      <c r="F39" s="191">
        <f t="shared" si="5"/>
        <v>0</v>
      </c>
      <c r="G39" s="191">
        <f t="shared" si="6"/>
        <v>136.247166</v>
      </c>
      <c r="H39" s="192">
        <f t="shared" si="7"/>
        <v>136.247166</v>
      </c>
      <c r="I39" s="191">
        <v>1.0</v>
      </c>
      <c r="J39" s="193">
        <f t="shared" si="8"/>
        <v>136.247166</v>
      </c>
      <c r="K39" s="186"/>
      <c r="L39" s="187">
        <f t="shared" si="17"/>
        <v>5.4356</v>
      </c>
      <c r="M39" s="181">
        <f t="shared" si="18"/>
        <v>1</v>
      </c>
      <c r="N39" s="181">
        <f t="shared" si="19"/>
        <v>5.4356</v>
      </c>
      <c r="O39" s="186"/>
      <c r="P39" s="186"/>
      <c r="Q39" s="188">
        <v>29.5</v>
      </c>
      <c r="R39" s="187">
        <f t="shared" si="9"/>
        <v>2.18</v>
      </c>
      <c r="S39" s="181">
        <f t="shared" si="10"/>
        <v>1</v>
      </c>
      <c r="T39" s="181">
        <f t="shared" si="11"/>
        <v>2.18</v>
      </c>
      <c r="U39" s="186">
        <f t="shared" si="12"/>
        <v>136.247166</v>
      </c>
      <c r="V39" s="187">
        <f t="shared" ref="V39:W39" si="30">C39/100</f>
        <v>0.99</v>
      </c>
      <c r="W39" s="187">
        <f t="shared" si="30"/>
        <v>2.14</v>
      </c>
      <c r="X39" s="187">
        <f t="shared" si="14"/>
        <v>2.18</v>
      </c>
      <c r="Y39" s="189">
        <f t="shared" si="15"/>
        <v>4.618548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</row>
    <row r="40" ht="27.0" customHeight="1">
      <c r="A40" s="181">
        <v>15.0</v>
      </c>
      <c r="B40" s="191" t="s">
        <v>55</v>
      </c>
      <c r="C40" s="191">
        <v>99.0</v>
      </c>
      <c r="D40" s="191">
        <v>214.0</v>
      </c>
      <c r="E40" s="191">
        <v>206.0</v>
      </c>
      <c r="F40" s="191">
        <f t="shared" si="5"/>
        <v>0</v>
      </c>
      <c r="G40" s="191">
        <f t="shared" si="6"/>
        <v>128.747322</v>
      </c>
      <c r="H40" s="192">
        <f t="shared" si="7"/>
        <v>128.747322</v>
      </c>
      <c r="I40" s="191">
        <v>2.0</v>
      </c>
      <c r="J40" s="193">
        <f t="shared" si="8"/>
        <v>257.494644</v>
      </c>
      <c r="K40" s="186"/>
      <c r="L40" s="187">
        <f t="shared" si="17"/>
        <v>5.4356</v>
      </c>
      <c r="M40" s="181">
        <f t="shared" si="18"/>
        <v>2</v>
      </c>
      <c r="N40" s="181">
        <f t="shared" si="19"/>
        <v>10.8712</v>
      </c>
      <c r="O40" s="186"/>
      <c r="P40" s="186"/>
      <c r="Q40" s="188">
        <v>29.5</v>
      </c>
      <c r="R40" s="187">
        <f t="shared" si="9"/>
        <v>2.06</v>
      </c>
      <c r="S40" s="181">
        <f t="shared" si="10"/>
        <v>2</v>
      </c>
      <c r="T40" s="181">
        <f t="shared" si="11"/>
        <v>4.12</v>
      </c>
      <c r="U40" s="186">
        <f t="shared" si="12"/>
        <v>128.747322</v>
      </c>
      <c r="V40" s="187">
        <f t="shared" ref="V40:W40" si="31">C40/100</f>
        <v>0.99</v>
      </c>
      <c r="W40" s="187">
        <f t="shared" si="31"/>
        <v>2.14</v>
      </c>
      <c r="X40" s="187">
        <f t="shared" si="14"/>
        <v>4.12</v>
      </c>
      <c r="Y40" s="189">
        <f t="shared" si="15"/>
        <v>8.728632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</row>
    <row r="41" ht="27.0" customHeight="1">
      <c r="A41" s="181">
        <v>16.0</v>
      </c>
      <c r="B41" s="191" t="s">
        <v>55</v>
      </c>
      <c r="C41" s="191">
        <v>90.0</v>
      </c>
      <c r="D41" s="191">
        <v>214.0</v>
      </c>
      <c r="E41" s="191">
        <v>203.0</v>
      </c>
      <c r="F41" s="191">
        <f t="shared" si="5"/>
        <v>0</v>
      </c>
      <c r="G41" s="191">
        <f t="shared" si="6"/>
        <v>115.33851</v>
      </c>
      <c r="H41" s="192">
        <f t="shared" si="7"/>
        <v>115.33851</v>
      </c>
      <c r="I41" s="191">
        <v>1.0</v>
      </c>
      <c r="J41" s="194">
        <f t="shared" si="8"/>
        <v>115.33851</v>
      </c>
      <c r="K41" s="186"/>
      <c r="L41" s="187">
        <f t="shared" si="17"/>
        <v>5.4356</v>
      </c>
      <c r="M41" s="181">
        <f t="shared" si="18"/>
        <v>1</v>
      </c>
      <c r="N41" s="181">
        <f t="shared" si="19"/>
        <v>5.4356</v>
      </c>
      <c r="O41" s="186"/>
      <c r="P41" s="186"/>
      <c r="Q41" s="188">
        <v>29.5</v>
      </c>
      <c r="R41" s="187">
        <f t="shared" si="9"/>
        <v>2.03</v>
      </c>
      <c r="S41" s="181">
        <f t="shared" si="10"/>
        <v>1</v>
      </c>
      <c r="T41" s="181">
        <f t="shared" si="11"/>
        <v>2.03</v>
      </c>
      <c r="U41" s="186">
        <f t="shared" si="12"/>
        <v>115.33851</v>
      </c>
      <c r="V41" s="187">
        <f t="shared" ref="V41:W41" si="32">C41/100</f>
        <v>0.9</v>
      </c>
      <c r="W41" s="187">
        <f t="shared" si="32"/>
        <v>2.14</v>
      </c>
      <c r="X41" s="187">
        <f t="shared" si="14"/>
        <v>2.03</v>
      </c>
      <c r="Y41" s="189">
        <f t="shared" si="15"/>
        <v>3.90978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</row>
    <row r="42" ht="27.0" customHeight="1">
      <c r="A42" s="181">
        <v>17.0</v>
      </c>
      <c r="B42" s="191" t="s">
        <v>55</v>
      </c>
      <c r="C42" s="191">
        <v>100.0</v>
      </c>
      <c r="D42" s="191">
        <v>214.0</v>
      </c>
      <c r="E42" s="191">
        <v>202.0</v>
      </c>
      <c r="F42" s="191">
        <f t="shared" si="5"/>
        <v>0</v>
      </c>
      <c r="G42" s="191">
        <f t="shared" si="6"/>
        <v>127.5226</v>
      </c>
      <c r="H42" s="192">
        <f t="shared" si="7"/>
        <v>127.5226</v>
      </c>
      <c r="I42" s="191">
        <v>1.0</v>
      </c>
      <c r="J42" s="194">
        <f t="shared" si="8"/>
        <v>127.5226</v>
      </c>
      <c r="K42" s="186"/>
      <c r="L42" s="187">
        <f t="shared" si="17"/>
        <v>5.4356</v>
      </c>
      <c r="M42" s="181">
        <f t="shared" si="18"/>
        <v>1</v>
      </c>
      <c r="N42" s="181">
        <f t="shared" si="19"/>
        <v>5.4356</v>
      </c>
      <c r="O42" s="186"/>
      <c r="P42" s="186"/>
      <c r="Q42" s="188">
        <v>29.5</v>
      </c>
      <c r="R42" s="187">
        <f t="shared" si="9"/>
        <v>2.02</v>
      </c>
      <c r="S42" s="181">
        <f t="shared" si="10"/>
        <v>1</v>
      </c>
      <c r="T42" s="181">
        <f t="shared" si="11"/>
        <v>2.02</v>
      </c>
      <c r="U42" s="186">
        <f t="shared" si="12"/>
        <v>127.5226</v>
      </c>
      <c r="V42" s="187">
        <f t="shared" ref="V42:W42" si="33">C42/100</f>
        <v>1</v>
      </c>
      <c r="W42" s="187">
        <f t="shared" si="33"/>
        <v>2.14</v>
      </c>
      <c r="X42" s="187">
        <f t="shared" si="14"/>
        <v>2.02</v>
      </c>
      <c r="Y42" s="189">
        <f t="shared" si="15"/>
        <v>4.3228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</row>
    <row r="43" ht="27.0" customHeight="1">
      <c r="A43" s="181">
        <v>18.0</v>
      </c>
      <c r="B43" s="191" t="s">
        <v>55</v>
      </c>
      <c r="C43" s="191">
        <v>99.0</v>
      </c>
      <c r="D43" s="191">
        <v>214.0</v>
      </c>
      <c r="E43" s="191">
        <v>216.0</v>
      </c>
      <c r="F43" s="191">
        <f t="shared" si="5"/>
        <v>0</v>
      </c>
      <c r="G43" s="191">
        <f t="shared" si="6"/>
        <v>134.997192</v>
      </c>
      <c r="H43" s="192">
        <f t="shared" si="7"/>
        <v>134.997192</v>
      </c>
      <c r="I43" s="191">
        <v>1.0</v>
      </c>
      <c r="J43" s="194">
        <f t="shared" si="8"/>
        <v>134.997192</v>
      </c>
      <c r="K43" s="186"/>
      <c r="L43" s="164">
        <f t="shared" si="17"/>
        <v>5.4356</v>
      </c>
      <c r="M43" s="195">
        <f t="shared" si="18"/>
        <v>1</v>
      </c>
      <c r="N43" s="195">
        <f t="shared" si="19"/>
        <v>5.4356</v>
      </c>
      <c r="O43" s="186"/>
      <c r="P43" s="186"/>
      <c r="Q43" s="188">
        <v>29.5</v>
      </c>
      <c r="R43" s="187">
        <f t="shared" si="9"/>
        <v>2.16</v>
      </c>
      <c r="S43" s="181">
        <f t="shared" si="10"/>
        <v>1</v>
      </c>
      <c r="T43" s="181">
        <f t="shared" si="11"/>
        <v>2.16</v>
      </c>
      <c r="U43" s="186">
        <f t="shared" si="12"/>
        <v>134.997192</v>
      </c>
      <c r="V43" s="187">
        <f t="shared" ref="V43:W43" si="34">C43/100</f>
        <v>0.99</v>
      </c>
      <c r="W43" s="187">
        <f t="shared" si="34"/>
        <v>2.14</v>
      </c>
      <c r="X43" s="187">
        <f t="shared" si="14"/>
        <v>2.16</v>
      </c>
      <c r="Y43" s="189">
        <f t="shared" si="15"/>
        <v>4.576176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</row>
    <row r="44" ht="27.0" customHeight="1">
      <c r="A44" s="181">
        <v>19.0</v>
      </c>
      <c r="B44" s="182" t="s">
        <v>65</v>
      </c>
      <c r="C44" s="183">
        <v>90.0</v>
      </c>
      <c r="D44" s="183">
        <v>195.0</v>
      </c>
      <c r="E44" s="183">
        <v>246.0</v>
      </c>
      <c r="F44" s="183">
        <f t="shared" si="5"/>
        <v>0.8</v>
      </c>
      <c r="G44" s="183">
        <f t="shared" si="6"/>
        <v>127.36035</v>
      </c>
      <c r="H44" s="184">
        <f t="shared" si="7"/>
        <v>101.88828</v>
      </c>
      <c r="I44" s="183">
        <v>1.0</v>
      </c>
      <c r="J44" s="185">
        <f t="shared" si="8"/>
        <v>101.88828</v>
      </c>
      <c r="K44" s="186"/>
      <c r="L44" s="164"/>
      <c r="M44" s="195">
        <f t="shared" si="18"/>
        <v>1</v>
      </c>
      <c r="N44" s="195"/>
      <c r="O44" s="186"/>
      <c r="P44" s="186"/>
      <c r="Q44" s="188">
        <v>29.5</v>
      </c>
      <c r="R44" s="187">
        <f t="shared" si="9"/>
        <v>2.46</v>
      </c>
      <c r="S44" s="181">
        <f t="shared" si="10"/>
        <v>1</v>
      </c>
      <c r="T44" s="181">
        <f t="shared" si="11"/>
        <v>2.46</v>
      </c>
      <c r="U44" s="186">
        <f t="shared" si="12"/>
        <v>127.36035</v>
      </c>
      <c r="V44" s="187">
        <f t="shared" ref="V44:W44" si="35">C44/100</f>
        <v>0.9</v>
      </c>
      <c r="W44" s="187">
        <f t="shared" si="35"/>
        <v>1.95</v>
      </c>
      <c r="X44" s="187">
        <f t="shared" si="14"/>
        <v>2.46</v>
      </c>
      <c r="Y44" s="189">
        <f t="shared" si="15"/>
        <v>4.3173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</row>
    <row r="45" ht="27.0" customHeight="1">
      <c r="A45" s="181">
        <v>20.0</v>
      </c>
      <c r="B45" s="191" t="s">
        <v>56</v>
      </c>
      <c r="C45" s="191">
        <v>101.0</v>
      </c>
      <c r="D45" s="191">
        <v>195.0</v>
      </c>
      <c r="E45" s="191">
        <v>246.0</v>
      </c>
      <c r="F45" s="191">
        <f t="shared" si="5"/>
        <v>0</v>
      </c>
      <c r="G45" s="191">
        <f t="shared" si="6"/>
        <v>142.926615</v>
      </c>
      <c r="H45" s="192">
        <f t="shared" si="7"/>
        <v>142.926615</v>
      </c>
      <c r="I45" s="191">
        <v>2.0</v>
      </c>
      <c r="J45" s="194">
        <f t="shared" si="8"/>
        <v>285.85323</v>
      </c>
      <c r="K45" s="186"/>
      <c r="L45" s="164"/>
      <c r="M45" s="195">
        <f t="shared" si="18"/>
        <v>2</v>
      </c>
      <c r="N45" s="195"/>
      <c r="O45" s="186"/>
      <c r="P45" s="186"/>
      <c r="Q45" s="188">
        <v>29.5</v>
      </c>
      <c r="R45" s="187">
        <f t="shared" si="9"/>
        <v>2.46</v>
      </c>
      <c r="S45" s="181">
        <f t="shared" si="10"/>
        <v>2</v>
      </c>
      <c r="T45" s="181">
        <f t="shared" si="11"/>
        <v>4.92</v>
      </c>
      <c r="U45" s="186">
        <f t="shared" si="12"/>
        <v>142.926615</v>
      </c>
      <c r="V45" s="187">
        <f t="shared" ref="V45:W45" si="36">C45/100</f>
        <v>1.01</v>
      </c>
      <c r="W45" s="187">
        <f t="shared" si="36"/>
        <v>1.95</v>
      </c>
      <c r="X45" s="187">
        <f t="shared" si="14"/>
        <v>4.92</v>
      </c>
      <c r="Y45" s="189">
        <f t="shared" si="15"/>
        <v>9.68994</v>
      </c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</row>
    <row r="46" ht="27.0" customHeight="1">
      <c r="A46" s="181">
        <v>21.0</v>
      </c>
      <c r="B46" s="191" t="s">
        <v>56</v>
      </c>
      <c r="C46" s="191">
        <v>96.0</v>
      </c>
      <c r="D46" s="191">
        <v>195.0</v>
      </c>
      <c r="E46" s="191">
        <v>245.0</v>
      </c>
      <c r="F46" s="191">
        <f t="shared" si="5"/>
        <v>0</v>
      </c>
      <c r="G46" s="191">
        <f t="shared" si="6"/>
        <v>135.2988</v>
      </c>
      <c r="H46" s="192">
        <f t="shared" si="7"/>
        <v>135.2988</v>
      </c>
      <c r="I46" s="191">
        <v>1.0</v>
      </c>
      <c r="J46" s="194">
        <f t="shared" si="8"/>
        <v>135.2988</v>
      </c>
      <c r="K46" s="186"/>
      <c r="L46" s="164"/>
      <c r="M46" s="195">
        <f t="shared" si="18"/>
        <v>1</v>
      </c>
      <c r="N46" s="195"/>
      <c r="O46" s="186"/>
      <c r="P46" s="186"/>
      <c r="Q46" s="188">
        <v>29.5</v>
      </c>
      <c r="R46" s="187">
        <f t="shared" si="9"/>
        <v>2.45</v>
      </c>
      <c r="S46" s="181">
        <f t="shared" si="10"/>
        <v>1</v>
      </c>
      <c r="T46" s="181">
        <f t="shared" si="11"/>
        <v>2.45</v>
      </c>
      <c r="U46" s="186">
        <f t="shared" si="12"/>
        <v>135.2988</v>
      </c>
      <c r="V46" s="187">
        <f t="shared" ref="V46:W46" si="37">C46/100</f>
        <v>0.96</v>
      </c>
      <c r="W46" s="187">
        <f t="shared" si="37"/>
        <v>1.95</v>
      </c>
      <c r="X46" s="187">
        <f t="shared" si="14"/>
        <v>2.45</v>
      </c>
      <c r="Y46" s="189">
        <f t="shared" si="15"/>
        <v>4.5864</v>
      </c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</row>
    <row r="47" ht="27.0" customHeight="1">
      <c r="A47" s="181">
        <v>22.0</v>
      </c>
      <c r="B47" s="191" t="s">
        <v>56</v>
      </c>
      <c r="C47" s="191">
        <v>102.0</v>
      </c>
      <c r="D47" s="191">
        <v>195.0</v>
      </c>
      <c r="E47" s="191">
        <v>252.0</v>
      </c>
      <c r="F47" s="191">
        <f t="shared" si="5"/>
        <v>0</v>
      </c>
      <c r="G47" s="191">
        <f t="shared" si="6"/>
        <v>147.86226</v>
      </c>
      <c r="H47" s="192">
        <f t="shared" si="7"/>
        <v>147.86226</v>
      </c>
      <c r="I47" s="191">
        <v>6.0</v>
      </c>
      <c r="J47" s="194">
        <f t="shared" si="8"/>
        <v>887.17356</v>
      </c>
      <c r="K47" s="186"/>
      <c r="L47" s="164"/>
      <c r="M47" s="195"/>
      <c r="N47" s="195"/>
      <c r="O47" s="186"/>
      <c r="P47" s="186"/>
      <c r="Q47" s="188">
        <v>29.5</v>
      </c>
      <c r="R47" s="187">
        <f t="shared" si="9"/>
        <v>2.52</v>
      </c>
      <c r="S47" s="181">
        <f t="shared" si="10"/>
        <v>6</v>
      </c>
      <c r="T47" s="181">
        <f t="shared" si="11"/>
        <v>15.12</v>
      </c>
      <c r="U47" s="186">
        <f t="shared" si="12"/>
        <v>147.86226</v>
      </c>
      <c r="V47" s="187">
        <f t="shared" ref="V47:W47" si="38">C47/100</f>
        <v>1.02</v>
      </c>
      <c r="W47" s="187">
        <f t="shared" si="38"/>
        <v>1.95</v>
      </c>
      <c r="X47" s="187">
        <f t="shared" si="14"/>
        <v>15.12</v>
      </c>
      <c r="Y47" s="189">
        <f t="shared" si="15"/>
        <v>30.07368</v>
      </c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</row>
    <row r="48" ht="27.0" customHeight="1">
      <c r="A48" s="181">
        <v>23.0</v>
      </c>
      <c r="B48" s="191" t="s">
        <v>56</v>
      </c>
      <c r="C48" s="191">
        <v>100.0</v>
      </c>
      <c r="D48" s="191">
        <v>195.0</v>
      </c>
      <c r="E48" s="191">
        <v>235.0</v>
      </c>
      <c r="F48" s="191">
        <f t="shared" si="5"/>
        <v>0</v>
      </c>
      <c r="G48" s="191">
        <f t="shared" si="6"/>
        <v>135.18375</v>
      </c>
      <c r="H48" s="192">
        <f t="shared" si="7"/>
        <v>135.18375</v>
      </c>
      <c r="I48" s="191">
        <v>2.0</v>
      </c>
      <c r="J48" s="194">
        <f t="shared" si="8"/>
        <v>270.3675</v>
      </c>
      <c r="K48" s="186"/>
      <c r="L48" s="164"/>
      <c r="M48" s="195"/>
      <c r="N48" s="195"/>
      <c r="O48" s="186"/>
      <c r="P48" s="186"/>
      <c r="Q48" s="188">
        <v>29.5</v>
      </c>
      <c r="R48" s="187">
        <f t="shared" si="9"/>
        <v>2.35</v>
      </c>
      <c r="S48" s="181">
        <f t="shared" si="10"/>
        <v>2</v>
      </c>
      <c r="T48" s="181">
        <f t="shared" si="11"/>
        <v>4.7</v>
      </c>
      <c r="U48" s="186">
        <f t="shared" si="12"/>
        <v>135.18375</v>
      </c>
      <c r="V48" s="187">
        <f t="shared" ref="V48:W48" si="39">C48/100</f>
        <v>1</v>
      </c>
      <c r="W48" s="187">
        <f t="shared" si="39"/>
        <v>1.95</v>
      </c>
      <c r="X48" s="187">
        <f t="shared" si="14"/>
        <v>4.7</v>
      </c>
      <c r="Y48" s="189">
        <f t="shared" si="15"/>
        <v>9.165</v>
      </c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</row>
    <row r="49" ht="27.0" customHeight="1">
      <c r="A49" s="181">
        <v>24.0</v>
      </c>
      <c r="B49" s="191" t="s">
        <v>56</v>
      </c>
      <c r="C49" s="191">
        <v>102.0</v>
      </c>
      <c r="D49" s="191">
        <v>195.0</v>
      </c>
      <c r="E49" s="191">
        <v>235.0</v>
      </c>
      <c r="F49" s="191">
        <f t="shared" si="5"/>
        <v>0</v>
      </c>
      <c r="G49" s="191">
        <f t="shared" si="6"/>
        <v>137.887425</v>
      </c>
      <c r="H49" s="192">
        <f t="shared" si="7"/>
        <v>137.887425</v>
      </c>
      <c r="I49" s="191">
        <v>1.0</v>
      </c>
      <c r="J49" s="194">
        <f t="shared" si="8"/>
        <v>137.887425</v>
      </c>
      <c r="K49" s="186"/>
      <c r="L49" s="164"/>
      <c r="M49" s="195"/>
      <c r="N49" s="195"/>
      <c r="O49" s="186"/>
      <c r="P49" s="186"/>
      <c r="Q49" s="188">
        <v>29.5</v>
      </c>
      <c r="R49" s="187">
        <f t="shared" si="9"/>
        <v>2.35</v>
      </c>
      <c r="S49" s="181">
        <f t="shared" si="10"/>
        <v>1</v>
      </c>
      <c r="T49" s="181">
        <f t="shared" si="11"/>
        <v>2.35</v>
      </c>
      <c r="U49" s="186">
        <f t="shared" si="12"/>
        <v>137.887425</v>
      </c>
      <c r="V49" s="187">
        <f t="shared" ref="V49:W49" si="40">C49/100</f>
        <v>1.02</v>
      </c>
      <c r="W49" s="187">
        <f t="shared" si="40"/>
        <v>1.95</v>
      </c>
      <c r="X49" s="187">
        <f t="shared" si="14"/>
        <v>2.35</v>
      </c>
      <c r="Y49" s="189">
        <f t="shared" si="15"/>
        <v>4.67415</v>
      </c>
      <c r="Z49" s="186"/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</row>
    <row r="50" ht="27.0" customHeight="1">
      <c r="A50" s="181">
        <v>25.0</v>
      </c>
      <c r="B50" s="191" t="s">
        <v>56</v>
      </c>
      <c r="C50" s="191">
        <v>102.0</v>
      </c>
      <c r="D50" s="191">
        <v>195.0</v>
      </c>
      <c r="E50" s="191">
        <v>237.0</v>
      </c>
      <c r="F50" s="191">
        <f t="shared" si="5"/>
        <v>0</v>
      </c>
      <c r="G50" s="191">
        <f t="shared" si="6"/>
        <v>139.060935</v>
      </c>
      <c r="H50" s="192">
        <f t="shared" si="7"/>
        <v>139.060935</v>
      </c>
      <c r="I50" s="191">
        <v>1.0</v>
      </c>
      <c r="J50" s="194">
        <f t="shared" si="8"/>
        <v>139.060935</v>
      </c>
      <c r="K50" s="186"/>
      <c r="L50" s="164"/>
      <c r="M50" s="195"/>
      <c r="N50" s="195"/>
      <c r="O50" s="186"/>
      <c r="P50" s="186"/>
      <c r="Q50" s="196">
        <v>29.5</v>
      </c>
      <c r="R50" s="187">
        <f t="shared" si="9"/>
        <v>2.37</v>
      </c>
      <c r="S50" s="181">
        <f t="shared" si="10"/>
        <v>1</v>
      </c>
      <c r="T50" s="181">
        <f t="shared" si="11"/>
        <v>2.37</v>
      </c>
      <c r="U50" s="186">
        <f t="shared" si="12"/>
        <v>139.060935</v>
      </c>
      <c r="V50" s="187">
        <f t="shared" ref="V50:W50" si="41">C50/100</f>
        <v>1.02</v>
      </c>
      <c r="W50" s="187">
        <f t="shared" si="41"/>
        <v>1.95</v>
      </c>
      <c r="X50" s="187">
        <f t="shared" si="14"/>
        <v>2.37</v>
      </c>
      <c r="Y50" s="189">
        <f t="shared" si="15"/>
        <v>4.71393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81">
        <v>26.0</v>
      </c>
      <c r="B51" s="191" t="s">
        <v>56</v>
      </c>
      <c r="C51" s="191">
        <v>102.0</v>
      </c>
      <c r="D51" s="191">
        <v>195.0</v>
      </c>
      <c r="E51" s="191">
        <v>236.0</v>
      </c>
      <c r="F51" s="191">
        <f t="shared" si="5"/>
        <v>0</v>
      </c>
      <c r="G51" s="191">
        <f t="shared" si="6"/>
        <v>138.47418</v>
      </c>
      <c r="H51" s="192">
        <f t="shared" si="7"/>
        <v>138.47418</v>
      </c>
      <c r="I51" s="191">
        <v>2.0</v>
      </c>
      <c r="J51" s="194">
        <f t="shared" si="8"/>
        <v>276.94836</v>
      </c>
      <c r="K51" s="186"/>
      <c r="L51" s="164"/>
      <c r="M51" s="195"/>
      <c r="N51" s="195"/>
      <c r="O51" s="186"/>
      <c r="P51" s="186"/>
      <c r="Q51" s="196">
        <v>29.5</v>
      </c>
      <c r="R51" s="187">
        <f t="shared" si="9"/>
        <v>2.36</v>
      </c>
      <c r="S51" s="181">
        <f t="shared" si="10"/>
        <v>2</v>
      </c>
      <c r="T51" s="181">
        <f t="shared" si="11"/>
        <v>4.72</v>
      </c>
      <c r="U51" s="186">
        <f t="shared" si="12"/>
        <v>138.47418</v>
      </c>
      <c r="V51" s="187">
        <f t="shared" ref="V51:W51" si="42">C51/100</f>
        <v>1.02</v>
      </c>
      <c r="W51" s="187">
        <f t="shared" si="42"/>
        <v>1.95</v>
      </c>
      <c r="X51" s="187">
        <f t="shared" si="14"/>
        <v>4.72</v>
      </c>
      <c r="Y51" s="189">
        <f t="shared" si="15"/>
        <v>9.38808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81">
        <v>27.0</v>
      </c>
      <c r="B52" s="191" t="s">
        <v>56</v>
      </c>
      <c r="C52" s="191">
        <v>100.0</v>
      </c>
      <c r="D52" s="191">
        <v>195.0</v>
      </c>
      <c r="E52" s="191">
        <v>222.0</v>
      </c>
      <c r="F52" s="191">
        <f t="shared" si="5"/>
        <v>0</v>
      </c>
      <c r="G52" s="191">
        <f t="shared" si="6"/>
        <v>127.7055</v>
      </c>
      <c r="H52" s="192">
        <f t="shared" si="7"/>
        <v>127.7055</v>
      </c>
      <c r="I52" s="191">
        <v>5.0</v>
      </c>
      <c r="J52" s="194">
        <f t="shared" si="8"/>
        <v>638.5275</v>
      </c>
      <c r="K52" s="186"/>
      <c r="L52" s="164"/>
      <c r="M52" s="195"/>
      <c r="N52" s="195"/>
      <c r="O52" s="186"/>
      <c r="P52" s="186"/>
      <c r="Q52" s="196">
        <v>29.5</v>
      </c>
      <c r="R52" s="187">
        <f t="shared" si="9"/>
        <v>2.22</v>
      </c>
      <c r="S52" s="181">
        <f t="shared" si="10"/>
        <v>5</v>
      </c>
      <c r="T52" s="181">
        <f t="shared" si="11"/>
        <v>11.1</v>
      </c>
      <c r="U52" s="186">
        <f t="shared" si="12"/>
        <v>127.7055</v>
      </c>
      <c r="V52" s="187">
        <f t="shared" ref="V52:W52" si="43">C52/100</f>
        <v>1</v>
      </c>
      <c r="W52" s="187">
        <f t="shared" si="43"/>
        <v>1.95</v>
      </c>
      <c r="X52" s="187">
        <f t="shared" si="14"/>
        <v>11.1</v>
      </c>
      <c r="Y52" s="189">
        <f t="shared" si="15"/>
        <v>21.645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81">
        <v>28.0</v>
      </c>
      <c r="B53" s="191" t="s">
        <v>56</v>
      </c>
      <c r="C53" s="191">
        <v>100.0</v>
      </c>
      <c r="D53" s="191">
        <v>195.0</v>
      </c>
      <c r="E53" s="191">
        <v>224.0</v>
      </c>
      <c r="F53" s="191">
        <f t="shared" si="5"/>
        <v>0</v>
      </c>
      <c r="G53" s="191">
        <f t="shared" si="6"/>
        <v>128.856</v>
      </c>
      <c r="H53" s="192">
        <f t="shared" si="7"/>
        <v>128.856</v>
      </c>
      <c r="I53" s="191">
        <v>1.0</v>
      </c>
      <c r="J53" s="194">
        <f t="shared" si="8"/>
        <v>128.856</v>
      </c>
      <c r="K53" s="139"/>
      <c r="L53" s="197"/>
      <c r="M53" s="198"/>
      <c r="N53" s="198"/>
      <c r="O53" s="139"/>
      <c r="P53" s="139"/>
      <c r="Q53" s="141">
        <v>29.5</v>
      </c>
      <c r="R53" s="187">
        <f t="shared" si="9"/>
        <v>2.24</v>
      </c>
      <c r="S53" s="181">
        <f t="shared" si="10"/>
        <v>1</v>
      </c>
      <c r="T53" s="181">
        <f t="shared" si="11"/>
        <v>2.24</v>
      </c>
      <c r="U53" s="186">
        <f t="shared" si="12"/>
        <v>128.856</v>
      </c>
      <c r="V53" s="187">
        <f t="shared" ref="V53:W53" si="44">C53/100</f>
        <v>1</v>
      </c>
      <c r="W53" s="187">
        <f t="shared" si="44"/>
        <v>1.95</v>
      </c>
      <c r="X53" s="187">
        <f t="shared" si="14"/>
        <v>2.24</v>
      </c>
      <c r="Y53" s="189">
        <f t="shared" si="15"/>
        <v>4.368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81">
        <v>29.0</v>
      </c>
      <c r="B54" s="191" t="s">
        <v>56</v>
      </c>
      <c r="C54" s="191">
        <v>100.0</v>
      </c>
      <c r="D54" s="191">
        <v>195.0</v>
      </c>
      <c r="E54" s="191">
        <v>223.0</v>
      </c>
      <c r="F54" s="191">
        <f t="shared" si="5"/>
        <v>0</v>
      </c>
      <c r="G54" s="191">
        <f t="shared" si="6"/>
        <v>128.28075</v>
      </c>
      <c r="H54" s="192">
        <f t="shared" si="7"/>
        <v>128.28075</v>
      </c>
      <c r="I54" s="191">
        <v>3.0</v>
      </c>
      <c r="J54" s="194">
        <f t="shared" si="8"/>
        <v>384.84225</v>
      </c>
      <c r="K54" s="139"/>
      <c r="L54" s="197"/>
      <c r="M54" s="198"/>
      <c r="N54" s="198"/>
      <c r="O54" s="139"/>
      <c r="P54" s="139"/>
      <c r="Q54" s="141">
        <v>29.5</v>
      </c>
      <c r="R54" s="187">
        <f t="shared" si="9"/>
        <v>2.23</v>
      </c>
      <c r="S54" s="181">
        <f t="shared" si="10"/>
        <v>3</v>
      </c>
      <c r="T54" s="181">
        <f t="shared" si="11"/>
        <v>6.69</v>
      </c>
      <c r="U54" s="186">
        <f t="shared" si="12"/>
        <v>128.28075</v>
      </c>
      <c r="V54" s="187">
        <f t="shared" ref="V54:W54" si="45">C54/100</f>
        <v>1</v>
      </c>
      <c r="W54" s="187">
        <f t="shared" si="45"/>
        <v>1.95</v>
      </c>
      <c r="X54" s="187">
        <f t="shared" si="14"/>
        <v>6.69</v>
      </c>
      <c r="Y54" s="189">
        <f t="shared" si="15"/>
        <v>13.0455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81">
        <v>30.0</v>
      </c>
      <c r="B55" s="191" t="s">
        <v>56</v>
      </c>
      <c r="C55" s="191">
        <v>101.0</v>
      </c>
      <c r="D55" s="191">
        <v>195.0</v>
      </c>
      <c r="E55" s="191">
        <v>237.0</v>
      </c>
      <c r="F55" s="191">
        <f t="shared" si="5"/>
        <v>0</v>
      </c>
      <c r="G55" s="191">
        <f t="shared" si="6"/>
        <v>137.6975925</v>
      </c>
      <c r="H55" s="192">
        <f t="shared" si="7"/>
        <v>137.6975925</v>
      </c>
      <c r="I55" s="191">
        <v>2.0</v>
      </c>
      <c r="J55" s="194">
        <f t="shared" si="8"/>
        <v>275.395185</v>
      </c>
      <c r="K55" s="139"/>
      <c r="L55" s="197"/>
      <c r="M55" s="198"/>
      <c r="N55" s="198"/>
      <c r="O55" s="139"/>
      <c r="P55" s="139"/>
      <c r="Q55" s="141">
        <v>29.5</v>
      </c>
      <c r="R55" s="187">
        <f t="shared" si="9"/>
        <v>2.37</v>
      </c>
      <c r="S55" s="181">
        <f t="shared" si="10"/>
        <v>2</v>
      </c>
      <c r="T55" s="181">
        <f t="shared" si="11"/>
        <v>4.74</v>
      </c>
      <c r="U55" s="186">
        <f t="shared" si="12"/>
        <v>137.6975925</v>
      </c>
      <c r="V55" s="187">
        <f t="shared" ref="V55:W55" si="46">C55/100</f>
        <v>1.01</v>
      </c>
      <c r="W55" s="187">
        <f t="shared" si="46"/>
        <v>1.95</v>
      </c>
      <c r="X55" s="187">
        <f t="shared" si="14"/>
        <v>4.74</v>
      </c>
      <c r="Y55" s="189">
        <f t="shared" si="15"/>
        <v>9.33543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81">
        <v>31.0</v>
      </c>
      <c r="B56" s="191" t="s">
        <v>56</v>
      </c>
      <c r="C56" s="191">
        <v>100.0</v>
      </c>
      <c r="D56" s="191">
        <v>195.0</v>
      </c>
      <c r="E56" s="191">
        <v>236.0</v>
      </c>
      <c r="F56" s="191">
        <f t="shared" si="5"/>
        <v>0</v>
      </c>
      <c r="G56" s="191">
        <f t="shared" si="6"/>
        <v>135.759</v>
      </c>
      <c r="H56" s="192">
        <f t="shared" si="7"/>
        <v>135.759</v>
      </c>
      <c r="I56" s="191">
        <v>14.0</v>
      </c>
      <c r="J56" s="194">
        <f t="shared" si="8"/>
        <v>1900.626</v>
      </c>
      <c r="K56" s="139"/>
      <c r="L56" s="197"/>
      <c r="M56" s="198"/>
      <c r="N56" s="198"/>
      <c r="O56" s="139"/>
      <c r="P56" s="139"/>
      <c r="Q56" s="141">
        <v>29.5</v>
      </c>
      <c r="R56" s="187">
        <f t="shared" si="9"/>
        <v>2.36</v>
      </c>
      <c r="S56" s="181">
        <f t="shared" si="10"/>
        <v>14</v>
      </c>
      <c r="T56" s="181">
        <f t="shared" si="11"/>
        <v>33.04</v>
      </c>
      <c r="U56" s="186">
        <f t="shared" si="12"/>
        <v>135.759</v>
      </c>
      <c r="V56" s="187">
        <f t="shared" ref="V56:W56" si="47">C56/100</f>
        <v>1</v>
      </c>
      <c r="W56" s="187">
        <f t="shared" si="47"/>
        <v>1.95</v>
      </c>
      <c r="X56" s="187">
        <f t="shared" si="14"/>
        <v>33.04</v>
      </c>
      <c r="Y56" s="189">
        <f t="shared" si="15"/>
        <v>64.428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81">
        <v>32.0</v>
      </c>
      <c r="B57" s="191" t="s">
        <v>56</v>
      </c>
      <c r="C57" s="191">
        <v>100.0</v>
      </c>
      <c r="D57" s="191">
        <v>195.0</v>
      </c>
      <c r="E57" s="191">
        <v>225.0</v>
      </c>
      <c r="F57" s="191">
        <f t="shared" si="5"/>
        <v>0</v>
      </c>
      <c r="G57" s="191">
        <f t="shared" si="6"/>
        <v>129.43125</v>
      </c>
      <c r="H57" s="192">
        <f t="shared" si="7"/>
        <v>129.43125</v>
      </c>
      <c r="I57" s="191">
        <v>2.0</v>
      </c>
      <c r="J57" s="194">
        <f t="shared" si="8"/>
        <v>258.8625</v>
      </c>
      <c r="K57" s="139"/>
      <c r="L57" s="197"/>
      <c r="M57" s="198"/>
      <c r="N57" s="198"/>
      <c r="O57" s="139"/>
      <c r="P57" s="139"/>
      <c r="Q57" s="141">
        <v>29.5</v>
      </c>
      <c r="R57" s="187">
        <f t="shared" si="9"/>
        <v>2.25</v>
      </c>
      <c r="S57" s="181">
        <f t="shared" si="10"/>
        <v>2</v>
      </c>
      <c r="T57" s="181">
        <f t="shared" si="11"/>
        <v>4.5</v>
      </c>
      <c r="U57" s="186">
        <f t="shared" si="12"/>
        <v>129.43125</v>
      </c>
      <c r="V57" s="187">
        <f t="shared" ref="V57:W57" si="48">C57/100</f>
        <v>1</v>
      </c>
      <c r="W57" s="187">
        <f t="shared" si="48"/>
        <v>1.95</v>
      </c>
      <c r="X57" s="187">
        <f t="shared" si="14"/>
        <v>4.5</v>
      </c>
      <c r="Y57" s="189">
        <f t="shared" si="15"/>
        <v>8.775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81">
        <v>33.0</v>
      </c>
      <c r="B58" s="191" t="s">
        <v>56</v>
      </c>
      <c r="C58" s="191">
        <v>101.0</v>
      </c>
      <c r="D58" s="191">
        <v>195.0</v>
      </c>
      <c r="E58" s="191">
        <v>236.0</v>
      </c>
      <c r="F58" s="191">
        <f t="shared" si="5"/>
        <v>0</v>
      </c>
      <c r="G58" s="191">
        <f t="shared" si="6"/>
        <v>137.11659</v>
      </c>
      <c r="H58" s="192">
        <f t="shared" si="7"/>
        <v>137.11659</v>
      </c>
      <c r="I58" s="191">
        <v>2.0</v>
      </c>
      <c r="J58" s="194">
        <f t="shared" si="8"/>
        <v>274.23318</v>
      </c>
      <c r="K58" s="139"/>
      <c r="L58" s="197"/>
      <c r="M58" s="198"/>
      <c r="N58" s="198"/>
      <c r="O58" s="139"/>
      <c r="P58" s="139"/>
      <c r="Q58" s="141">
        <v>29.5</v>
      </c>
      <c r="R58" s="187">
        <f t="shared" si="9"/>
        <v>2.36</v>
      </c>
      <c r="S58" s="181">
        <f t="shared" si="10"/>
        <v>2</v>
      </c>
      <c r="T58" s="181">
        <f t="shared" si="11"/>
        <v>4.72</v>
      </c>
      <c r="U58" s="186">
        <f t="shared" si="12"/>
        <v>137.11659</v>
      </c>
      <c r="V58" s="187">
        <f t="shared" ref="V58:W58" si="49">C58/100</f>
        <v>1.01</v>
      </c>
      <c r="W58" s="187">
        <f t="shared" si="49"/>
        <v>1.95</v>
      </c>
      <c r="X58" s="187">
        <f t="shared" si="14"/>
        <v>4.72</v>
      </c>
      <c r="Y58" s="189">
        <f t="shared" si="15"/>
        <v>9.29604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81">
        <v>34.0</v>
      </c>
      <c r="B59" s="191" t="s">
        <v>56</v>
      </c>
      <c r="C59" s="191">
        <v>102.0</v>
      </c>
      <c r="D59" s="191">
        <v>195.0</v>
      </c>
      <c r="E59" s="191">
        <v>247.0</v>
      </c>
      <c r="F59" s="191">
        <f t="shared" si="5"/>
        <v>0</v>
      </c>
      <c r="G59" s="191">
        <f t="shared" si="6"/>
        <v>144.928485</v>
      </c>
      <c r="H59" s="192">
        <f t="shared" si="7"/>
        <v>144.928485</v>
      </c>
      <c r="I59" s="191">
        <v>1.0</v>
      </c>
      <c r="J59" s="194">
        <f t="shared" si="8"/>
        <v>144.928485</v>
      </c>
      <c r="K59" s="139"/>
      <c r="L59" s="197"/>
      <c r="M59" s="198"/>
      <c r="N59" s="198"/>
      <c r="O59" s="139"/>
      <c r="P59" s="139"/>
      <c r="Q59" s="141">
        <v>29.5</v>
      </c>
      <c r="R59" s="187">
        <f t="shared" si="9"/>
        <v>2.47</v>
      </c>
      <c r="S59" s="181">
        <f t="shared" si="10"/>
        <v>1</v>
      </c>
      <c r="T59" s="181">
        <f t="shared" si="11"/>
        <v>2.47</v>
      </c>
      <c r="U59" s="186">
        <f t="shared" si="12"/>
        <v>144.928485</v>
      </c>
      <c r="V59" s="187">
        <f t="shared" ref="V59:W59" si="50">C59/100</f>
        <v>1.02</v>
      </c>
      <c r="W59" s="187">
        <f t="shared" si="50"/>
        <v>1.95</v>
      </c>
      <c r="X59" s="187">
        <f t="shared" si="14"/>
        <v>2.47</v>
      </c>
      <c r="Y59" s="189">
        <f t="shared" si="15"/>
        <v>4.91283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81">
        <v>35.0</v>
      </c>
      <c r="B60" s="191" t="s">
        <v>56</v>
      </c>
      <c r="C60" s="191">
        <v>102.0</v>
      </c>
      <c r="D60" s="191">
        <v>195.0</v>
      </c>
      <c r="E60" s="191">
        <v>246.0</v>
      </c>
      <c r="F60" s="191">
        <f t="shared" si="5"/>
        <v>0</v>
      </c>
      <c r="G60" s="191">
        <f t="shared" si="6"/>
        <v>144.34173</v>
      </c>
      <c r="H60" s="192">
        <f t="shared" si="7"/>
        <v>144.34173</v>
      </c>
      <c r="I60" s="191">
        <v>1.0</v>
      </c>
      <c r="J60" s="194">
        <f t="shared" si="8"/>
        <v>144.34173</v>
      </c>
      <c r="K60" s="139"/>
      <c r="L60" s="197"/>
      <c r="M60" s="198"/>
      <c r="N60" s="198"/>
      <c r="O60" s="139"/>
      <c r="P60" s="139"/>
      <c r="Q60" s="141">
        <v>29.5</v>
      </c>
      <c r="R60" s="187">
        <f t="shared" si="9"/>
        <v>2.46</v>
      </c>
      <c r="S60" s="181">
        <f t="shared" si="10"/>
        <v>1</v>
      </c>
      <c r="T60" s="181">
        <f t="shared" si="11"/>
        <v>2.46</v>
      </c>
      <c r="U60" s="186">
        <f t="shared" si="12"/>
        <v>144.34173</v>
      </c>
      <c r="V60" s="187">
        <f t="shared" ref="V60:W60" si="51">C60/100</f>
        <v>1.02</v>
      </c>
      <c r="W60" s="187">
        <f t="shared" si="51"/>
        <v>1.95</v>
      </c>
      <c r="X60" s="187">
        <f t="shared" si="14"/>
        <v>2.46</v>
      </c>
      <c r="Y60" s="189">
        <f t="shared" si="15"/>
        <v>4.89294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81">
        <v>36.0</v>
      </c>
      <c r="B61" s="191" t="s">
        <v>56</v>
      </c>
      <c r="C61" s="191">
        <v>102.0</v>
      </c>
      <c r="D61" s="191">
        <v>195.0</v>
      </c>
      <c r="E61" s="191">
        <v>245.0</v>
      </c>
      <c r="F61" s="191">
        <f t="shared" si="5"/>
        <v>0</v>
      </c>
      <c r="G61" s="191">
        <f t="shared" si="6"/>
        <v>143.754975</v>
      </c>
      <c r="H61" s="192">
        <f t="shared" si="7"/>
        <v>143.754975</v>
      </c>
      <c r="I61" s="191">
        <v>1.0</v>
      </c>
      <c r="J61" s="194">
        <f t="shared" si="8"/>
        <v>143.754975</v>
      </c>
      <c r="K61" s="139"/>
      <c r="L61" s="197"/>
      <c r="M61" s="198"/>
      <c r="N61" s="198"/>
      <c r="O61" s="139"/>
      <c r="P61" s="139"/>
      <c r="Q61" s="141">
        <v>29.5</v>
      </c>
      <c r="R61" s="187">
        <f t="shared" si="9"/>
        <v>2.45</v>
      </c>
      <c r="S61" s="181">
        <f t="shared" si="10"/>
        <v>1</v>
      </c>
      <c r="T61" s="181">
        <f t="shared" si="11"/>
        <v>2.45</v>
      </c>
      <c r="U61" s="186">
        <f t="shared" si="12"/>
        <v>143.754975</v>
      </c>
      <c r="V61" s="187">
        <f t="shared" ref="V61:W61" si="52">C61/100</f>
        <v>1.02</v>
      </c>
      <c r="W61" s="187">
        <f t="shared" si="52"/>
        <v>1.95</v>
      </c>
      <c r="X61" s="187">
        <f t="shared" si="14"/>
        <v>2.45</v>
      </c>
      <c r="Y61" s="189">
        <f t="shared" si="15"/>
        <v>4.87305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81">
        <v>37.0</v>
      </c>
      <c r="B62" s="191" t="s">
        <v>56</v>
      </c>
      <c r="C62" s="191">
        <v>100.0</v>
      </c>
      <c r="D62" s="191">
        <v>195.0</v>
      </c>
      <c r="E62" s="191">
        <v>246.0</v>
      </c>
      <c r="F62" s="191">
        <f t="shared" si="5"/>
        <v>0</v>
      </c>
      <c r="G62" s="191">
        <f t="shared" si="6"/>
        <v>141.5115</v>
      </c>
      <c r="H62" s="192">
        <f t="shared" si="7"/>
        <v>141.5115</v>
      </c>
      <c r="I62" s="191">
        <v>1.0</v>
      </c>
      <c r="J62" s="194">
        <f t="shared" si="8"/>
        <v>141.5115</v>
      </c>
      <c r="K62" s="139"/>
      <c r="L62" s="197"/>
      <c r="M62" s="198"/>
      <c r="N62" s="198"/>
      <c r="O62" s="139"/>
      <c r="P62" s="139"/>
      <c r="Q62" s="141">
        <v>29.5</v>
      </c>
      <c r="R62" s="187">
        <f t="shared" si="9"/>
        <v>2.46</v>
      </c>
      <c r="S62" s="181">
        <f t="shared" si="10"/>
        <v>1</v>
      </c>
      <c r="T62" s="181">
        <f t="shared" si="11"/>
        <v>2.46</v>
      </c>
      <c r="U62" s="186">
        <f t="shared" si="12"/>
        <v>141.5115</v>
      </c>
      <c r="V62" s="187">
        <f t="shared" ref="V62:W62" si="53">C62/100</f>
        <v>1</v>
      </c>
      <c r="W62" s="187">
        <f t="shared" si="53"/>
        <v>1.95</v>
      </c>
      <c r="X62" s="187">
        <f t="shared" si="14"/>
        <v>2.46</v>
      </c>
      <c r="Y62" s="189">
        <f t="shared" si="15"/>
        <v>4.797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81">
        <v>38.0</v>
      </c>
      <c r="B63" s="199" t="s">
        <v>55</v>
      </c>
      <c r="C63" s="191">
        <v>100.0</v>
      </c>
      <c r="D63" s="191">
        <v>195.0</v>
      </c>
      <c r="E63" s="191">
        <v>186.0</v>
      </c>
      <c r="F63" s="191">
        <f t="shared" si="5"/>
        <v>0</v>
      </c>
      <c r="G63" s="191">
        <f t="shared" si="6"/>
        <v>106.9965</v>
      </c>
      <c r="H63" s="192">
        <f t="shared" si="7"/>
        <v>106.9965</v>
      </c>
      <c r="I63" s="191">
        <v>1.0</v>
      </c>
      <c r="J63" s="194">
        <f t="shared" si="8"/>
        <v>106.9965</v>
      </c>
      <c r="K63" s="139"/>
      <c r="L63" s="197"/>
      <c r="M63" s="198"/>
      <c r="N63" s="198"/>
      <c r="O63" s="139"/>
      <c r="P63" s="139"/>
      <c r="Q63" s="141">
        <v>29.5</v>
      </c>
      <c r="R63" s="187">
        <f t="shared" si="9"/>
        <v>1.86</v>
      </c>
      <c r="S63" s="181">
        <f t="shared" si="10"/>
        <v>1</v>
      </c>
      <c r="T63" s="181">
        <f t="shared" si="11"/>
        <v>1.86</v>
      </c>
      <c r="U63" s="186">
        <f t="shared" si="12"/>
        <v>106.9965</v>
      </c>
      <c r="V63" s="187">
        <f t="shared" ref="V63:W63" si="54">C63/100</f>
        <v>1</v>
      </c>
      <c r="W63" s="187">
        <f t="shared" si="54"/>
        <v>1.95</v>
      </c>
      <c r="X63" s="187">
        <f t="shared" si="14"/>
        <v>1.86</v>
      </c>
      <c r="Y63" s="189">
        <f t="shared" si="15"/>
        <v>3.627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81">
        <v>39.0</v>
      </c>
      <c r="B64" s="191" t="s">
        <v>55</v>
      </c>
      <c r="C64" s="191">
        <v>87.0</v>
      </c>
      <c r="D64" s="191">
        <v>195.0</v>
      </c>
      <c r="E64" s="191">
        <v>195.0</v>
      </c>
      <c r="F64" s="191">
        <f t="shared" si="5"/>
        <v>0</v>
      </c>
      <c r="G64" s="191">
        <f t="shared" si="6"/>
        <v>97.5911625</v>
      </c>
      <c r="H64" s="192">
        <f t="shared" si="7"/>
        <v>97.5911625</v>
      </c>
      <c r="I64" s="191">
        <v>1.0</v>
      </c>
      <c r="J64" s="194">
        <f t="shared" si="8"/>
        <v>97.5911625</v>
      </c>
      <c r="K64" s="139"/>
      <c r="L64" s="197"/>
      <c r="M64" s="198"/>
      <c r="N64" s="198"/>
      <c r="O64" s="139"/>
      <c r="P64" s="139"/>
      <c r="Q64" s="141">
        <v>29.5</v>
      </c>
      <c r="R64" s="187">
        <f t="shared" si="9"/>
        <v>1.95</v>
      </c>
      <c r="S64" s="181">
        <f t="shared" si="10"/>
        <v>1</v>
      </c>
      <c r="T64" s="181">
        <f t="shared" si="11"/>
        <v>1.95</v>
      </c>
      <c r="U64" s="186">
        <f t="shared" si="12"/>
        <v>97.5911625</v>
      </c>
      <c r="V64" s="187">
        <f t="shared" ref="V64:W64" si="55">C64/100</f>
        <v>0.87</v>
      </c>
      <c r="W64" s="187">
        <f t="shared" si="55"/>
        <v>1.95</v>
      </c>
      <c r="X64" s="187">
        <f t="shared" si="14"/>
        <v>1.95</v>
      </c>
      <c r="Y64" s="189">
        <f t="shared" si="15"/>
        <v>3.308175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81">
        <v>40.0</v>
      </c>
      <c r="B65" s="191" t="s">
        <v>55</v>
      </c>
      <c r="C65" s="191">
        <v>102.0</v>
      </c>
      <c r="D65" s="191">
        <v>195.0</v>
      </c>
      <c r="E65" s="191">
        <v>184.0</v>
      </c>
      <c r="F65" s="191">
        <f t="shared" si="5"/>
        <v>0</v>
      </c>
      <c r="G65" s="191">
        <f t="shared" si="6"/>
        <v>107.96292</v>
      </c>
      <c r="H65" s="192">
        <f t="shared" si="7"/>
        <v>107.96292</v>
      </c>
      <c r="I65" s="191">
        <v>2.0</v>
      </c>
      <c r="J65" s="194">
        <f t="shared" si="8"/>
        <v>215.92584</v>
      </c>
      <c r="K65" s="139"/>
      <c r="L65" s="197"/>
      <c r="M65" s="198"/>
      <c r="N65" s="198"/>
      <c r="O65" s="139"/>
      <c r="P65" s="139"/>
      <c r="Q65" s="141">
        <v>29.5</v>
      </c>
      <c r="R65" s="187">
        <f t="shared" si="9"/>
        <v>1.84</v>
      </c>
      <c r="S65" s="181">
        <f t="shared" si="10"/>
        <v>2</v>
      </c>
      <c r="T65" s="181">
        <f t="shared" si="11"/>
        <v>3.68</v>
      </c>
      <c r="U65" s="186">
        <f t="shared" si="12"/>
        <v>107.96292</v>
      </c>
      <c r="V65" s="187">
        <f t="shared" ref="V65:W65" si="56">C65/100</f>
        <v>1.02</v>
      </c>
      <c r="W65" s="187">
        <f t="shared" si="56"/>
        <v>1.95</v>
      </c>
      <c r="X65" s="187">
        <f t="shared" si="14"/>
        <v>3.68</v>
      </c>
      <c r="Y65" s="189">
        <f t="shared" si="15"/>
        <v>7.31952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81">
        <v>41.0</v>
      </c>
      <c r="B66" s="191" t="s">
        <v>55</v>
      </c>
      <c r="C66" s="191">
        <v>100.0</v>
      </c>
      <c r="D66" s="191">
        <v>195.0</v>
      </c>
      <c r="E66" s="191">
        <v>185.0</v>
      </c>
      <c r="F66" s="191">
        <f t="shared" si="5"/>
        <v>0</v>
      </c>
      <c r="G66" s="191">
        <f t="shared" si="6"/>
        <v>106.42125</v>
      </c>
      <c r="H66" s="192">
        <f t="shared" si="7"/>
        <v>106.42125</v>
      </c>
      <c r="I66" s="191">
        <v>2.0</v>
      </c>
      <c r="J66" s="194">
        <f t="shared" si="8"/>
        <v>212.8425</v>
      </c>
      <c r="K66" s="139"/>
      <c r="L66" s="197"/>
      <c r="M66" s="198"/>
      <c r="N66" s="198"/>
      <c r="O66" s="139"/>
      <c r="P66" s="139"/>
      <c r="Q66" s="141">
        <v>29.5</v>
      </c>
      <c r="R66" s="187">
        <f t="shared" si="9"/>
        <v>1.85</v>
      </c>
      <c r="S66" s="181">
        <f t="shared" si="10"/>
        <v>2</v>
      </c>
      <c r="T66" s="181">
        <f t="shared" si="11"/>
        <v>3.7</v>
      </c>
      <c r="U66" s="186">
        <f t="shared" si="12"/>
        <v>106.42125</v>
      </c>
      <c r="V66" s="187">
        <f t="shared" ref="V66:W66" si="57">C66/100</f>
        <v>1</v>
      </c>
      <c r="W66" s="187">
        <f t="shared" si="57"/>
        <v>1.95</v>
      </c>
      <c r="X66" s="187">
        <f t="shared" si="14"/>
        <v>3.7</v>
      </c>
      <c r="Y66" s="189">
        <f t="shared" si="15"/>
        <v>7.215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81">
        <v>42.0</v>
      </c>
      <c r="B67" s="191" t="s">
        <v>55</v>
      </c>
      <c r="C67" s="191">
        <v>100.0</v>
      </c>
      <c r="D67" s="191">
        <v>195.0</v>
      </c>
      <c r="E67" s="191">
        <v>184.0</v>
      </c>
      <c r="F67" s="191">
        <f t="shared" si="5"/>
        <v>0</v>
      </c>
      <c r="G67" s="191">
        <f t="shared" si="6"/>
        <v>105.846</v>
      </c>
      <c r="H67" s="192">
        <f t="shared" si="7"/>
        <v>105.846</v>
      </c>
      <c r="I67" s="191">
        <v>1.0</v>
      </c>
      <c r="J67" s="194">
        <f t="shared" si="8"/>
        <v>105.846</v>
      </c>
      <c r="K67" s="139"/>
      <c r="L67" s="197"/>
      <c r="M67" s="198"/>
      <c r="N67" s="198"/>
      <c r="O67" s="139"/>
      <c r="P67" s="139"/>
      <c r="Q67" s="141">
        <v>29.5</v>
      </c>
      <c r="R67" s="187">
        <f t="shared" si="9"/>
        <v>1.84</v>
      </c>
      <c r="S67" s="181">
        <f t="shared" si="10"/>
        <v>1</v>
      </c>
      <c r="T67" s="181">
        <f t="shared" si="11"/>
        <v>1.84</v>
      </c>
      <c r="U67" s="186">
        <f t="shared" si="12"/>
        <v>105.846</v>
      </c>
      <c r="V67" s="187">
        <f t="shared" ref="V67:W67" si="58">C67/100</f>
        <v>1</v>
      </c>
      <c r="W67" s="187">
        <f t="shared" si="58"/>
        <v>1.95</v>
      </c>
      <c r="X67" s="187">
        <f t="shared" si="14"/>
        <v>1.84</v>
      </c>
      <c r="Y67" s="189">
        <f t="shared" si="15"/>
        <v>3.588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81">
        <v>43.0</v>
      </c>
      <c r="B68" s="191" t="s">
        <v>55</v>
      </c>
      <c r="C68" s="191">
        <v>100.0</v>
      </c>
      <c r="D68" s="191">
        <v>195.0</v>
      </c>
      <c r="E68" s="191">
        <v>246.0</v>
      </c>
      <c r="F68" s="191">
        <f t="shared" si="5"/>
        <v>0</v>
      </c>
      <c r="G68" s="191">
        <f t="shared" si="6"/>
        <v>141.5115</v>
      </c>
      <c r="H68" s="192">
        <f t="shared" si="7"/>
        <v>141.5115</v>
      </c>
      <c r="I68" s="191">
        <v>5.0</v>
      </c>
      <c r="J68" s="194">
        <f t="shared" si="8"/>
        <v>707.5575</v>
      </c>
      <c r="K68" s="139"/>
      <c r="L68" s="197"/>
      <c r="M68" s="198"/>
      <c r="N68" s="198"/>
      <c r="O68" s="139"/>
      <c r="P68" s="139"/>
      <c r="Q68" s="141">
        <v>29.5</v>
      </c>
      <c r="R68" s="187">
        <f t="shared" si="9"/>
        <v>2.46</v>
      </c>
      <c r="S68" s="181">
        <f t="shared" si="10"/>
        <v>5</v>
      </c>
      <c r="T68" s="181">
        <f t="shared" si="11"/>
        <v>12.3</v>
      </c>
      <c r="U68" s="186">
        <f t="shared" si="12"/>
        <v>141.5115</v>
      </c>
      <c r="V68" s="187">
        <f t="shared" ref="V68:W68" si="59">C68/100</f>
        <v>1</v>
      </c>
      <c r="W68" s="187">
        <f t="shared" si="59"/>
        <v>1.95</v>
      </c>
      <c r="X68" s="187">
        <f t="shared" si="14"/>
        <v>12.3</v>
      </c>
      <c r="Y68" s="189">
        <f t="shared" si="15"/>
        <v>23.985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81">
        <v>44.0</v>
      </c>
      <c r="B69" s="191" t="s">
        <v>55</v>
      </c>
      <c r="C69" s="191">
        <v>102.0</v>
      </c>
      <c r="D69" s="191">
        <v>195.0</v>
      </c>
      <c r="E69" s="191">
        <v>245.0</v>
      </c>
      <c r="F69" s="191">
        <f t="shared" si="5"/>
        <v>0</v>
      </c>
      <c r="G69" s="191">
        <f t="shared" si="6"/>
        <v>143.754975</v>
      </c>
      <c r="H69" s="192">
        <f t="shared" si="7"/>
        <v>143.754975</v>
      </c>
      <c r="I69" s="191">
        <v>2.0</v>
      </c>
      <c r="J69" s="194">
        <f t="shared" si="8"/>
        <v>287.50995</v>
      </c>
      <c r="K69" s="139"/>
      <c r="L69" s="197"/>
      <c r="M69" s="198"/>
      <c r="N69" s="198"/>
      <c r="O69" s="139"/>
      <c r="P69" s="139"/>
      <c r="Q69" s="141">
        <v>29.5</v>
      </c>
      <c r="R69" s="187">
        <f t="shared" si="9"/>
        <v>2.45</v>
      </c>
      <c r="S69" s="181">
        <f t="shared" si="10"/>
        <v>2</v>
      </c>
      <c r="T69" s="181">
        <f t="shared" si="11"/>
        <v>4.9</v>
      </c>
      <c r="U69" s="186">
        <f t="shared" si="12"/>
        <v>143.754975</v>
      </c>
      <c r="V69" s="187">
        <f t="shared" ref="V69:W69" si="60">C69/100</f>
        <v>1.02</v>
      </c>
      <c r="W69" s="187">
        <f t="shared" si="60"/>
        <v>1.95</v>
      </c>
      <c r="X69" s="187">
        <f t="shared" si="14"/>
        <v>4.9</v>
      </c>
      <c r="Y69" s="189">
        <f t="shared" si="15"/>
        <v>9.7461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81">
        <v>45.0</v>
      </c>
      <c r="B70" s="191" t="s">
        <v>55</v>
      </c>
      <c r="C70" s="191">
        <v>99.0</v>
      </c>
      <c r="D70" s="191">
        <v>195.0</v>
      </c>
      <c r="E70" s="191">
        <v>196.0</v>
      </c>
      <c r="F70" s="191">
        <f t="shared" si="5"/>
        <v>0</v>
      </c>
      <c r="G70" s="191">
        <f t="shared" si="6"/>
        <v>111.62151</v>
      </c>
      <c r="H70" s="192">
        <f t="shared" si="7"/>
        <v>111.62151</v>
      </c>
      <c r="I70" s="191">
        <v>1.0</v>
      </c>
      <c r="J70" s="194">
        <f t="shared" si="8"/>
        <v>111.62151</v>
      </c>
      <c r="K70" s="139"/>
      <c r="L70" s="197"/>
      <c r="M70" s="198"/>
      <c r="N70" s="198"/>
      <c r="O70" s="139"/>
      <c r="P70" s="139"/>
      <c r="Q70" s="141">
        <v>29.5</v>
      </c>
      <c r="R70" s="187">
        <f t="shared" si="9"/>
        <v>1.96</v>
      </c>
      <c r="S70" s="181">
        <f t="shared" si="10"/>
        <v>1</v>
      </c>
      <c r="T70" s="181">
        <f t="shared" si="11"/>
        <v>1.96</v>
      </c>
      <c r="U70" s="186">
        <f t="shared" si="12"/>
        <v>111.62151</v>
      </c>
      <c r="V70" s="187">
        <f t="shared" ref="V70:W70" si="61">C70/100</f>
        <v>0.99</v>
      </c>
      <c r="W70" s="187">
        <f t="shared" si="61"/>
        <v>1.95</v>
      </c>
      <c r="X70" s="187">
        <f t="shared" si="14"/>
        <v>1.96</v>
      </c>
      <c r="Y70" s="189">
        <f t="shared" si="15"/>
        <v>3.78378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81">
        <v>46.0</v>
      </c>
      <c r="B71" s="191" t="s">
        <v>55</v>
      </c>
      <c r="C71" s="191">
        <v>100.0</v>
      </c>
      <c r="D71" s="191">
        <v>195.0</v>
      </c>
      <c r="E71" s="191">
        <v>196.0</v>
      </c>
      <c r="F71" s="191">
        <f t="shared" si="5"/>
        <v>0</v>
      </c>
      <c r="G71" s="191">
        <f t="shared" si="6"/>
        <v>112.749</v>
      </c>
      <c r="H71" s="192">
        <f t="shared" si="7"/>
        <v>112.749</v>
      </c>
      <c r="I71" s="191">
        <v>1.0</v>
      </c>
      <c r="J71" s="194">
        <f t="shared" si="8"/>
        <v>112.749</v>
      </c>
      <c r="K71" s="139"/>
      <c r="L71" s="197"/>
      <c r="M71" s="198"/>
      <c r="N71" s="198"/>
      <c r="O71" s="139"/>
      <c r="P71" s="139"/>
      <c r="Q71" s="141">
        <v>29.5</v>
      </c>
      <c r="R71" s="187">
        <f t="shared" si="9"/>
        <v>1.96</v>
      </c>
      <c r="S71" s="181">
        <f t="shared" si="10"/>
        <v>1</v>
      </c>
      <c r="T71" s="181">
        <f t="shared" si="11"/>
        <v>1.96</v>
      </c>
      <c r="U71" s="186">
        <f t="shared" si="12"/>
        <v>112.749</v>
      </c>
      <c r="V71" s="187">
        <f t="shared" ref="V71:W71" si="62">C71/100</f>
        <v>1</v>
      </c>
      <c r="W71" s="187">
        <f t="shared" si="62"/>
        <v>1.95</v>
      </c>
      <c r="X71" s="187">
        <f t="shared" si="14"/>
        <v>1.96</v>
      </c>
      <c r="Y71" s="189">
        <f t="shared" si="15"/>
        <v>3.822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81">
        <v>47.0</v>
      </c>
      <c r="B72" s="191" t="s">
        <v>55</v>
      </c>
      <c r="C72" s="191">
        <v>99.0</v>
      </c>
      <c r="D72" s="191">
        <v>195.0</v>
      </c>
      <c r="E72" s="191">
        <v>195.0</v>
      </c>
      <c r="F72" s="191">
        <f t="shared" si="5"/>
        <v>0</v>
      </c>
      <c r="G72" s="191">
        <f t="shared" si="6"/>
        <v>111.0520125</v>
      </c>
      <c r="H72" s="192">
        <f t="shared" si="7"/>
        <v>111.0520125</v>
      </c>
      <c r="I72" s="191">
        <v>2.0</v>
      </c>
      <c r="J72" s="194">
        <f t="shared" si="8"/>
        <v>222.104025</v>
      </c>
      <c r="K72" s="139"/>
      <c r="L72" s="197"/>
      <c r="M72" s="198"/>
      <c r="N72" s="198"/>
      <c r="O72" s="139"/>
      <c r="P72" s="139"/>
      <c r="Q72" s="141">
        <v>29.5</v>
      </c>
      <c r="R72" s="187">
        <f t="shared" si="9"/>
        <v>1.95</v>
      </c>
      <c r="S72" s="181">
        <f t="shared" si="10"/>
        <v>2</v>
      </c>
      <c r="T72" s="181">
        <f t="shared" si="11"/>
        <v>3.9</v>
      </c>
      <c r="U72" s="186">
        <f t="shared" si="12"/>
        <v>111.0520125</v>
      </c>
      <c r="V72" s="187">
        <f t="shared" ref="V72:W72" si="63">C72/100</f>
        <v>0.99</v>
      </c>
      <c r="W72" s="187">
        <f t="shared" si="63"/>
        <v>1.95</v>
      </c>
      <c r="X72" s="187">
        <f t="shared" si="14"/>
        <v>3.9</v>
      </c>
      <c r="Y72" s="189">
        <f t="shared" si="15"/>
        <v>7.52895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customHeight="1">
      <c r="A73" s="181">
        <v>48.0</v>
      </c>
      <c r="B73" s="191" t="s">
        <v>55</v>
      </c>
      <c r="C73" s="191">
        <v>99.0</v>
      </c>
      <c r="D73" s="191">
        <v>195.0</v>
      </c>
      <c r="E73" s="191">
        <v>194.0</v>
      </c>
      <c r="F73" s="191">
        <f t="shared" si="5"/>
        <v>0</v>
      </c>
      <c r="G73" s="191">
        <f t="shared" si="6"/>
        <v>110.482515</v>
      </c>
      <c r="H73" s="192">
        <f t="shared" si="7"/>
        <v>110.482515</v>
      </c>
      <c r="I73" s="191">
        <v>1.0</v>
      </c>
      <c r="J73" s="194">
        <f t="shared" si="8"/>
        <v>110.482515</v>
      </c>
      <c r="K73" s="139"/>
      <c r="L73" s="197"/>
      <c r="M73" s="198"/>
      <c r="N73" s="198"/>
      <c r="O73" s="139"/>
      <c r="P73" s="139"/>
      <c r="Q73" s="141">
        <v>29.5</v>
      </c>
      <c r="R73" s="187">
        <f t="shared" si="9"/>
        <v>1.94</v>
      </c>
      <c r="S73" s="181">
        <f t="shared" si="10"/>
        <v>1</v>
      </c>
      <c r="T73" s="181">
        <f t="shared" si="11"/>
        <v>1.94</v>
      </c>
      <c r="U73" s="186">
        <f t="shared" si="12"/>
        <v>110.482515</v>
      </c>
      <c r="V73" s="187">
        <f t="shared" ref="V73:W73" si="64">C73/100</f>
        <v>0.99</v>
      </c>
      <c r="W73" s="187">
        <f t="shared" si="64"/>
        <v>1.95</v>
      </c>
      <c r="X73" s="187">
        <f t="shared" si="14"/>
        <v>1.94</v>
      </c>
      <c r="Y73" s="189">
        <f t="shared" si="15"/>
        <v>3.74517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customHeight="1">
      <c r="A74" s="181">
        <v>49.0</v>
      </c>
      <c r="B74" s="191" t="s">
        <v>55</v>
      </c>
      <c r="C74" s="191">
        <v>100.0</v>
      </c>
      <c r="D74" s="191">
        <v>195.0</v>
      </c>
      <c r="E74" s="191">
        <v>194.0</v>
      </c>
      <c r="F74" s="191">
        <f t="shared" si="5"/>
        <v>0</v>
      </c>
      <c r="G74" s="191">
        <f t="shared" si="6"/>
        <v>111.5985</v>
      </c>
      <c r="H74" s="192">
        <f t="shared" si="7"/>
        <v>111.5985</v>
      </c>
      <c r="I74" s="191">
        <v>1.0</v>
      </c>
      <c r="J74" s="194">
        <f t="shared" si="8"/>
        <v>111.5985</v>
      </c>
      <c r="K74" s="139"/>
      <c r="L74" s="197"/>
      <c r="M74" s="198"/>
      <c r="N74" s="198"/>
      <c r="O74" s="139"/>
      <c r="P74" s="139"/>
      <c r="Q74" s="141">
        <v>29.5</v>
      </c>
      <c r="R74" s="187">
        <f t="shared" si="9"/>
        <v>1.94</v>
      </c>
      <c r="S74" s="181">
        <f t="shared" si="10"/>
        <v>1</v>
      </c>
      <c r="T74" s="181">
        <f t="shared" si="11"/>
        <v>1.94</v>
      </c>
      <c r="U74" s="186">
        <f t="shared" si="12"/>
        <v>111.5985</v>
      </c>
      <c r="V74" s="187">
        <f t="shared" ref="V74:W74" si="65">C74/100</f>
        <v>1</v>
      </c>
      <c r="W74" s="187">
        <f t="shared" si="65"/>
        <v>1.95</v>
      </c>
      <c r="X74" s="187">
        <f t="shared" si="14"/>
        <v>1.94</v>
      </c>
      <c r="Y74" s="189">
        <f t="shared" si="15"/>
        <v>3.783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customHeight="1">
      <c r="A75" s="181">
        <v>50.0</v>
      </c>
      <c r="B75" s="191" t="s">
        <v>55</v>
      </c>
      <c r="C75" s="191">
        <v>100.0</v>
      </c>
      <c r="D75" s="191">
        <v>195.0</v>
      </c>
      <c r="E75" s="191">
        <v>195.0</v>
      </c>
      <c r="F75" s="191">
        <f t="shared" si="5"/>
        <v>0</v>
      </c>
      <c r="G75" s="191">
        <f t="shared" si="6"/>
        <v>112.17375</v>
      </c>
      <c r="H75" s="192">
        <f t="shared" si="7"/>
        <v>112.17375</v>
      </c>
      <c r="I75" s="191">
        <v>1.0</v>
      </c>
      <c r="J75" s="194">
        <f t="shared" si="8"/>
        <v>112.17375</v>
      </c>
      <c r="K75" s="139"/>
      <c r="L75" s="197"/>
      <c r="M75" s="198"/>
      <c r="N75" s="198"/>
      <c r="O75" s="139"/>
      <c r="P75" s="139"/>
      <c r="Q75" s="141">
        <v>29.5</v>
      </c>
      <c r="R75" s="187">
        <f t="shared" si="9"/>
        <v>1.95</v>
      </c>
      <c r="S75" s="181">
        <f t="shared" si="10"/>
        <v>1</v>
      </c>
      <c r="T75" s="181">
        <f t="shared" si="11"/>
        <v>1.95</v>
      </c>
      <c r="U75" s="186">
        <f t="shared" si="12"/>
        <v>112.17375</v>
      </c>
      <c r="V75" s="187">
        <f t="shared" ref="V75:W75" si="66">C75/100</f>
        <v>1</v>
      </c>
      <c r="W75" s="187">
        <f t="shared" si="66"/>
        <v>1.95</v>
      </c>
      <c r="X75" s="187">
        <f t="shared" si="14"/>
        <v>1.95</v>
      </c>
      <c r="Y75" s="189">
        <f t="shared" si="15"/>
        <v>3.8025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customHeight="1">
      <c r="A76" s="181">
        <v>51.0</v>
      </c>
      <c r="B76" s="191" t="s">
        <v>55</v>
      </c>
      <c r="C76" s="191">
        <v>102.0</v>
      </c>
      <c r="D76" s="191">
        <v>195.0</v>
      </c>
      <c r="E76" s="191">
        <v>185.0</v>
      </c>
      <c r="F76" s="191">
        <f t="shared" si="5"/>
        <v>0</v>
      </c>
      <c r="G76" s="191">
        <f t="shared" si="6"/>
        <v>108.549675</v>
      </c>
      <c r="H76" s="192">
        <f t="shared" si="7"/>
        <v>108.549675</v>
      </c>
      <c r="I76" s="191">
        <v>1.0</v>
      </c>
      <c r="J76" s="194">
        <f t="shared" si="8"/>
        <v>108.549675</v>
      </c>
      <c r="K76" s="139"/>
      <c r="L76" s="197"/>
      <c r="M76" s="198"/>
      <c r="N76" s="198"/>
      <c r="O76" s="139"/>
      <c r="P76" s="139"/>
      <c r="Q76" s="141">
        <v>29.5</v>
      </c>
      <c r="R76" s="187">
        <f t="shared" si="9"/>
        <v>1.85</v>
      </c>
      <c r="S76" s="181">
        <f t="shared" si="10"/>
        <v>1</v>
      </c>
      <c r="T76" s="181">
        <f t="shared" si="11"/>
        <v>1.85</v>
      </c>
      <c r="U76" s="186">
        <f t="shared" si="12"/>
        <v>108.549675</v>
      </c>
      <c r="V76" s="187">
        <f t="shared" ref="V76:W76" si="67">C76/100</f>
        <v>1.02</v>
      </c>
      <c r="W76" s="187">
        <f t="shared" si="67"/>
        <v>1.95</v>
      </c>
      <c r="X76" s="187">
        <f t="shared" si="14"/>
        <v>1.85</v>
      </c>
      <c r="Y76" s="189">
        <f t="shared" si="15"/>
        <v>3.67965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customHeight="1">
      <c r="A77" s="181">
        <v>52.0</v>
      </c>
      <c r="B77" s="191" t="s">
        <v>55</v>
      </c>
      <c r="C77" s="191">
        <v>95.0</v>
      </c>
      <c r="D77" s="191">
        <v>195.0</v>
      </c>
      <c r="E77" s="191">
        <v>169.0</v>
      </c>
      <c r="F77" s="191">
        <f t="shared" si="5"/>
        <v>0</v>
      </c>
      <c r="G77" s="191">
        <f t="shared" si="6"/>
        <v>92.3563875</v>
      </c>
      <c r="H77" s="192">
        <f t="shared" si="7"/>
        <v>92.3563875</v>
      </c>
      <c r="I77" s="191">
        <v>1.0</v>
      </c>
      <c r="J77" s="194">
        <f t="shared" si="8"/>
        <v>92.3563875</v>
      </c>
      <c r="K77" s="139"/>
      <c r="L77" s="197"/>
      <c r="M77" s="198"/>
      <c r="N77" s="198"/>
      <c r="O77" s="139"/>
      <c r="P77" s="139"/>
      <c r="Q77" s="141">
        <v>29.5</v>
      </c>
      <c r="R77" s="187">
        <f t="shared" si="9"/>
        <v>1.69</v>
      </c>
      <c r="S77" s="181">
        <f t="shared" si="10"/>
        <v>1</v>
      </c>
      <c r="T77" s="181">
        <f t="shared" si="11"/>
        <v>1.69</v>
      </c>
      <c r="U77" s="186">
        <f t="shared" si="12"/>
        <v>92.3563875</v>
      </c>
      <c r="V77" s="187">
        <f t="shared" ref="V77:W77" si="68">C77/100</f>
        <v>0.95</v>
      </c>
      <c r="W77" s="187">
        <f t="shared" si="68"/>
        <v>1.95</v>
      </c>
      <c r="X77" s="187">
        <f t="shared" si="14"/>
        <v>1.69</v>
      </c>
      <c r="Y77" s="189">
        <f t="shared" si="15"/>
        <v>3.130725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customHeight="1">
      <c r="A78" s="181">
        <v>53.0</v>
      </c>
      <c r="B78" s="200" t="s">
        <v>66</v>
      </c>
      <c r="C78" s="200">
        <v>100.0</v>
      </c>
      <c r="D78" s="200">
        <v>195.0</v>
      </c>
      <c r="E78" s="200">
        <v>138.0</v>
      </c>
      <c r="F78" s="200">
        <f t="shared" si="5"/>
        <v>0.5</v>
      </c>
      <c r="G78" s="200">
        <f t="shared" si="6"/>
        <v>79.3845</v>
      </c>
      <c r="H78" s="201">
        <f t="shared" si="7"/>
        <v>39.69225</v>
      </c>
      <c r="I78" s="200">
        <v>1.0</v>
      </c>
      <c r="J78" s="202">
        <f t="shared" si="8"/>
        <v>39.69225</v>
      </c>
      <c r="K78" s="139"/>
      <c r="L78" s="197"/>
      <c r="M78" s="198"/>
      <c r="N78" s="198"/>
      <c r="O78" s="139"/>
      <c r="P78" s="139"/>
      <c r="Q78" s="141">
        <v>29.5</v>
      </c>
      <c r="R78" s="187">
        <f t="shared" si="9"/>
        <v>1.38</v>
      </c>
      <c r="S78" s="181">
        <f t="shared" si="10"/>
        <v>1</v>
      </c>
      <c r="T78" s="181">
        <f t="shared" si="11"/>
        <v>1.38</v>
      </c>
      <c r="U78" s="186">
        <f t="shared" si="12"/>
        <v>79.3845</v>
      </c>
      <c r="V78" s="187">
        <f t="shared" ref="V78:W78" si="69">C78/100</f>
        <v>1</v>
      </c>
      <c r="W78" s="187">
        <f t="shared" si="69"/>
        <v>1.95</v>
      </c>
      <c r="X78" s="187">
        <f t="shared" si="14"/>
        <v>1.38</v>
      </c>
      <c r="Y78" s="189">
        <f t="shared" si="15"/>
        <v>2.691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customHeight="1">
      <c r="A79" s="181">
        <v>54.0</v>
      </c>
      <c r="B79" s="182" t="s">
        <v>65</v>
      </c>
      <c r="C79" s="183">
        <v>87.0</v>
      </c>
      <c r="D79" s="183">
        <v>203.0</v>
      </c>
      <c r="E79" s="183">
        <v>230.0</v>
      </c>
      <c r="F79" s="183">
        <f t="shared" si="5"/>
        <v>0.8</v>
      </c>
      <c r="G79" s="183">
        <f t="shared" si="6"/>
        <v>119.829885</v>
      </c>
      <c r="H79" s="184">
        <f t="shared" si="7"/>
        <v>95.863908</v>
      </c>
      <c r="I79" s="183">
        <v>1.0</v>
      </c>
      <c r="J79" s="185">
        <f t="shared" si="8"/>
        <v>95.863908</v>
      </c>
      <c r="K79" s="139"/>
      <c r="L79" s="197"/>
      <c r="M79" s="198"/>
      <c r="N79" s="198"/>
      <c r="O79" s="139"/>
      <c r="P79" s="139"/>
      <c r="Q79" s="141">
        <v>29.5</v>
      </c>
      <c r="R79" s="187">
        <f t="shared" si="9"/>
        <v>2.3</v>
      </c>
      <c r="S79" s="181">
        <f t="shared" si="10"/>
        <v>1</v>
      </c>
      <c r="T79" s="181">
        <f t="shared" si="11"/>
        <v>2.3</v>
      </c>
      <c r="U79" s="186">
        <f t="shared" si="12"/>
        <v>119.829885</v>
      </c>
      <c r="V79" s="187">
        <f t="shared" ref="V79:W79" si="70">C79/100</f>
        <v>0.87</v>
      </c>
      <c r="W79" s="187">
        <f t="shared" si="70"/>
        <v>2.03</v>
      </c>
      <c r="X79" s="187">
        <f t="shared" si="14"/>
        <v>2.3</v>
      </c>
      <c r="Y79" s="189">
        <f t="shared" si="15"/>
        <v>4.06203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customHeight="1">
      <c r="A80" s="181">
        <v>55.0</v>
      </c>
      <c r="B80" s="191" t="s">
        <v>56</v>
      </c>
      <c r="C80" s="191">
        <v>97.0</v>
      </c>
      <c r="D80" s="191">
        <v>203.0</v>
      </c>
      <c r="E80" s="191">
        <v>202.0</v>
      </c>
      <c r="F80" s="191">
        <f t="shared" si="5"/>
        <v>0</v>
      </c>
      <c r="G80" s="191">
        <f t="shared" si="6"/>
        <v>117.338669</v>
      </c>
      <c r="H80" s="192">
        <f t="shared" si="7"/>
        <v>117.338669</v>
      </c>
      <c r="I80" s="191">
        <v>3.0</v>
      </c>
      <c r="J80" s="194">
        <f t="shared" si="8"/>
        <v>352.016007</v>
      </c>
      <c r="K80" s="139"/>
      <c r="L80" s="197"/>
      <c r="M80" s="198"/>
      <c r="N80" s="198"/>
      <c r="O80" s="139"/>
      <c r="P80" s="139"/>
      <c r="Q80" s="141">
        <v>29.5</v>
      </c>
      <c r="R80" s="187">
        <f t="shared" si="9"/>
        <v>2.02</v>
      </c>
      <c r="S80" s="181">
        <f t="shared" si="10"/>
        <v>3</v>
      </c>
      <c r="T80" s="181">
        <f t="shared" si="11"/>
        <v>6.06</v>
      </c>
      <c r="U80" s="186">
        <f t="shared" si="12"/>
        <v>117.338669</v>
      </c>
      <c r="V80" s="187">
        <f t="shared" ref="V80:W80" si="71">C80/100</f>
        <v>0.97</v>
      </c>
      <c r="W80" s="187">
        <f t="shared" si="71"/>
        <v>2.03</v>
      </c>
      <c r="X80" s="187">
        <f t="shared" si="14"/>
        <v>6.06</v>
      </c>
      <c r="Y80" s="189">
        <f t="shared" si="15"/>
        <v>11.932746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customHeight="1">
      <c r="A81" s="181">
        <v>56.0</v>
      </c>
      <c r="B81" s="191" t="s">
        <v>56</v>
      </c>
      <c r="C81" s="191">
        <v>98.0</v>
      </c>
      <c r="D81" s="191">
        <v>203.0</v>
      </c>
      <c r="E81" s="191">
        <v>203.0</v>
      </c>
      <c r="F81" s="191">
        <f t="shared" si="5"/>
        <v>0</v>
      </c>
      <c r="G81" s="191">
        <f t="shared" si="6"/>
        <v>119.135219</v>
      </c>
      <c r="H81" s="192">
        <f t="shared" si="7"/>
        <v>119.135219</v>
      </c>
      <c r="I81" s="191">
        <v>4.0</v>
      </c>
      <c r="J81" s="194">
        <f t="shared" si="8"/>
        <v>476.540876</v>
      </c>
      <c r="K81" s="139"/>
      <c r="L81" s="197"/>
      <c r="M81" s="198"/>
      <c r="N81" s="198"/>
      <c r="O81" s="139"/>
      <c r="P81" s="139"/>
      <c r="Q81" s="141">
        <v>29.5</v>
      </c>
      <c r="R81" s="187">
        <f t="shared" si="9"/>
        <v>2.03</v>
      </c>
      <c r="S81" s="181">
        <f t="shared" si="10"/>
        <v>4</v>
      </c>
      <c r="T81" s="181">
        <f t="shared" si="11"/>
        <v>8.12</v>
      </c>
      <c r="U81" s="186">
        <f t="shared" si="12"/>
        <v>119.135219</v>
      </c>
      <c r="V81" s="187">
        <f t="shared" ref="V81:W81" si="72">C81/100</f>
        <v>0.98</v>
      </c>
      <c r="W81" s="187">
        <f t="shared" si="72"/>
        <v>2.03</v>
      </c>
      <c r="X81" s="187">
        <f t="shared" si="14"/>
        <v>8.12</v>
      </c>
      <c r="Y81" s="189">
        <f t="shared" si="15"/>
        <v>16.153928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customHeight="1">
      <c r="A82" s="181">
        <v>57.0</v>
      </c>
      <c r="B82" s="191" t="s">
        <v>56</v>
      </c>
      <c r="C82" s="191">
        <v>98.0</v>
      </c>
      <c r="D82" s="191">
        <v>203.0</v>
      </c>
      <c r="E82" s="191">
        <v>202.0</v>
      </c>
      <c r="F82" s="191">
        <f t="shared" si="5"/>
        <v>0</v>
      </c>
      <c r="G82" s="191">
        <f t="shared" si="6"/>
        <v>118.548346</v>
      </c>
      <c r="H82" s="192">
        <f t="shared" si="7"/>
        <v>118.548346</v>
      </c>
      <c r="I82" s="191">
        <v>13.0</v>
      </c>
      <c r="J82" s="194">
        <f t="shared" si="8"/>
        <v>1541.128498</v>
      </c>
      <c r="K82" s="139"/>
      <c r="L82" s="197"/>
      <c r="M82" s="198"/>
      <c r="N82" s="198"/>
      <c r="O82" s="139"/>
      <c r="P82" s="139"/>
      <c r="Q82" s="141">
        <v>29.5</v>
      </c>
      <c r="R82" s="187">
        <f t="shared" si="9"/>
        <v>2.02</v>
      </c>
      <c r="S82" s="181">
        <f t="shared" si="10"/>
        <v>13</v>
      </c>
      <c r="T82" s="181">
        <f t="shared" si="11"/>
        <v>26.26</v>
      </c>
      <c r="U82" s="186">
        <f t="shared" si="12"/>
        <v>118.548346</v>
      </c>
      <c r="V82" s="187">
        <f t="shared" ref="V82:W82" si="73">C82/100</f>
        <v>0.98</v>
      </c>
      <c r="W82" s="187">
        <f t="shared" si="73"/>
        <v>2.03</v>
      </c>
      <c r="X82" s="187">
        <f t="shared" si="14"/>
        <v>26.26</v>
      </c>
      <c r="Y82" s="189">
        <f t="shared" si="15"/>
        <v>52.241644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customHeight="1">
      <c r="A83" s="181">
        <v>58.0</v>
      </c>
      <c r="B83" s="191" t="s">
        <v>56</v>
      </c>
      <c r="C83" s="191">
        <v>100.0</v>
      </c>
      <c r="D83" s="191">
        <v>203.0</v>
      </c>
      <c r="E83" s="191">
        <v>202.0</v>
      </c>
      <c r="F83" s="191">
        <f t="shared" si="5"/>
        <v>0</v>
      </c>
      <c r="G83" s="191">
        <f t="shared" si="6"/>
        <v>120.9677</v>
      </c>
      <c r="H83" s="192">
        <f t="shared" si="7"/>
        <v>120.9677</v>
      </c>
      <c r="I83" s="191">
        <v>2.0</v>
      </c>
      <c r="J83" s="194">
        <f t="shared" si="8"/>
        <v>241.9354</v>
      </c>
      <c r="K83" s="139"/>
      <c r="L83" s="197"/>
      <c r="M83" s="198"/>
      <c r="N83" s="198"/>
      <c r="O83" s="139"/>
      <c r="P83" s="139"/>
      <c r="Q83" s="141">
        <v>29.5</v>
      </c>
      <c r="R83" s="187">
        <f t="shared" si="9"/>
        <v>2.02</v>
      </c>
      <c r="S83" s="181">
        <f t="shared" si="10"/>
        <v>2</v>
      </c>
      <c r="T83" s="181">
        <f t="shared" si="11"/>
        <v>4.04</v>
      </c>
      <c r="U83" s="186">
        <f t="shared" si="12"/>
        <v>120.9677</v>
      </c>
      <c r="V83" s="187">
        <f t="shared" ref="V83:W83" si="74">C83/100</f>
        <v>1</v>
      </c>
      <c r="W83" s="187">
        <f t="shared" si="74"/>
        <v>2.03</v>
      </c>
      <c r="X83" s="187">
        <f t="shared" si="14"/>
        <v>4.04</v>
      </c>
      <c r="Y83" s="189">
        <f t="shared" si="15"/>
        <v>8.2012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customHeight="1">
      <c r="A84" s="181">
        <v>59.0</v>
      </c>
      <c r="B84" s="191" t="s">
        <v>56</v>
      </c>
      <c r="C84" s="191">
        <v>93.0</v>
      </c>
      <c r="D84" s="191">
        <v>203.0</v>
      </c>
      <c r="E84" s="191">
        <v>202.0</v>
      </c>
      <c r="F84" s="191">
        <f t="shared" si="5"/>
        <v>0</v>
      </c>
      <c r="G84" s="191">
        <f t="shared" si="6"/>
        <v>112.499961</v>
      </c>
      <c r="H84" s="192">
        <f t="shared" si="7"/>
        <v>112.499961</v>
      </c>
      <c r="I84" s="191">
        <v>2.0</v>
      </c>
      <c r="J84" s="194">
        <f t="shared" si="8"/>
        <v>224.999922</v>
      </c>
      <c r="K84" s="139"/>
      <c r="L84" s="197"/>
      <c r="M84" s="198"/>
      <c r="N84" s="198"/>
      <c r="O84" s="139"/>
      <c r="P84" s="139"/>
      <c r="Q84" s="141">
        <v>29.5</v>
      </c>
      <c r="R84" s="187">
        <f t="shared" si="9"/>
        <v>2.02</v>
      </c>
      <c r="S84" s="181">
        <f t="shared" si="10"/>
        <v>2</v>
      </c>
      <c r="T84" s="181">
        <f t="shared" si="11"/>
        <v>4.04</v>
      </c>
      <c r="U84" s="186">
        <f t="shared" si="12"/>
        <v>112.499961</v>
      </c>
      <c r="V84" s="187">
        <f t="shared" ref="V84:W84" si="75">C84/100</f>
        <v>0.93</v>
      </c>
      <c r="W84" s="187">
        <f t="shared" si="75"/>
        <v>2.03</v>
      </c>
      <c r="X84" s="187">
        <f t="shared" si="14"/>
        <v>4.04</v>
      </c>
      <c r="Y84" s="189">
        <f t="shared" si="15"/>
        <v>7.627116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customHeight="1">
      <c r="A85" s="181">
        <v>60.0</v>
      </c>
      <c r="B85" s="191" t="s">
        <v>56</v>
      </c>
      <c r="C85" s="191">
        <v>95.0</v>
      </c>
      <c r="D85" s="191">
        <v>203.0</v>
      </c>
      <c r="E85" s="191">
        <v>203.0</v>
      </c>
      <c r="F85" s="191">
        <f t="shared" si="5"/>
        <v>0</v>
      </c>
      <c r="G85" s="191">
        <f t="shared" si="6"/>
        <v>115.4882225</v>
      </c>
      <c r="H85" s="192">
        <f t="shared" si="7"/>
        <v>115.4882225</v>
      </c>
      <c r="I85" s="191">
        <v>1.0</v>
      </c>
      <c r="J85" s="194">
        <f t="shared" si="8"/>
        <v>115.4882225</v>
      </c>
      <c r="K85" s="139"/>
      <c r="L85" s="197"/>
      <c r="M85" s="198"/>
      <c r="N85" s="198"/>
      <c r="O85" s="139"/>
      <c r="P85" s="139"/>
      <c r="Q85" s="141">
        <v>29.5</v>
      </c>
      <c r="R85" s="187">
        <f t="shared" si="9"/>
        <v>2.03</v>
      </c>
      <c r="S85" s="181">
        <f t="shared" si="10"/>
        <v>1</v>
      </c>
      <c r="T85" s="181">
        <f t="shared" si="11"/>
        <v>2.03</v>
      </c>
      <c r="U85" s="186">
        <f t="shared" si="12"/>
        <v>115.4882225</v>
      </c>
      <c r="V85" s="187">
        <f t="shared" ref="V85:W85" si="76">C85/100</f>
        <v>0.95</v>
      </c>
      <c r="W85" s="187">
        <f t="shared" si="76"/>
        <v>2.03</v>
      </c>
      <c r="X85" s="187">
        <f t="shared" si="14"/>
        <v>2.03</v>
      </c>
      <c r="Y85" s="189">
        <f t="shared" si="15"/>
        <v>3.914855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customHeight="1">
      <c r="A86" s="181">
        <v>61.0</v>
      </c>
      <c r="B86" s="191" t="s">
        <v>56</v>
      </c>
      <c r="C86" s="191">
        <v>99.0</v>
      </c>
      <c r="D86" s="191">
        <v>203.0</v>
      </c>
      <c r="E86" s="191">
        <v>202.0</v>
      </c>
      <c r="F86" s="191">
        <f t="shared" si="5"/>
        <v>0</v>
      </c>
      <c r="G86" s="191">
        <f t="shared" si="6"/>
        <v>119.758023</v>
      </c>
      <c r="H86" s="192">
        <f t="shared" si="7"/>
        <v>119.758023</v>
      </c>
      <c r="I86" s="191">
        <v>11.0</v>
      </c>
      <c r="J86" s="194">
        <f t="shared" si="8"/>
        <v>1317.338253</v>
      </c>
      <c r="K86" s="139"/>
      <c r="L86" s="197"/>
      <c r="M86" s="198"/>
      <c r="N86" s="198"/>
      <c r="O86" s="139"/>
      <c r="P86" s="139"/>
      <c r="Q86" s="141">
        <v>29.5</v>
      </c>
      <c r="R86" s="187">
        <f t="shared" si="9"/>
        <v>2.02</v>
      </c>
      <c r="S86" s="181">
        <f t="shared" si="10"/>
        <v>11</v>
      </c>
      <c r="T86" s="181">
        <f t="shared" si="11"/>
        <v>22.22</v>
      </c>
      <c r="U86" s="186">
        <f t="shared" si="12"/>
        <v>119.758023</v>
      </c>
      <c r="V86" s="187">
        <f t="shared" ref="V86:W86" si="77">C86/100</f>
        <v>0.99</v>
      </c>
      <c r="W86" s="187">
        <f t="shared" si="77"/>
        <v>2.03</v>
      </c>
      <c r="X86" s="187">
        <f t="shared" si="14"/>
        <v>22.22</v>
      </c>
      <c r="Y86" s="189">
        <f t="shared" si="15"/>
        <v>44.655534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customHeight="1">
      <c r="A87" s="181">
        <v>62.0</v>
      </c>
      <c r="B87" s="191" t="s">
        <v>56</v>
      </c>
      <c r="C87" s="191">
        <v>96.0</v>
      </c>
      <c r="D87" s="191">
        <v>203.0</v>
      </c>
      <c r="E87" s="191">
        <v>202.0</v>
      </c>
      <c r="F87" s="191">
        <f t="shared" si="5"/>
        <v>0</v>
      </c>
      <c r="G87" s="191">
        <f t="shared" si="6"/>
        <v>116.128992</v>
      </c>
      <c r="H87" s="192">
        <f t="shared" si="7"/>
        <v>116.128992</v>
      </c>
      <c r="I87" s="191">
        <v>1.0</v>
      </c>
      <c r="J87" s="194">
        <f t="shared" si="8"/>
        <v>116.128992</v>
      </c>
      <c r="K87" s="139"/>
      <c r="L87" s="197"/>
      <c r="M87" s="198"/>
      <c r="N87" s="198"/>
      <c r="O87" s="139"/>
      <c r="P87" s="139"/>
      <c r="Q87" s="141">
        <v>29.5</v>
      </c>
      <c r="R87" s="187">
        <f t="shared" si="9"/>
        <v>2.02</v>
      </c>
      <c r="S87" s="181">
        <f t="shared" si="10"/>
        <v>1</v>
      </c>
      <c r="T87" s="181">
        <f t="shared" si="11"/>
        <v>2.02</v>
      </c>
      <c r="U87" s="186">
        <f t="shared" si="12"/>
        <v>116.128992</v>
      </c>
      <c r="V87" s="187">
        <f t="shared" ref="V87:W87" si="78">C87/100</f>
        <v>0.96</v>
      </c>
      <c r="W87" s="187">
        <f t="shared" si="78"/>
        <v>2.03</v>
      </c>
      <c r="X87" s="187">
        <f t="shared" si="14"/>
        <v>2.02</v>
      </c>
      <c r="Y87" s="189">
        <f t="shared" si="15"/>
        <v>3.936576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customHeight="1">
      <c r="A88" s="181">
        <v>63.0</v>
      </c>
      <c r="B88" s="191" t="s">
        <v>56</v>
      </c>
      <c r="C88" s="191">
        <v>97.0</v>
      </c>
      <c r="D88" s="191">
        <v>203.0</v>
      </c>
      <c r="E88" s="191">
        <v>203.0</v>
      </c>
      <c r="F88" s="191">
        <f t="shared" si="5"/>
        <v>0</v>
      </c>
      <c r="G88" s="191">
        <f t="shared" si="6"/>
        <v>117.9195535</v>
      </c>
      <c r="H88" s="192">
        <f t="shared" si="7"/>
        <v>117.9195535</v>
      </c>
      <c r="I88" s="191">
        <v>1.0</v>
      </c>
      <c r="J88" s="194">
        <f t="shared" si="8"/>
        <v>117.9195535</v>
      </c>
      <c r="K88" s="139"/>
      <c r="L88" s="197"/>
      <c r="M88" s="198"/>
      <c r="N88" s="198"/>
      <c r="O88" s="139"/>
      <c r="P88" s="139"/>
      <c r="Q88" s="141">
        <v>29.5</v>
      </c>
      <c r="R88" s="187">
        <f t="shared" si="9"/>
        <v>2.03</v>
      </c>
      <c r="S88" s="181">
        <f t="shared" si="10"/>
        <v>1</v>
      </c>
      <c r="T88" s="181">
        <f t="shared" si="11"/>
        <v>2.03</v>
      </c>
      <c r="U88" s="186">
        <f t="shared" si="12"/>
        <v>117.9195535</v>
      </c>
      <c r="V88" s="187">
        <f t="shared" ref="V88:W88" si="79">C88/100</f>
        <v>0.97</v>
      </c>
      <c r="W88" s="187">
        <f t="shared" si="79"/>
        <v>2.03</v>
      </c>
      <c r="X88" s="187">
        <f t="shared" si="14"/>
        <v>2.03</v>
      </c>
      <c r="Y88" s="189">
        <f t="shared" si="15"/>
        <v>3.997273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customHeight="1">
      <c r="A89" s="181">
        <v>64.0</v>
      </c>
      <c r="B89" s="191" t="s">
        <v>56</v>
      </c>
      <c r="C89" s="191">
        <v>95.0</v>
      </c>
      <c r="D89" s="191">
        <v>203.0</v>
      </c>
      <c r="E89" s="191">
        <v>202.0</v>
      </c>
      <c r="F89" s="191">
        <f t="shared" si="5"/>
        <v>0</v>
      </c>
      <c r="G89" s="191">
        <f t="shared" si="6"/>
        <v>114.919315</v>
      </c>
      <c r="H89" s="192">
        <f t="shared" si="7"/>
        <v>114.919315</v>
      </c>
      <c r="I89" s="191">
        <v>1.0</v>
      </c>
      <c r="J89" s="194">
        <f t="shared" si="8"/>
        <v>114.919315</v>
      </c>
      <c r="K89" s="139"/>
      <c r="L89" s="197"/>
      <c r="M89" s="198"/>
      <c r="N89" s="198"/>
      <c r="O89" s="139"/>
      <c r="P89" s="139"/>
      <c r="Q89" s="141">
        <v>29.5</v>
      </c>
      <c r="R89" s="187">
        <f t="shared" si="9"/>
        <v>2.02</v>
      </c>
      <c r="S89" s="181">
        <f t="shared" si="10"/>
        <v>1</v>
      </c>
      <c r="T89" s="181">
        <f t="shared" si="11"/>
        <v>2.02</v>
      </c>
      <c r="U89" s="186">
        <f t="shared" si="12"/>
        <v>114.919315</v>
      </c>
      <c r="V89" s="187">
        <f t="shared" ref="V89:W89" si="80">C89/100</f>
        <v>0.95</v>
      </c>
      <c r="W89" s="187">
        <f t="shared" si="80"/>
        <v>2.03</v>
      </c>
      <c r="X89" s="187">
        <f t="shared" si="14"/>
        <v>2.02</v>
      </c>
      <c r="Y89" s="189">
        <f t="shared" si="15"/>
        <v>3.89557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customHeight="1">
      <c r="A90" s="181">
        <v>65.0</v>
      </c>
      <c r="B90" s="182" t="s">
        <v>67</v>
      </c>
      <c r="C90" s="183">
        <v>84.0</v>
      </c>
      <c r="D90" s="183">
        <v>206.0</v>
      </c>
      <c r="E90" s="183">
        <v>208.0</v>
      </c>
      <c r="F90" s="183">
        <f t="shared" si="5"/>
        <v>0.8</v>
      </c>
      <c r="G90" s="183">
        <f t="shared" si="6"/>
        <v>73.784256</v>
      </c>
      <c r="H90" s="184">
        <f t="shared" si="7"/>
        <v>59.0274048</v>
      </c>
      <c r="I90" s="183">
        <v>1.0</v>
      </c>
      <c r="J90" s="185">
        <f t="shared" si="8"/>
        <v>59.0274048</v>
      </c>
      <c r="K90" s="139"/>
      <c r="L90" s="197"/>
      <c r="M90" s="198"/>
      <c r="N90" s="198"/>
      <c r="O90" s="139"/>
      <c r="P90" s="139"/>
      <c r="Q90" s="141">
        <v>20.5</v>
      </c>
      <c r="R90" s="187">
        <f t="shared" si="9"/>
        <v>2.08</v>
      </c>
      <c r="S90" s="181">
        <f t="shared" si="10"/>
        <v>1</v>
      </c>
      <c r="T90" s="181">
        <f t="shared" si="11"/>
        <v>2.08</v>
      </c>
      <c r="U90" s="186">
        <f t="shared" si="12"/>
        <v>73.784256</v>
      </c>
      <c r="V90" s="187">
        <f t="shared" ref="V90:W90" si="81">C90/100</f>
        <v>0.84</v>
      </c>
      <c r="W90" s="187">
        <f t="shared" si="81"/>
        <v>2.06</v>
      </c>
      <c r="X90" s="187">
        <f t="shared" si="14"/>
        <v>2.08</v>
      </c>
      <c r="Y90" s="189">
        <f t="shared" si="15"/>
        <v>3.599232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customHeight="1">
      <c r="A91" s="181">
        <v>66.0</v>
      </c>
      <c r="B91" s="191" t="s">
        <v>57</v>
      </c>
      <c r="C91" s="191">
        <v>100.0</v>
      </c>
      <c r="D91" s="191">
        <v>206.0</v>
      </c>
      <c r="E91" s="191">
        <v>247.0</v>
      </c>
      <c r="F91" s="191">
        <f t="shared" si="5"/>
        <v>0</v>
      </c>
      <c r="G91" s="191">
        <f t="shared" si="6"/>
        <v>104.3081</v>
      </c>
      <c r="H91" s="192">
        <f t="shared" si="7"/>
        <v>104.3081</v>
      </c>
      <c r="I91" s="191">
        <v>5.0</v>
      </c>
      <c r="J91" s="194">
        <f t="shared" si="8"/>
        <v>521.5405</v>
      </c>
      <c r="K91" s="139"/>
      <c r="L91" s="197"/>
      <c r="M91" s="198"/>
      <c r="N91" s="198"/>
      <c r="O91" s="139"/>
      <c r="P91" s="139"/>
      <c r="Q91" s="141">
        <v>20.5</v>
      </c>
      <c r="R91" s="187">
        <f t="shared" si="9"/>
        <v>2.47</v>
      </c>
      <c r="S91" s="181">
        <f t="shared" si="10"/>
        <v>5</v>
      </c>
      <c r="T91" s="181">
        <f t="shared" si="11"/>
        <v>12.35</v>
      </c>
      <c r="U91" s="186">
        <f t="shared" si="12"/>
        <v>104.3081</v>
      </c>
      <c r="V91" s="187">
        <f t="shared" ref="V91:W91" si="82">C91/100</f>
        <v>1</v>
      </c>
      <c r="W91" s="187">
        <f t="shared" si="82"/>
        <v>2.06</v>
      </c>
      <c r="X91" s="187">
        <f t="shared" si="14"/>
        <v>12.35</v>
      </c>
      <c r="Y91" s="189">
        <f t="shared" si="15"/>
        <v>25.441</v>
      </c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customHeight="1">
      <c r="A92" s="181">
        <v>67.0</v>
      </c>
      <c r="B92" s="191" t="s">
        <v>57</v>
      </c>
      <c r="C92" s="191">
        <v>101.0</v>
      </c>
      <c r="D92" s="191">
        <v>206.0</v>
      </c>
      <c r="E92" s="191">
        <v>247.0</v>
      </c>
      <c r="F92" s="191">
        <f t="shared" si="5"/>
        <v>0</v>
      </c>
      <c r="G92" s="191">
        <f t="shared" si="6"/>
        <v>105.351181</v>
      </c>
      <c r="H92" s="192">
        <f t="shared" si="7"/>
        <v>105.351181</v>
      </c>
      <c r="I92" s="191">
        <v>1.0</v>
      </c>
      <c r="J92" s="194">
        <f t="shared" si="8"/>
        <v>105.351181</v>
      </c>
      <c r="K92" s="139"/>
      <c r="L92" s="197"/>
      <c r="M92" s="198"/>
      <c r="N92" s="198"/>
      <c r="O92" s="139"/>
      <c r="P92" s="139"/>
      <c r="Q92" s="141">
        <v>20.5</v>
      </c>
      <c r="R92" s="187">
        <f t="shared" si="9"/>
        <v>2.47</v>
      </c>
      <c r="S92" s="181">
        <f t="shared" si="10"/>
        <v>1</v>
      </c>
      <c r="T92" s="181">
        <f t="shared" si="11"/>
        <v>2.47</v>
      </c>
      <c r="U92" s="186">
        <f t="shared" si="12"/>
        <v>105.351181</v>
      </c>
      <c r="V92" s="187">
        <f t="shared" ref="V92:W92" si="83">C92/100</f>
        <v>1.01</v>
      </c>
      <c r="W92" s="187">
        <f t="shared" si="83"/>
        <v>2.06</v>
      </c>
      <c r="X92" s="187">
        <f t="shared" si="14"/>
        <v>2.47</v>
      </c>
      <c r="Y92" s="189">
        <f t="shared" si="15"/>
        <v>5.139082</v>
      </c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customHeight="1">
      <c r="A93" s="181">
        <v>68.0</v>
      </c>
      <c r="B93" s="191" t="s">
        <v>57</v>
      </c>
      <c r="C93" s="191">
        <v>100.0</v>
      </c>
      <c r="D93" s="191">
        <v>206.0</v>
      </c>
      <c r="E93" s="191">
        <v>207.0</v>
      </c>
      <c r="F93" s="191">
        <f t="shared" si="5"/>
        <v>0</v>
      </c>
      <c r="G93" s="191">
        <f t="shared" si="6"/>
        <v>87.4161</v>
      </c>
      <c r="H93" s="192">
        <f t="shared" si="7"/>
        <v>87.4161</v>
      </c>
      <c r="I93" s="191">
        <v>12.0</v>
      </c>
      <c r="J93" s="194">
        <f t="shared" si="8"/>
        <v>1048.9932</v>
      </c>
      <c r="K93" s="139"/>
      <c r="L93" s="197"/>
      <c r="M93" s="198"/>
      <c r="N93" s="198"/>
      <c r="O93" s="139"/>
      <c r="P93" s="139"/>
      <c r="Q93" s="141">
        <v>20.5</v>
      </c>
      <c r="R93" s="187">
        <f t="shared" si="9"/>
        <v>2.07</v>
      </c>
      <c r="S93" s="181">
        <f t="shared" si="10"/>
        <v>12</v>
      </c>
      <c r="T93" s="181">
        <f t="shared" si="11"/>
        <v>24.84</v>
      </c>
      <c r="U93" s="186">
        <f t="shared" si="12"/>
        <v>87.4161</v>
      </c>
      <c r="V93" s="187">
        <f t="shared" ref="V93:W93" si="84">C93/100</f>
        <v>1</v>
      </c>
      <c r="W93" s="187">
        <f t="shared" si="84"/>
        <v>2.06</v>
      </c>
      <c r="X93" s="187">
        <f t="shared" si="14"/>
        <v>24.84</v>
      </c>
      <c r="Y93" s="189">
        <f t="shared" si="15"/>
        <v>51.1704</v>
      </c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customHeight="1">
      <c r="A94" s="181">
        <v>69.0</v>
      </c>
      <c r="B94" s="191" t="s">
        <v>57</v>
      </c>
      <c r="C94" s="191">
        <v>101.0</v>
      </c>
      <c r="D94" s="191">
        <v>206.0</v>
      </c>
      <c r="E94" s="191">
        <v>207.0</v>
      </c>
      <c r="F94" s="191">
        <f t="shared" si="5"/>
        <v>0</v>
      </c>
      <c r="G94" s="191">
        <f t="shared" si="6"/>
        <v>88.290261</v>
      </c>
      <c r="H94" s="192">
        <f t="shared" si="7"/>
        <v>88.290261</v>
      </c>
      <c r="I94" s="191">
        <v>5.0</v>
      </c>
      <c r="J94" s="194">
        <f t="shared" si="8"/>
        <v>441.451305</v>
      </c>
      <c r="K94" s="139"/>
      <c r="L94" s="197"/>
      <c r="M94" s="198"/>
      <c r="N94" s="198"/>
      <c r="O94" s="139"/>
      <c r="P94" s="139"/>
      <c r="Q94" s="141">
        <v>20.5</v>
      </c>
      <c r="R94" s="187">
        <f t="shared" si="9"/>
        <v>2.07</v>
      </c>
      <c r="S94" s="181">
        <f t="shared" si="10"/>
        <v>5</v>
      </c>
      <c r="T94" s="181">
        <f t="shared" si="11"/>
        <v>10.35</v>
      </c>
      <c r="U94" s="186">
        <f t="shared" si="12"/>
        <v>88.290261</v>
      </c>
      <c r="V94" s="187">
        <f t="shared" ref="V94:W94" si="85">C94/100</f>
        <v>1.01</v>
      </c>
      <c r="W94" s="187">
        <f t="shared" si="85"/>
        <v>2.06</v>
      </c>
      <c r="X94" s="187">
        <f t="shared" si="14"/>
        <v>10.35</v>
      </c>
      <c r="Y94" s="189">
        <f t="shared" si="15"/>
        <v>21.53421</v>
      </c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customHeight="1">
      <c r="A95" s="181">
        <v>70.0</v>
      </c>
      <c r="B95" s="191" t="s">
        <v>57</v>
      </c>
      <c r="C95" s="191">
        <v>102.0</v>
      </c>
      <c r="D95" s="191">
        <v>206.0</v>
      </c>
      <c r="E95" s="191">
        <v>207.0</v>
      </c>
      <c r="F95" s="191">
        <f t="shared" si="5"/>
        <v>0</v>
      </c>
      <c r="G95" s="191">
        <f t="shared" si="6"/>
        <v>89.164422</v>
      </c>
      <c r="H95" s="192">
        <f t="shared" si="7"/>
        <v>89.164422</v>
      </c>
      <c r="I95" s="191">
        <v>1.0</v>
      </c>
      <c r="J95" s="194">
        <f t="shared" si="8"/>
        <v>89.164422</v>
      </c>
      <c r="K95" s="139"/>
      <c r="L95" s="197"/>
      <c r="M95" s="198"/>
      <c r="N95" s="198"/>
      <c r="O95" s="139"/>
      <c r="P95" s="139"/>
      <c r="Q95" s="141">
        <v>20.5</v>
      </c>
      <c r="R95" s="187">
        <f t="shared" si="9"/>
        <v>2.07</v>
      </c>
      <c r="S95" s="181">
        <f t="shared" si="10"/>
        <v>1</v>
      </c>
      <c r="T95" s="181">
        <f t="shared" si="11"/>
        <v>2.07</v>
      </c>
      <c r="U95" s="186">
        <f t="shared" si="12"/>
        <v>89.164422</v>
      </c>
      <c r="V95" s="187">
        <f t="shared" ref="V95:W95" si="86">C95/100</f>
        <v>1.02</v>
      </c>
      <c r="W95" s="187">
        <f t="shared" si="86"/>
        <v>2.06</v>
      </c>
      <c r="X95" s="187">
        <f t="shared" si="14"/>
        <v>2.07</v>
      </c>
      <c r="Y95" s="189">
        <f t="shared" si="15"/>
        <v>4.349484</v>
      </c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customHeight="1">
      <c r="A96" s="181">
        <v>71.0</v>
      </c>
      <c r="B96" s="191" t="s">
        <v>57</v>
      </c>
      <c r="C96" s="191">
        <v>95.0</v>
      </c>
      <c r="D96" s="191">
        <v>206.0</v>
      </c>
      <c r="E96" s="191">
        <v>207.0</v>
      </c>
      <c r="F96" s="191">
        <f t="shared" si="5"/>
        <v>0</v>
      </c>
      <c r="G96" s="191">
        <f t="shared" si="6"/>
        <v>83.045295</v>
      </c>
      <c r="H96" s="192">
        <f t="shared" si="7"/>
        <v>83.045295</v>
      </c>
      <c r="I96" s="191">
        <v>3.0</v>
      </c>
      <c r="J96" s="194">
        <f t="shared" si="8"/>
        <v>249.135885</v>
      </c>
      <c r="K96" s="139"/>
      <c r="L96" s="197"/>
      <c r="M96" s="198"/>
      <c r="N96" s="198"/>
      <c r="O96" s="139"/>
      <c r="P96" s="139"/>
      <c r="Q96" s="141">
        <v>20.5</v>
      </c>
      <c r="R96" s="187">
        <f t="shared" si="9"/>
        <v>2.07</v>
      </c>
      <c r="S96" s="181">
        <f t="shared" si="10"/>
        <v>3</v>
      </c>
      <c r="T96" s="181">
        <f t="shared" si="11"/>
        <v>6.21</v>
      </c>
      <c r="U96" s="186">
        <f t="shared" si="12"/>
        <v>83.045295</v>
      </c>
      <c r="V96" s="187">
        <f t="shared" ref="V96:W96" si="87">C96/100</f>
        <v>0.95</v>
      </c>
      <c r="W96" s="187">
        <f t="shared" si="87"/>
        <v>2.06</v>
      </c>
      <c r="X96" s="187">
        <f t="shared" si="14"/>
        <v>6.21</v>
      </c>
      <c r="Y96" s="189">
        <f t="shared" si="15"/>
        <v>12.15297</v>
      </c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customHeight="1">
      <c r="A97" s="181">
        <v>72.0</v>
      </c>
      <c r="B97" s="191" t="s">
        <v>57</v>
      </c>
      <c r="C97" s="191">
        <v>97.0</v>
      </c>
      <c r="D97" s="191">
        <v>206.0</v>
      </c>
      <c r="E97" s="191">
        <v>207.0</v>
      </c>
      <c r="F97" s="191">
        <f t="shared" si="5"/>
        <v>0</v>
      </c>
      <c r="G97" s="191">
        <f t="shared" si="6"/>
        <v>84.793617</v>
      </c>
      <c r="H97" s="192">
        <f t="shared" si="7"/>
        <v>84.793617</v>
      </c>
      <c r="I97" s="191">
        <v>1.0</v>
      </c>
      <c r="J97" s="194">
        <f t="shared" si="8"/>
        <v>84.793617</v>
      </c>
      <c r="K97" s="139"/>
      <c r="L97" s="197"/>
      <c r="M97" s="198"/>
      <c r="N97" s="198"/>
      <c r="O97" s="139"/>
      <c r="P97" s="139"/>
      <c r="Q97" s="141">
        <v>20.5</v>
      </c>
      <c r="R97" s="187">
        <f t="shared" si="9"/>
        <v>2.07</v>
      </c>
      <c r="S97" s="181">
        <f t="shared" si="10"/>
        <v>1</v>
      </c>
      <c r="T97" s="181">
        <f t="shared" si="11"/>
        <v>2.07</v>
      </c>
      <c r="U97" s="186">
        <f t="shared" si="12"/>
        <v>84.793617</v>
      </c>
      <c r="V97" s="187">
        <f t="shared" ref="V97:W97" si="88">C97/100</f>
        <v>0.97</v>
      </c>
      <c r="W97" s="187">
        <f t="shared" si="88"/>
        <v>2.06</v>
      </c>
      <c r="X97" s="187">
        <f t="shared" si="14"/>
        <v>2.07</v>
      </c>
      <c r="Y97" s="189">
        <f t="shared" si="15"/>
        <v>4.136274</v>
      </c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customHeight="1">
      <c r="A98" s="181">
        <v>73.0</v>
      </c>
      <c r="B98" s="191" t="s">
        <v>57</v>
      </c>
      <c r="C98" s="191">
        <v>98.0</v>
      </c>
      <c r="D98" s="191">
        <v>206.0</v>
      </c>
      <c r="E98" s="191">
        <v>206.0</v>
      </c>
      <c r="F98" s="191">
        <f t="shared" si="5"/>
        <v>0</v>
      </c>
      <c r="G98" s="191">
        <f t="shared" si="6"/>
        <v>85.253924</v>
      </c>
      <c r="H98" s="192">
        <f t="shared" si="7"/>
        <v>85.253924</v>
      </c>
      <c r="I98" s="191">
        <v>1.0</v>
      </c>
      <c r="J98" s="194">
        <f t="shared" si="8"/>
        <v>85.253924</v>
      </c>
      <c r="K98" s="139"/>
      <c r="L98" s="197"/>
      <c r="M98" s="198"/>
      <c r="N98" s="198"/>
      <c r="O98" s="139"/>
      <c r="P98" s="139"/>
      <c r="Q98" s="141">
        <v>20.5</v>
      </c>
      <c r="R98" s="187">
        <f t="shared" si="9"/>
        <v>2.06</v>
      </c>
      <c r="S98" s="181">
        <f t="shared" si="10"/>
        <v>1</v>
      </c>
      <c r="T98" s="181">
        <f t="shared" si="11"/>
        <v>2.06</v>
      </c>
      <c r="U98" s="186">
        <f t="shared" si="12"/>
        <v>85.253924</v>
      </c>
      <c r="V98" s="187">
        <f t="shared" ref="V98:W98" si="89">C98/100</f>
        <v>0.98</v>
      </c>
      <c r="W98" s="187">
        <f t="shared" si="89"/>
        <v>2.06</v>
      </c>
      <c r="X98" s="187">
        <f t="shared" si="14"/>
        <v>2.06</v>
      </c>
      <c r="Y98" s="189">
        <f t="shared" si="15"/>
        <v>4.158728</v>
      </c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customHeight="1">
      <c r="A99" s="181">
        <v>74.0</v>
      </c>
      <c r="B99" s="191" t="s">
        <v>57</v>
      </c>
      <c r="C99" s="191">
        <v>103.0</v>
      </c>
      <c r="D99" s="191">
        <v>206.0</v>
      </c>
      <c r="E99" s="191">
        <v>207.0</v>
      </c>
      <c r="F99" s="191">
        <f t="shared" si="5"/>
        <v>0</v>
      </c>
      <c r="G99" s="191">
        <f t="shared" si="6"/>
        <v>90.038583</v>
      </c>
      <c r="H99" s="192">
        <f t="shared" si="7"/>
        <v>90.038583</v>
      </c>
      <c r="I99" s="191">
        <v>1.0</v>
      </c>
      <c r="J99" s="194">
        <f t="shared" si="8"/>
        <v>90.038583</v>
      </c>
      <c r="K99" s="139"/>
      <c r="L99" s="197"/>
      <c r="M99" s="198"/>
      <c r="N99" s="198"/>
      <c r="O99" s="139"/>
      <c r="P99" s="139"/>
      <c r="Q99" s="141">
        <v>20.5</v>
      </c>
      <c r="R99" s="187">
        <f t="shared" si="9"/>
        <v>2.07</v>
      </c>
      <c r="S99" s="181">
        <f t="shared" si="10"/>
        <v>1</v>
      </c>
      <c r="T99" s="181">
        <f t="shared" si="11"/>
        <v>2.07</v>
      </c>
      <c r="U99" s="186">
        <f t="shared" si="12"/>
        <v>90.038583</v>
      </c>
      <c r="V99" s="187">
        <f t="shared" ref="V99:W99" si="90">C99/100</f>
        <v>1.03</v>
      </c>
      <c r="W99" s="187">
        <f t="shared" si="90"/>
        <v>2.06</v>
      </c>
      <c r="X99" s="187">
        <f t="shared" si="14"/>
        <v>2.07</v>
      </c>
      <c r="Y99" s="189">
        <f t="shared" si="15"/>
        <v>4.392126</v>
      </c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customHeight="1">
      <c r="A100" s="181">
        <v>75.0</v>
      </c>
      <c r="B100" s="191" t="s">
        <v>57</v>
      </c>
      <c r="C100" s="191">
        <v>99.0</v>
      </c>
      <c r="D100" s="191">
        <v>206.0</v>
      </c>
      <c r="E100" s="191">
        <v>207.0</v>
      </c>
      <c r="F100" s="191">
        <f t="shared" si="5"/>
        <v>0</v>
      </c>
      <c r="G100" s="191">
        <f t="shared" si="6"/>
        <v>86.541939</v>
      </c>
      <c r="H100" s="192">
        <f t="shared" si="7"/>
        <v>86.541939</v>
      </c>
      <c r="I100" s="191">
        <v>1.0</v>
      </c>
      <c r="J100" s="194">
        <f t="shared" si="8"/>
        <v>86.541939</v>
      </c>
      <c r="K100" s="139"/>
      <c r="L100" s="197"/>
      <c r="M100" s="198"/>
      <c r="N100" s="198"/>
      <c r="O100" s="139"/>
      <c r="P100" s="139"/>
      <c r="Q100" s="141">
        <v>20.5</v>
      </c>
      <c r="R100" s="187">
        <f t="shared" si="9"/>
        <v>2.07</v>
      </c>
      <c r="S100" s="181">
        <f t="shared" si="10"/>
        <v>1</v>
      </c>
      <c r="T100" s="181">
        <f t="shared" si="11"/>
        <v>2.07</v>
      </c>
      <c r="U100" s="186">
        <f t="shared" si="12"/>
        <v>86.541939</v>
      </c>
      <c r="V100" s="187">
        <f t="shared" ref="V100:W100" si="91">C100/100</f>
        <v>0.99</v>
      </c>
      <c r="W100" s="187">
        <f t="shared" si="91"/>
        <v>2.06</v>
      </c>
      <c r="X100" s="187">
        <f t="shared" si="14"/>
        <v>2.07</v>
      </c>
      <c r="Y100" s="189">
        <f t="shared" si="15"/>
        <v>4.221558</v>
      </c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customHeight="1">
      <c r="A101" s="181">
        <v>76.0</v>
      </c>
      <c r="B101" s="191" t="s">
        <v>57</v>
      </c>
      <c r="C101" s="191">
        <v>100.0</v>
      </c>
      <c r="D101" s="191">
        <v>206.0</v>
      </c>
      <c r="E101" s="191">
        <v>208.0</v>
      </c>
      <c r="F101" s="191">
        <f t="shared" si="5"/>
        <v>0</v>
      </c>
      <c r="G101" s="191">
        <f t="shared" si="6"/>
        <v>87.8384</v>
      </c>
      <c r="H101" s="192">
        <f t="shared" si="7"/>
        <v>87.8384</v>
      </c>
      <c r="I101" s="191">
        <v>1.0</v>
      </c>
      <c r="J101" s="194">
        <f t="shared" si="8"/>
        <v>87.8384</v>
      </c>
      <c r="K101" s="139"/>
      <c r="L101" s="197"/>
      <c r="M101" s="198"/>
      <c r="N101" s="198"/>
      <c r="O101" s="139"/>
      <c r="P101" s="139"/>
      <c r="Q101" s="141">
        <v>20.5</v>
      </c>
      <c r="R101" s="187">
        <f t="shared" si="9"/>
        <v>2.08</v>
      </c>
      <c r="S101" s="181">
        <f t="shared" si="10"/>
        <v>1</v>
      </c>
      <c r="T101" s="181">
        <f t="shared" si="11"/>
        <v>2.08</v>
      </c>
      <c r="U101" s="186">
        <f t="shared" si="12"/>
        <v>87.8384</v>
      </c>
      <c r="V101" s="187">
        <f t="shared" ref="V101:W101" si="92">C101/100</f>
        <v>1</v>
      </c>
      <c r="W101" s="187">
        <f t="shared" si="92"/>
        <v>2.06</v>
      </c>
      <c r="X101" s="187">
        <f t="shared" si="14"/>
        <v>2.08</v>
      </c>
      <c r="Y101" s="189">
        <f t="shared" si="15"/>
        <v>4.2848</v>
      </c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customHeight="1">
      <c r="A102" s="181">
        <v>77.0</v>
      </c>
      <c r="B102" s="191" t="s">
        <v>57</v>
      </c>
      <c r="C102" s="191">
        <v>100.0</v>
      </c>
      <c r="D102" s="191">
        <v>206.0</v>
      </c>
      <c r="E102" s="191">
        <v>190.0</v>
      </c>
      <c r="F102" s="191">
        <f t="shared" si="5"/>
        <v>0</v>
      </c>
      <c r="G102" s="191">
        <f t="shared" si="6"/>
        <v>80.237</v>
      </c>
      <c r="H102" s="192">
        <f t="shared" si="7"/>
        <v>80.237</v>
      </c>
      <c r="I102" s="191">
        <v>1.0</v>
      </c>
      <c r="J102" s="194">
        <f t="shared" si="8"/>
        <v>80.237</v>
      </c>
      <c r="K102" s="139"/>
      <c r="L102" s="197"/>
      <c r="M102" s="198"/>
      <c r="N102" s="198"/>
      <c r="O102" s="139"/>
      <c r="P102" s="139"/>
      <c r="Q102" s="141">
        <v>20.5</v>
      </c>
      <c r="R102" s="187">
        <f t="shared" si="9"/>
        <v>1.9</v>
      </c>
      <c r="S102" s="181">
        <f t="shared" si="10"/>
        <v>1</v>
      </c>
      <c r="T102" s="181">
        <f t="shared" si="11"/>
        <v>1.9</v>
      </c>
      <c r="U102" s="186">
        <f t="shared" si="12"/>
        <v>80.237</v>
      </c>
      <c r="V102" s="187">
        <f t="shared" ref="V102:W102" si="93">C102/100</f>
        <v>1</v>
      </c>
      <c r="W102" s="187">
        <f t="shared" si="93"/>
        <v>2.06</v>
      </c>
      <c r="X102" s="187">
        <f t="shared" si="14"/>
        <v>1.9</v>
      </c>
      <c r="Y102" s="189">
        <f t="shared" si="15"/>
        <v>3.914</v>
      </c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customHeight="1">
      <c r="A103" s="181">
        <v>78.0</v>
      </c>
      <c r="B103" s="191" t="s">
        <v>57</v>
      </c>
      <c r="C103" s="191">
        <v>100.0</v>
      </c>
      <c r="D103" s="191">
        <v>206.0</v>
      </c>
      <c r="E103" s="191">
        <v>246.0</v>
      </c>
      <c r="F103" s="191">
        <f t="shared" si="5"/>
        <v>0</v>
      </c>
      <c r="G103" s="191">
        <f t="shared" si="6"/>
        <v>103.8858</v>
      </c>
      <c r="H103" s="192">
        <f t="shared" si="7"/>
        <v>103.8858</v>
      </c>
      <c r="I103" s="191">
        <v>1.0</v>
      </c>
      <c r="J103" s="194">
        <f t="shared" si="8"/>
        <v>103.8858</v>
      </c>
      <c r="K103" s="139"/>
      <c r="L103" s="197"/>
      <c r="M103" s="198"/>
      <c r="N103" s="198"/>
      <c r="O103" s="139"/>
      <c r="P103" s="139"/>
      <c r="Q103" s="141">
        <v>20.5</v>
      </c>
      <c r="R103" s="187">
        <f t="shared" si="9"/>
        <v>2.46</v>
      </c>
      <c r="S103" s="181">
        <f t="shared" si="10"/>
        <v>1</v>
      </c>
      <c r="T103" s="181">
        <f t="shared" si="11"/>
        <v>2.46</v>
      </c>
      <c r="U103" s="186">
        <f t="shared" si="12"/>
        <v>103.8858</v>
      </c>
      <c r="V103" s="187">
        <f t="shared" ref="V103:W103" si="94">C103/100</f>
        <v>1</v>
      </c>
      <c r="W103" s="187">
        <f t="shared" si="94"/>
        <v>2.06</v>
      </c>
      <c r="X103" s="187">
        <f t="shared" si="14"/>
        <v>2.46</v>
      </c>
      <c r="Y103" s="189">
        <f t="shared" si="15"/>
        <v>5.0676</v>
      </c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customHeight="1">
      <c r="A104" s="181">
        <v>79.0</v>
      </c>
      <c r="B104" s="182" t="s">
        <v>64</v>
      </c>
      <c r="C104" s="183">
        <v>80.0</v>
      </c>
      <c r="D104" s="183">
        <v>182.0</v>
      </c>
      <c r="E104" s="183">
        <v>240.0</v>
      </c>
      <c r="F104" s="183">
        <f t="shared" si="5"/>
        <v>0.8</v>
      </c>
      <c r="G104" s="183">
        <f t="shared" si="6"/>
        <v>103.0848</v>
      </c>
      <c r="H104" s="184">
        <f t="shared" si="7"/>
        <v>82.46784</v>
      </c>
      <c r="I104" s="183">
        <v>1.0</v>
      </c>
      <c r="J104" s="185">
        <f t="shared" si="8"/>
        <v>82.46784</v>
      </c>
      <c r="K104" s="139"/>
      <c r="L104" s="197"/>
      <c r="M104" s="198"/>
      <c r="N104" s="198"/>
      <c r="O104" s="139"/>
      <c r="P104" s="139"/>
      <c r="Q104" s="141">
        <v>29.5</v>
      </c>
      <c r="R104" s="187">
        <f t="shared" si="9"/>
        <v>2.4</v>
      </c>
      <c r="S104" s="181">
        <f t="shared" si="10"/>
        <v>1</v>
      </c>
      <c r="T104" s="181">
        <f t="shared" si="11"/>
        <v>2.4</v>
      </c>
      <c r="U104" s="186">
        <f t="shared" si="12"/>
        <v>103.0848</v>
      </c>
      <c r="V104" s="187">
        <f t="shared" ref="V104:W104" si="95">C104/100</f>
        <v>0.8</v>
      </c>
      <c r="W104" s="187">
        <f t="shared" si="95"/>
        <v>1.82</v>
      </c>
      <c r="X104" s="187">
        <f t="shared" si="14"/>
        <v>2.4</v>
      </c>
      <c r="Y104" s="189">
        <f t="shared" si="15"/>
        <v>3.4944</v>
      </c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customHeight="1">
      <c r="A105" s="181">
        <v>80.0</v>
      </c>
      <c r="B105" s="191" t="s">
        <v>55</v>
      </c>
      <c r="C105" s="191">
        <v>103.0</v>
      </c>
      <c r="D105" s="191">
        <v>182.0</v>
      </c>
      <c r="E105" s="191">
        <v>241.0</v>
      </c>
      <c r="F105" s="191">
        <f t="shared" si="5"/>
        <v>0</v>
      </c>
      <c r="G105" s="191">
        <f t="shared" si="6"/>
        <v>133.274687</v>
      </c>
      <c r="H105" s="192">
        <f t="shared" si="7"/>
        <v>133.274687</v>
      </c>
      <c r="I105" s="191">
        <v>7.0</v>
      </c>
      <c r="J105" s="194">
        <f t="shared" si="8"/>
        <v>932.922809</v>
      </c>
      <c r="K105" s="139"/>
      <c r="L105" s="197"/>
      <c r="M105" s="198"/>
      <c r="N105" s="198"/>
      <c r="O105" s="139"/>
      <c r="P105" s="139"/>
      <c r="Q105" s="141">
        <v>29.5</v>
      </c>
      <c r="R105" s="187">
        <f t="shared" si="9"/>
        <v>2.41</v>
      </c>
      <c r="S105" s="181">
        <f t="shared" si="10"/>
        <v>7</v>
      </c>
      <c r="T105" s="181">
        <f t="shared" si="11"/>
        <v>16.87</v>
      </c>
      <c r="U105" s="186">
        <f t="shared" si="12"/>
        <v>133.274687</v>
      </c>
      <c r="V105" s="187">
        <f t="shared" ref="V105:W105" si="96">C105/100</f>
        <v>1.03</v>
      </c>
      <c r="W105" s="187">
        <f t="shared" si="96"/>
        <v>1.82</v>
      </c>
      <c r="X105" s="187">
        <f t="shared" si="14"/>
        <v>16.87</v>
      </c>
      <c r="Y105" s="189">
        <f t="shared" si="15"/>
        <v>31.624502</v>
      </c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customHeight="1">
      <c r="A106" s="181">
        <v>81.0</v>
      </c>
      <c r="B106" s="191" t="s">
        <v>55</v>
      </c>
      <c r="C106" s="191">
        <v>103.0</v>
      </c>
      <c r="D106" s="191">
        <v>182.0</v>
      </c>
      <c r="E106" s="191">
        <v>242.0</v>
      </c>
      <c r="F106" s="191">
        <f t="shared" si="5"/>
        <v>0</v>
      </c>
      <c r="G106" s="191">
        <f t="shared" si="6"/>
        <v>133.827694</v>
      </c>
      <c r="H106" s="192">
        <f t="shared" si="7"/>
        <v>133.827694</v>
      </c>
      <c r="I106" s="191">
        <v>8.0</v>
      </c>
      <c r="J106" s="194">
        <f t="shared" si="8"/>
        <v>1070.621552</v>
      </c>
      <c r="K106" s="139"/>
      <c r="L106" s="197"/>
      <c r="M106" s="198"/>
      <c r="N106" s="198"/>
      <c r="O106" s="139"/>
      <c r="P106" s="139"/>
      <c r="Q106" s="141">
        <v>29.5</v>
      </c>
      <c r="R106" s="187">
        <f t="shared" si="9"/>
        <v>2.42</v>
      </c>
      <c r="S106" s="181">
        <f t="shared" si="10"/>
        <v>8</v>
      </c>
      <c r="T106" s="181">
        <f t="shared" si="11"/>
        <v>19.36</v>
      </c>
      <c r="U106" s="186">
        <f t="shared" si="12"/>
        <v>133.827694</v>
      </c>
      <c r="V106" s="187">
        <f t="shared" ref="V106:W106" si="97">C106/100</f>
        <v>1.03</v>
      </c>
      <c r="W106" s="187">
        <f t="shared" si="97"/>
        <v>1.82</v>
      </c>
      <c r="X106" s="187">
        <f t="shared" si="14"/>
        <v>19.36</v>
      </c>
      <c r="Y106" s="189">
        <f t="shared" si="15"/>
        <v>36.292256</v>
      </c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customHeight="1">
      <c r="A107" s="181">
        <v>82.0</v>
      </c>
      <c r="B107" s="191" t="s">
        <v>55</v>
      </c>
      <c r="C107" s="191">
        <v>103.0</v>
      </c>
      <c r="D107" s="191">
        <v>182.0</v>
      </c>
      <c r="E107" s="191">
        <v>240.0</v>
      </c>
      <c r="F107" s="191">
        <f t="shared" si="5"/>
        <v>0</v>
      </c>
      <c r="G107" s="191">
        <f t="shared" si="6"/>
        <v>132.72168</v>
      </c>
      <c r="H107" s="192">
        <f t="shared" si="7"/>
        <v>132.72168</v>
      </c>
      <c r="I107" s="191">
        <v>1.0</v>
      </c>
      <c r="J107" s="194">
        <f t="shared" si="8"/>
        <v>132.72168</v>
      </c>
      <c r="K107" s="139"/>
      <c r="L107" s="197"/>
      <c r="M107" s="198"/>
      <c r="N107" s="198"/>
      <c r="O107" s="139"/>
      <c r="P107" s="139"/>
      <c r="Q107" s="141">
        <v>29.5</v>
      </c>
      <c r="R107" s="187">
        <f t="shared" si="9"/>
        <v>2.4</v>
      </c>
      <c r="S107" s="181">
        <f t="shared" si="10"/>
        <v>1</v>
      </c>
      <c r="T107" s="181">
        <f t="shared" si="11"/>
        <v>2.4</v>
      </c>
      <c r="U107" s="186">
        <f t="shared" si="12"/>
        <v>132.72168</v>
      </c>
      <c r="V107" s="187">
        <f t="shared" ref="V107:W107" si="98">C107/100</f>
        <v>1.03</v>
      </c>
      <c r="W107" s="187">
        <f t="shared" si="98"/>
        <v>1.82</v>
      </c>
      <c r="X107" s="187">
        <f t="shared" si="14"/>
        <v>2.4</v>
      </c>
      <c r="Y107" s="189">
        <f t="shared" si="15"/>
        <v>4.49904</v>
      </c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customHeight="1">
      <c r="A108" s="181">
        <v>83.0</v>
      </c>
      <c r="B108" s="191" t="s">
        <v>55</v>
      </c>
      <c r="C108" s="191">
        <v>105.0</v>
      </c>
      <c r="D108" s="191">
        <v>182.0</v>
      </c>
      <c r="E108" s="191">
        <v>240.0</v>
      </c>
      <c r="F108" s="191">
        <f t="shared" si="5"/>
        <v>0</v>
      </c>
      <c r="G108" s="191">
        <f t="shared" si="6"/>
        <v>135.2988</v>
      </c>
      <c r="H108" s="192">
        <f t="shared" si="7"/>
        <v>135.2988</v>
      </c>
      <c r="I108" s="191">
        <v>1.0</v>
      </c>
      <c r="J108" s="194">
        <f t="shared" si="8"/>
        <v>135.2988</v>
      </c>
      <c r="K108" s="139"/>
      <c r="L108" s="197"/>
      <c r="M108" s="198"/>
      <c r="N108" s="198"/>
      <c r="O108" s="139"/>
      <c r="P108" s="139"/>
      <c r="Q108" s="141">
        <v>29.5</v>
      </c>
      <c r="R108" s="187">
        <f t="shared" si="9"/>
        <v>2.4</v>
      </c>
      <c r="S108" s="181">
        <f t="shared" si="10"/>
        <v>1</v>
      </c>
      <c r="T108" s="181">
        <f t="shared" si="11"/>
        <v>2.4</v>
      </c>
      <c r="U108" s="186">
        <f t="shared" si="12"/>
        <v>135.2988</v>
      </c>
      <c r="V108" s="187">
        <f t="shared" ref="V108:W108" si="99">C108/100</f>
        <v>1.05</v>
      </c>
      <c r="W108" s="187">
        <f t="shared" si="99"/>
        <v>1.82</v>
      </c>
      <c r="X108" s="187">
        <f t="shared" si="14"/>
        <v>2.4</v>
      </c>
      <c r="Y108" s="189">
        <f t="shared" si="15"/>
        <v>4.5864</v>
      </c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customHeight="1">
      <c r="A109" s="181">
        <v>84.0</v>
      </c>
      <c r="B109" s="191" t="s">
        <v>55</v>
      </c>
      <c r="C109" s="191">
        <v>102.0</v>
      </c>
      <c r="D109" s="191">
        <v>182.0</v>
      </c>
      <c r="E109" s="191">
        <v>240.0</v>
      </c>
      <c r="F109" s="191">
        <f t="shared" si="5"/>
        <v>0</v>
      </c>
      <c r="G109" s="191">
        <f t="shared" si="6"/>
        <v>131.43312</v>
      </c>
      <c r="H109" s="192">
        <f t="shared" si="7"/>
        <v>131.43312</v>
      </c>
      <c r="I109" s="191">
        <v>1.0</v>
      </c>
      <c r="J109" s="194">
        <f t="shared" si="8"/>
        <v>131.43312</v>
      </c>
      <c r="K109" s="139"/>
      <c r="L109" s="197"/>
      <c r="M109" s="198"/>
      <c r="N109" s="198"/>
      <c r="O109" s="139"/>
      <c r="P109" s="139"/>
      <c r="Q109" s="141">
        <v>29.5</v>
      </c>
      <c r="R109" s="187">
        <f t="shared" si="9"/>
        <v>2.4</v>
      </c>
      <c r="S109" s="181">
        <f t="shared" si="10"/>
        <v>1</v>
      </c>
      <c r="T109" s="181">
        <f t="shared" si="11"/>
        <v>2.4</v>
      </c>
      <c r="U109" s="186">
        <f t="shared" si="12"/>
        <v>131.43312</v>
      </c>
      <c r="V109" s="187">
        <f t="shared" ref="V109:W109" si="100">C109/100</f>
        <v>1.02</v>
      </c>
      <c r="W109" s="187">
        <f t="shared" si="100"/>
        <v>1.82</v>
      </c>
      <c r="X109" s="187">
        <f t="shared" si="14"/>
        <v>2.4</v>
      </c>
      <c r="Y109" s="189">
        <f t="shared" si="15"/>
        <v>4.45536</v>
      </c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customHeight="1">
      <c r="A110" s="181">
        <v>85.0</v>
      </c>
      <c r="B110" s="191" t="s">
        <v>55</v>
      </c>
      <c r="C110" s="191">
        <v>104.0</v>
      </c>
      <c r="D110" s="191">
        <v>182.0</v>
      </c>
      <c r="E110" s="191">
        <v>241.0</v>
      </c>
      <c r="F110" s="191">
        <f t="shared" si="5"/>
        <v>0</v>
      </c>
      <c r="G110" s="191">
        <f t="shared" si="6"/>
        <v>134.568616</v>
      </c>
      <c r="H110" s="192">
        <f t="shared" si="7"/>
        <v>134.568616</v>
      </c>
      <c r="I110" s="191">
        <v>3.0</v>
      </c>
      <c r="J110" s="194">
        <f t="shared" si="8"/>
        <v>403.705848</v>
      </c>
      <c r="K110" s="139"/>
      <c r="L110" s="197"/>
      <c r="M110" s="198"/>
      <c r="N110" s="198"/>
      <c r="O110" s="139"/>
      <c r="P110" s="139"/>
      <c r="Q110" s="141">
        <v>29.5</v>
      </c>
      <c r="R110" s="187">
        <f t="shared" si="9"/>
        <v>2.41</v>
      </c>
      <c r="S110" s="181">
        <f t="shared" si="10"/>
        <v>3</v>
      </c>
      <c r="T110" s="181">
        <f t="shared" si="11"/>
        <v>7.23</v>
      </c>
      <c r="U110" s="186">
        <f t="shared" si="12"/>
        <v>134.568616</v>
      </c>
      <c r="V110" s="187">
        <f t="shared" ref="V110:W110" si="101">C110/100</f>
        <v>1.04</v>
      </c>
      <c r="W110" s="187">
        <f t="shared" si="101"/>
        <v>1.82</v>
      </c>
      <c r="X110" s="187">
        <f t="shared" si="14"/>
        <v>7.23</v>
      </c>
      <c r="Y110" s="189">
        <f t="shared" si="15"/>
        <v>13.684944</v>
      </c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customHeight="1">
      <c r="A111" s="181">
        <v>86.0</v>
      </c>
      <c r="B111" s="191" t="s">
        <v>55</v>
      </c>
      <c r="C111" s="191">
        <v>104.0</v>
      </c>
      <c r="D111" s="191">
        <v>182.0</v>
      </c>
      <c r="E111" s="191">
        <v>242.0</v>
      </c>
      <c r="F111" s="191">
        <f t="shared" si="5"/>
        <v>0</v>
      </c>
      <c r="G111" s="191">
        <f t="shared" si="6"/>
        <v>135.126992</v>
      </c>
      <c r="H111" s="192">
        <f t="shared" si="7"/>
        <v>135.126992</v>
      </c>
      <c r="I111" s="191">
        <v>6.0</v>
      </c>
      <c r="J111" s="194">
        <f t="shared" si="8"/>
        <v>810.761952</v>
      </c>
      <c r="K111" s="139"/>
      <c r="L111" s="197"/>
      <c r="M111" s="198"/>
      <c r="N111" s="198"/>
      <c r="O111" s="139"/>
      <c r="P111" s="139"/>
      <c r="Q111" s="141">
        <v>29.5</v>
      </c>
      <c r="R111" s="187">
        <f t="shared" si="9"/>
        <v>2.42</v>
      </c>
      <c r="S111" s="181">
        <f t="shared" si="10"/>
        <v>6</v>
      </c>
      <c r="T111" s="181">
        <f t="shared" si="11"/>
        <v>14.52</v>
      </c>
      <c r="U111" s="186">
        <f t="shared" si="12"/>
        <v>135.126992</v>
      </c>
      <c r="V111" s="187">
        <f t="shared" ref="V111:W111" si="102">C111/100</f>
        <v>1.04</v>
      </c>
      <c r="W111" s="187">
        <f t="shared" si="102"/>
        <v>1.82</v>
      </c>
      <c r="X111" s="187">
        <f t="shared" si="14"/>
        <v>14.52</v>
      </c>
      <c r="Y111" s="189">
        <f t="shared" si="15"/>
        <v>27.483456</v>
      </c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customHeight="1">
      <c r="A112" s="181">
        <v>87.0</v>
      </c>
      <c r="B112" s="191" t="s">
        <v>55</v>
      </c>
      <c r="C112" s="191">
        <v>98.0</v>
      </c>
      <c r="D112" s="191">
        <v>182.0</v>
      </c>
      <c r="E112" s="191">
        <v>242.0</v>
      </c>
      <c r="F112" s="191">
        <f t="shared" si="5"/>
        <v>0</v>
      </c>
      <c r="G112" s="191">
        <f t="shared" si="6"/>
        <v>127.331204</v>
      </c>
      <c r="H112" s="192">
        <f t="shared" si="7"/>
        <v>127.331204</v>
      </c>
      <c r="I112" s="191">
        <v>1.0</v>
      </c>
      <c r="J112" s="194">
        <f t="shared" si="8"/>
        <v>127.331204</v>
      </c>
      <c r="K112" s="139"/>
      <c r="L112" s="197"/>
      <c r="M112" s="198"/>
      <c r="N112" s="198"/>
      <c r="O112" s="139"/>
      <c r="P112" s="139"/>
      <c r="Q112" s="141">
        <v>29.5</v>
      </c>
      <c r="R112" s="187">
        <f t="shared" si="9"/>
        <v>2.42</v>
      </c>
      <c r="S112" s="181">
        <f t="shared" si="10"/>
        <v>1</v>
      </c>
      <c r="T112" s="181">
        <f t="shared" si="11"/>
        <v>2.42</v>
      </c>
      <c r="U112" s="186">
        <f t="shared" si="12"/>
        <v>127.331204</v>
      </c>
      <c r="V112" s="187">
        <f t="shared" ref="V112:W112" si="103">C112/100</f>
        <v>0.98</v>
      </c>
      <c r="W112" s="187">
        <f t="shared" si="103"/>
        <v>1.82</v>
      </c>
      <c r="X112" s="187">
        <f t="shared" si="14"/>
        <v>2.42</v>
      </c>
      <c r="Y112" s="189">
        <f t="shared" si="15"/>
        <v>4.316312</v>
      </c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customHeight="1">
      <c r="A113" s="181">
        <v>88.0</v>
      </c>
      <c r="B113" s="191" t="s">
        <v>55</v>
      </c>
      <c r="C113" s="191">
        <v>105.0</v>
      </c>
      <c r="D113" s="191">
        <v>182.0</v>
      </c>
      <c r="E113" s="191">
        <v>242.0</v>
      </c>
      <c r="F113" s="191">
        <f t="shared" si="5"/>
        <v>0</v>
      </c>
      <c r="G113" s="191">
        <f t="shared" si="6"/>
        <v>136.42629</v>
      </c>
      <c r="H113" s="192">
        <f t="shared" si="7"/>
        <v>136.42629</v>
      </c>
      <c r="I113" s="191">
        <v>1.0</v>
      </c>
      <c r="J113" s="194">
        <f t="shared" si="8"/>
        <v>136.42629</v>
      </c>
      <c r="K113" s="139"/>
      <c r="L113" s="197"/>
      <c r="M113" s="198"/>
      <c r="N113" s="198"/>
      <c r="O113" s="139"/>
      <c r="P113" s="139"/>
      <c r="Q113" s="141">
        <v>29.5</v>
      </c>
      <c r="R113" s="187">
        <f t="shared" si="9"/>
        <v>2.42</v>
      </c>
      <c r="S113" s="181">
        <f t="shared" si="10"/>
        <v>1</v>
      </c>
      <c r="T113" s="181">
        <f t="shared" si="11"/>
        <v>2.42</v>
      </c>
      <c r="U113" s="186">
        <f t="shared" si="12"/>
        <v>136.42629</v>
      </c>
      <c r="V113" s="187">
        <f t="shared" ref="V113:W113" si="104">C113/100</f>
        <v>1.05</v>
      </c>
      <c r="W113" s="187">
        <f t="shared" si="104"/>
        <v>1.82</v>
      </c>
      <c r="X113" s="187">
        <f t="shared" si="14"/>
        <v>2.42</v>
      </c>
      <c r="Y113" s="189">
        <f t="shared" si="15"/>
        <v>4.62462</v>
      </c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customHeight="1">
      <c r="A114" s="181">
        <v>89.0</v>
      </c>
      <c r="B114" s="191" t="s">
        <v>55</v>
      </c>
      <c r="C114" s="191">
        <v>100.0</v>
      </c>
      <c r="D114" s="191">
        <v>182.0</v>
      </c>
      <c r="E114" s="191">
        <v>242.0</v>
      </c>
      <c r="F114" s="191">
        <f t="shared" si="5"/>
        <v>0</v>
      </c>
      <c r="G114" s="191">
        <f t="shared" si="6"/>
        <v>129.9298</v>
      </c>
      <c r="H114" s="192">
        <f t="shared" si="7"/>
        <v>129.9298</v>
      </c>
      <c r="I114" s="191">
        <v>1.0</v>
      </c>
      <c r="J114" s="194">
        <f t="shared" si="8"/>
        <v>129.9298</v>
      </c>
      <c r="K114" s="139"/>
      <c r="L114" s="197"/>
      <c r="M114" s="198"/>
      <c r="N114" s="198"/>
      <c r="O114" s="139"/>
      <c r="P114" s="139"/>
      <c r="Q114" s="141">
        <v>29.5</v>
      </c>
      <c r="R114" s="187">
        <f t="shared" si="9"/>
        <v>2.42</v>
      </c>
      <c r="S114" s="181">
        <f t="shared" si="10"/>
        <v>1</v>
      </c>
      <c r="T114" s="181">
        <f t="shared" si="11"/>
        <v>2.42</v>
      </c>
      <c r="U114" s="186">
        <f t="shared" si="12"/>
        <v>129.9298</v>
      </c>
      <c r="V114" s="187">
        <f t="shared" ref="V114:W114" si="105">C114/100</f>
        <v>1</v>
      </c>
      <c r="W114" s="187">
        <f t="shared" si="105"/>
        <v>1.82</v>
      </c>
      <c r="X114" s="187">
        <f t="shared" si="14"/>
        <v>2.42</v>
      </c>
      <c r="Y114" s="189">
        <f t="shared" si="15"/>
        <v>4.4044</v>
      </c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customHeight="1">
      <c r="A115" s="181">
        <v>90.0</v>
      </c>
      <c r="B115" s="191" t="s">
        <v>55</v>
      </c>
      <c r="C115" s="191">
        <v>88.0</v>
      </c>
      <c r="D115" s="191">
        <v>182.0</v>
      </c>
      <c r="E115" s="191">
        <v>243.0</v>
      </c>
      <c r="F115" s="191">
        <f t="shared" si="5"/>
        <v>0</v>
      </c>
      <c r="G115" s="191">
        <f t="shared" si="6"/>
        <v>114.810696</v>
      </c>
      <c r="H115" s="192">
        <f t="shared" si="7"/>
        <v>114.810696</v>
      </c>
      <c r="I115" s="191">
        <v>1.0</v>
      </c>
      <c r="J115" s="194">
        <f t="shared" si="8"/>
        <v>114.810696</v>
      </c>
      <c r="K115" s="139"/>
      <c r="L115" s="197"/>
      <c r="M115" s="198"/>
      <c r="N115" s="198"/>
      <c r="O115" s="139"/>
      <c r="P115" s="139"/>
      <c r="Q115" s="141">
        <v>29.5</v>
      </c>
      <c r="R115" s="187">
        <f t="shared" si="9"/>
        <v>2.43</v>
      </c>
      <c r="S115" s="181">
        <f t="shared" si="10"/>
        <v>1</v>
      </c>
      <c r="T115" s="181">
        <f t="shared" si="11"/>
        <v>2.43</v>
      </c>
      <c r="U115" s="186">
        <f t="shared" si="12"/>
        <v>114.810696</v>
      </c>
      <c r="V115" s="187">
        <f t="shared" ref="V115:W115" si="106">C115/100</f>
        <v>0.88</v>
      </c>
      <c r="W115" s="187">
        <f t="shared" si="106"/>
        <v>1.82</v>
      </c>
      <c r="X115" s="187">
        <f t="shared" si="14"/>
        <v>2.43</v>
      </c>
      <c r="Y115" s="189">
        <f t="shared" si="15"/>
        <v>3.891888</v>
      </c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customHeight="1">
      <c r="A116" s="181">
        <v>91.0</v>
      </c>
      <c r="B116" s="191" t="s">
        <v>55</v>
      </c>
      <c r="C116" s="191">
        <v>103.0</v>
      </c>
      <c r="D116" s="191">
        <v>182.0</v>
      </c>
      <c r="E116" s="191">
        <v>243.0</v>
      </c>
      <c r="F116" s="191">
        <f t="shared" si="5"/>
        <v>0</v>
      </c>
      <c r="G116" s="191">
        <f t="shared" si="6"/>
        <v>134.380701</v>
      </c>
      <c r="H116" s="192">
        <f t="shared" si="7"/>
        <v>134.380701</v>
      </c>
      <c r="I116" s="191">
        <v>1.0</v>
      </c>
      <c r="J116" s="194">
        <f t="shared" si="8"/>
        <v>134.380701</v>
      </c>
      <c r="K116" s="139"/>
      <c r="L116" s="197"/>
      <c r="M116" s="198"/>
      <c r="N116" s="198"/>
      <c r="O116" s="139"/>
      <c r="P116" s="139"/>
      <c r="Q116" s="141">
        <v>29.5</v>
      </c>
      <c r="R116" s="187">
        <f t="shared" si="9"/>
        <v>2.43</v>
      </c>
      <c r="S116" s="181">
        <f t="shared" si="10"/>
        <v>1</v>
      </c>
      <c r="T116" s="181">
        <f t="shared" si="11"/>
        <v>2.43</v>
      </c>
      <c r="U116" s="186">
        <f t="shared" si="12"/>
        <v>134.380701</v>
      </c>
      <c r="V116" s="187">
        <f t="shared" ref="V116:W116" si="107">C116/100</f>
        <v>1.03</v>
      </c>
      <c r="W116" s="187">
        <f t="shared" si="107"/>
        <v>1.82</v>
      </c>
      <c r="X116" s="187">
        <f t="shared" si="14"/>
        <v>2.43</v>
      </c>
      <c r="Y116" s="189">
        <f t="shared" si="15"/>
        <v>4.555278</v>
      </c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customHeight="1">
      <c r="A117" s="181">
        <v>92.0</v>
      </c>
      <c r="B117" s="182" t="s">
        <v>68</v>
      </c>
      <c r="C117" s="183">
        <v>75.0</v>
      </c>
      <c r="D117" s="183">
        <v>167.0</v>
      </c>
      <c r="E117" s="183">
        <v>170.0</v>
      </c>
      <c r="F117" s="183">
        <f t="shared" si="5"/>
        <v>0.8</v>
      </c>
      <c r="G117" s="183">
        <f t="shared" si="6"/>
        <v>62.812875</v>
      </c>
      <c r="H117" s="184">
        <f t="shared" si="7"/>
        <v>50.2503</v>
      </c>
      <c r="I117" s="183">
        <v>1.0</v>
      </c>
      <c r="J117" s="185">
        <f t="shared" si="8"/>
        <v>50.2503</v>
      </c>
      <c r="K117" s="139"/>
      <c r="L117" s="197"/>
      <c r="M117" s="198"/>
      <c r="N117" s="198"/>
      <c r="O117" s="139"/>
      <c r="P117" s="139"/>
      <c r="Q117" s="141">
        <v>29.5</v>
      </c>
      <c r="R117" s="187">
        <f t="shared" si="9"/>
        <v>1.7</v>
      </c>
      <c r="S117" s="181">
        <f t="shared" si="10"/>
        <v>1</v>
      </c>
      <c r="T117" s="181">
        <f t="shared" si="11"/>
        <v>1.7</v>
      </c>
      <c r="U117" s="186">
        <f t="shared" si="12"/>
        <v>62.812875</v>
      </c>
      <c r="V117" s="187">
        <f t="shared" ref="V117:W117" si="108">C117/100</f>
        <v>0.75</v>
      </c>
      <c r="W117" s="187">
        <f t="shared" si="108"/>
        <v>1.67</v>
      </c>
      <c r="X117" s="187">
        <f t="shared" si="14"/>
        <v>1.7</v>
      </c>
      <c r="Y117" s="189">
        <f t="shared" si="15"/>
        <v>2.12925</v>
      </c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customHeight="1">
      <c r="A118" s="181">
        <v>93.0</v>
      </c>
      <c r="B118" s="191" t="s">
        <v>58</v>
      </c>
      <c r="C118" s="191">
        <v>97.0</v>
      </c>
      <c r="D118" s="191">
        <v>167.0</v>
      </c>
      <c r="E118" s="191">
        <v>181.0</v>
      </c>
      <c r="F118" s="191">
        <f t="shared" si="5"/>
        <v>0</v>
      </c>
      <c r="G118" s="191">
        <f t="shared" si="6"/>
        <v>86.4945605</v>
      </c>
      <c r="H118" s="192">
        <f t="shared" si="7"/>
        <v>86.4945605</v>
      </c>
      <c r="I118" s="191">
        <v>1.0</v>
      </c>
      <c r="J118" s="194">
        <f t="shared" si="8"/>
        <v>86.4945605</v>
      </c>
      <c r="K118" s="139"/>
      <c r="L118" s="197"/>
      <c r="M118" s="198"/>
      <c r="N118" s="198"/>
      <c r="O118" s="139"/>
      <c r="P118" s="139"/>
      <c r="Q118" s="141">
        <v>29.5</v>
      </c>
      <c r="R118" s="187">
        <f t="shared" si="9"/>
        <v>1.81</v>
      </c>
      <c r="S118" s="181">
        <f t="shared" si="10"/>
        <v>1</v>
      </c>
      <c r="T118" s="181">
        <f t="shared" si="11"/>
        <v>1.81</v>
      </c>
      <c r="U118" s="186">
        <f t="shared" si="12"/>
        <v>86.4945605</v>
      </c>
      <c r="V118" s="187">
        <f t="shared" ref="V118:W118" si="109">C118/100</f>
        <v>0.97</v>
      </c>
      <c r="W118" s="187">
        <f t="shared" si="109"/>
        <v>1.67</v>
      </c>
      <c r="X118" s="187">
        <f t="shared" si="14"/>
        <v>1.81</v>
      </c>
      <c r="Y118" s="189">
        <f t="shared" si="15"/>
        <v>2.932019</v>
      </c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customHeight="1">
      <c r="A119" s="181">
        <v>94.0</v>
      </c>
      <c r="B119" s="191" t="s">
        <v>58</v>
      </c>
      <c r="C119" s="191">
        <v>86.0</v>
      </c>
      <c r="D119" s="191">
        <v>167.0</v>
      </c>
      <c r="E119" s="191">
        <v>186.0</v>
      </c>
      <c r="F119" s="191">
        <f t="shared" si="5"/>
        <v>0</v>
      </c>
      <c r="G119" s="191">
        <f t="shared" si="6"/>
        <v>78.804294</v>
      </c>
      <c r="H119" s="192">
        <f t="shared" si="7"/>
        <v>78.804294</v>
      </c>
      <c r="I119" s="191">
        <v>1.0</v>
      </c>
      <c r="J119" s="194">
        <f t="shared" si="8"/>
        <v>78.804294</v>
      </c>
      <c r="K119" s="139"/>
      <c r="L119" s="197"/>
      <c r="M119" s="198"/>
      <c r="N119" s="198"/>
      <c r="O119" s="139"/>
      <c r="P119" s="139"/>
      <c r="Q119" s="141">
        <v>29.5</v>
      </c>
      <c r="R119" s="187">
        <f t="shared" si="9"/>
        <v>1.86</v>
      </c>
      <c r="S119" s="181">
        <f t="shared" si="10"/>
        <v>1</v>
      </c>
      <c r="T119" s="181">
        <f t="shared" si="11"/>
        <v>1.86</v>
      </c>
      <c r="U119" s="186">
        <f t="shared" si="12"/>
        <v>78.804294</v>
      </c>
      <c r="V119" s="187">
        <f t="shared" ref="V119:W119" si="110">C119/100</f>
        <v>0.86</v>
      </c>
      <c r="W119" s="187">
        <f t="shared" si="110"/>
        <v>1.67</v>
      </c>
      <c r="X119" s="187">
        <f t="shared" si="14"/>
        <v>1.86</v>
      </c>
      <c r="Y119" s="189">
        <f t="shared" si="15"/>
        <v>2.671332</v>
      </c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customHeight="1">
      <c r="A120" s="181">
        <v>95.0</v>
      </c>
      <c r="B120" s="191" t="s">
        <v>58</v>
      </c>
      <c r="C120" s="191">
        <v>97.0</v>
      </c>
      <c r="D120" s="191">
        <v>167.0</v>
      </c>
      <c r="E120" s="191">
        <v>182.0</v>
      </c>
      <c r="F120" s="191">
        <f t="shared" si="5"/>
        <v>0</v>
      </c>
      <c r="G120" s="191">
        <f t="shared" si="6"/>
        <v>86.972431</v>
      </c>
      <c r="H120" s="192">
        <f t="shared" si="7"/>
        <v>86.972431</v>
      </c>
      <c r="I120" s="191">
        <v>2.0</v>
      </c>
      <c r="J120" s="194">
        <f t="shared" si="8"/>
        <v>173.944862</v>
      </c>
      <c r="K120" s="139"/>
      <c r="L120" s="197"/>
      <c r="M120" s="198"/>
      <c r="N120" s="198"/>
      <c r="O120" s="139"/>
      <c r="P120" s="139"/>
      <c r="Q120" s="141">
        <v>29.5</v>
      </c>
      <c r="R120" s="187">
        <f t="shared" si="9"/>
        <v>1.82</v>
      </c>
      <c r="S120" s="181">
        <f t="shared" si="10"/>
        <v>2</v>
      </c>
      <c r="T120" s="181">
        <f t="shared" si="11"/>
        <v>3.64</v>
      </c>
      <c r="U120" s="186">
        <f t="shared" si="12"/>
        <v>86.972431</v>
      </c>
      <c r="V120" s="187">
        <f t="shared" ref="V120:W120" si="111">C120/100</f>
        <v>0.97</v>
      </c>
      <c r="W120" s="187">
        <f t="shared" si="111"/>
        <v>1.67</v>
      </c>
      <c r="X120" s="187">
        <f t="shared" si="14"/>
        <v>3.64</v>
      </c>
      <c r="Y120" s="189">
        <f t="shared" si="15"/>
        <v>5.896436</v>
      </c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customHeight="1">
      <c r="A121" s="181">
        <v>96.0</v>
      </c>
      <c r="B121" s="191" t="s">
        <v>58</v>
      </c>
      <c r="C121" s="191">
        <v>95.0</v>
      </c>
      <c r="D121" s="191">
        <v>167.0</v>
      </c>
      <c r="E121" s="191">
        <v>170.0</v>
      </c>
      <c r="F121" s="191">
        <f t="shared" si="5"/>
        <v>0</v>
      </c>
      <c r="G121" s="191">
        <f t="shared" si="6"/>
        <v>79.562975</v>
      </c>
      <c r="H121" s="192">
        <f t="shared" si="7"/>
        <v>79.562975</v>
      </c>
      <c r="I121" s="191">
        <v>1.0</v>
      </c>
      <c r="J121" s="194">
        <f t="shared" si="8"/>
        <v>79.562975</v>
      </c>
      <c r="K121" s="139"/>
      <c r="L121" s="197"/>
      <c r="M121" s="198"/>
      <c r="N121" s="198"/>
      <c r="O121" s="139"/>
      <c r="P121" s="139"/>
      <c r="Q121" s="141">
        <v>29.5</v>
      </c>
      <c r="R121" s="187">
        <f t="shared" si="9"/>
        <v>1.7</v>
      </c>
      <c r="S121" s="181">
        <f t="shared" si="10"/>
        <v>1</v>
      </c>
      <c r="T121" s="181">
        <f t="shared" si="11"/>
        <v>1.7</v>
      </c>
      <c r="U121" s="186">
        <f t="shared" si="12"/>
        <v>79.562975</v>
      </c>
      <c r="V121" s="187">
        <f t="shared" ref="V121:W121" si="112">C121/100</f>
        <v>0.95</v>
      </c>
      <c r="W121" s="187">
        <f t="shared" si="112"/>
        <v>1.67</v>
      </c>
      <c r="X121" s="187">
        <f t="shared" si="14"/>
        <v>1.7</v>
      </c>
      <c r="Y121" s="189">
        <f t="shared" si="15"/>
        <v>2.69705</v>
      </c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customHeight="1">
      <c r="A122" s="181">
        <v>97.0</v>
      </c>
      <c r="B122" s="191" t="s">
        <v>58</v>
      </c>
      <c r="C122" s="191">
        <v>96.0</v>
      </c>
      <c r="D122" s="191">
        <v>167.0</v>
      </c>
      <c r="E122" s="191">
        <v>169.0</v>
      </c>
      <c r="F122" s="191">
        <f t="shared" si="5"/>
        <v>0</v>
      </c>
      <c r="G122" s="191">
        <f t="shared" si="6"/>
        <v>79.927536</v>
      </c>
      <c r="H122" s="192">
        <f t="shared" si="7"/>
        <v>79.927536</v>
      </c>
      <c r="I122" s="191">
        <v>1.0</v>
      </c>
      <c r="J122" s="194">
        <f t="shared" si="8"/>
        <v>79.927536</v>
      </c>
      <c r="K122" s="139"/>
      <c r="L122" s="197"/>
      <c r="M122" s="198"/>
      <c r="N122" s="198"/>
      <c r="O122" s="139"/>
      <c r="P122" s="139"/>
      <c r="Q122" s="141">
        <v>29.5</v>
      </c>
      <c r="R122" s="187">
        <f t="shared" si="9"/>
        <v>1.69</v>
      </c>
      <c r="S122" s="181">
        <f t="shared" si="10"/>
        <v>1</v>
      </c>
      <c r="T122" s="181">
        <f t="shared" si="11"/>
        <v>1.69</v>
      </c>
      <c r="U122" s="186">
        <f t="shared" si="12"/>
        <v>79.927536</v>
      </c>
      <c r="V122" s="187">
        <f t="shared" ref="V122:W122" si="113">C122/100</f>
        <v>0.96</v>
      </c>
      <c r="W122" s="187">
        <f t="shared" si="113"/>
        <v>1.67</v>
      </c>
      <c r="X122" s="187">
        <f t="shared" si="14"/>
        <v>1.69</v>
      </c>
      <c r="Y122" s="189">
        <f t="shared" si="15"/>
        <v>2.709408</v>
      </c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customHeight="1">
      <c r="A123" s="181">
        <v>98.0</v>
      </c>
      <c r="B123" s="191" t="s">
        <v>58</v>
      </c>
      <c r="C123" s="191">
        <v>96.0</v>
      </c>
      <c r="D123" s="191">
        <v>167.0</v>
      </c>
      <c r="E123" s="191">
        <v>152.0</v>
      </c>
      <c r="F123" s="191">
        <f t="shared" si="5"/>
        <v>0</v>
      </c>
      <c r="G123" s="191">
        <f t="shared" si="6"/>
        <v>71.887488</v>
      </c>
      <c r="H123" s="192">
        <f t="shared" si="7"/>
        <v>71.887488</v>
      </c>
      <c r="I123" s="191">
        <v>3.0</v>
      </c>
      <c r="J123" s="194">
        <f t="shared" si="8"/>
        <v>215.662464</v>
      </c>
      <c r="K123" s="139"/>
      <c r="L123" s="197"/>
      <c r="M123" s="198"/>
      <c r="N123" s="198"/>
      <c r="O123" s="139"/>
      <c r="P123" s="139"/>
      <c r="Q123" s="141">
        <v>29.5</v>
      </c>
      <c r="R123" s="187">
        <f t="shared" si="9"/>
        <v>1.52</v>
      </c>
      <c r="S123" s="181">
        <f t="shared" si="10"/>
        <v>3</v>
      </c>
      <c r="T123" s="181">
        <f t="shared" si="11"/>
        <v>4.56</v>
      </c>
      <c r="U123" s="186">
        <f t="shared" si="12"/>
        <v>71.887488</v>
      </c>
      <c r="V123" s="187">
        <f t="shared" ref="V123:W123" si="114">C123/100</f>
        <v>0.96</v>
      </c>
      <c r="W123" s="187">
        <f t="shared" si="114"/>
        <v>1.67</v>
      </c>
      <c r="X123" s="187">
        <f t="shared" si="14"/>
        <v>4.56</v>
      </c>
      <c r="Y123" s="189">
        <f t="shared" si="15"/>
        <v>7.310592</v>
      </c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customHeight="1">
      <c r="A124" s="181">
        <v>99.0</v>
      </c>
      <c r="B124" s="191" t="s">
        <v>58</v>
      </c>
      <c r="C124" s="191">
        <v>97.0</v>
      </c>
      <c r="D124" s="191">
        <v>167.0</v>
      </c>
      <c r="E124" s="191">
        <v>151.0</v>
      </c>
      <c r="F124" s="191">
        <f t="shared" si="5"/>
        <v>0</v>
      </c>
      <c r="G124" s="191">
        <f t="shared" si="6"/>
        <v>72.1584455</v>
      </c>
      <c r="H124" s="192">
        <f t="shared" si="7"/>
        <v>72.1584455</v>
      </c>
      <c r="I124" s="191">
        <v>2.0</v>
      </c>
      <c r="J124" s="194">
        <f t="shared" si="8"/>
        <v>144.316891</v>
      </c>
      <c r="K124" s="139"/>
      <c r="L124" s="197"/>
      <c r="M124" s="198"/>
      <c r="N124" s="198"/>
      <c r="O124" s="139"/>
      <c r="P124" s="139"/>
      <c r="Q124" s="141">
        <v>29.5</v>
      </c>
      <c r="R124" s="187">
        <f t="shared" si="9"/>
        <v>1.51</v>
      </c>
      <c r="S124" s="181">
        <f t="shared" si="10"/>
        <v>2</v>
      </c>
      <c r="T124" s="181">
        <f t="shared" si="11"/>
        <v>3.02</v>
      </c>
      <c r="U124" s="186">
        <f t="shared" si="12"/>
        <v>72.1584455</v>
      </c>
      <c r="V124" s="187">
        <f t="shared" ref="V124:W124" si="115">C124/100</f>
        <v>0.97</v>
      </c>
      <c r="W124" s="187">
        <f t="shared" si="115"/>
        <v>1.67</v>
      </c>
      <c r="X124" s="187">
        <f t="shared" si="14"/>
        <v>3.02</v>
      </c>
      <c r="Y124" s="189">
        <f t="shared" si="15"/>
        <v>4.892098</v>
      </c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customHeight="1">
      <c r="A125" s="181">
        <v>100.0</v>
      </c>
      <c r="B125" s="191" t="s">
        <v>58</v>
      </c>
      <c r="C125" s="191">
        <v>97.0</v>
      </c>
      <c r="D125" s="191">
        <v>167.0</v>
      </c>
      <c r="E125" s="191">
        <v>169.0</v>
      </c>
      <c r="F125" s="191">
        <f t="shared" si="5"/>
        <v>0</v>
      </c>
      <c r="G125" s="191">
        <f t="shared" si="6"/>
        <v>80.7601145</v>
      </c>
      <c r="H125" s="192">
        <f t="shared" si="7"/>
        <v>80.7601145</v>
      </c>
      <c r="I125" s="191">
        <v>1.0</v>
      </c>
      <c r="J125" s="194">
        <f t="shared" si="8"/>
        <v>80.7601145</v>
      </c>
      <c r="K125" s="139"/>
      <c r="L125" s="197"/>
      <c r="M125" s="198"/>
      <c r="N125" s="198"/>
      <c r="O125" s="139"/>
      <c r="P125" s="139"/>
      <c r="Q125" s="141">
        <v>29.5</v>
      </c>
      <c r="R125" s="187">
        <f t="shared" si="9"/>
        <v>1.69</v>
      </c>
      <c r="S125" s="181">
        <f t="shared" si="10"/>
        <v>1</v>
      </c>
      <c r="T125" s="181">
        <f t="shared" si="11"/>
        <v>1.69</v>
      </c>
      <c r="U125" s="186">
        <f t="shared" si="12"/>
        <v>80.7601145</v>
      </c>
      <c r="V125" s="187">
        <f t="shared" ref="V125:W125" si="116">C125/100</f>
        <v>0.97</v>
      </c>
      <c r="W125" s="187">
        <f t="shared" si="116"/>
        <v>1.67</v>
      </c>
      <c r="X125" s="187">
        <f t="shared" si="14"/>
        <v>1.69</v>
      </c>
      <c r="Y125" s="189">
        <f t="shared" si="15"/>
        <v>2.737631</v>
      </c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customHeight="1">
      <c r="A126" s="181">
        <v>101.0</v>
      </c>
      <c r="B126" s="191" t="s">
        <v>58</v>
      </c>
      <c r="C126" s="191">
        <v>97.0</v>
      </c>
      <c r="D126" s="191">
        <v>167.0</v>
      </c>
      <c r="E126" s="191">
        <v>168.0</v>
      </c>
      <c r="F126" s="191">
        <f t="shared" si="5"/>
        <v>0</v>
      </c>
      <c r="G126" s="191">
        <f t="shared" si="6"/>
        <v>80.282244</v>
      </c>
      <c r="H126" s="192">
        <f t="shared" si="7"/>
        <v>80.282244</v>
      </c>
      <c r="I126" s="191">
        <v>3.0</v>
      </c>
      <c r="J126" s="194">
        <f t="shared" si="8"/>
        <v>240.846732</v>
      </c>
      <c r="K126" s="139"/>
      <c r="L126" s="197"/>
      <c r="M126" s="198"/>
      <c r="N126" s="198"/>
      <c r="O126" s="139"/>
      <c r="P126" s="139"/>
      <c r="Q126" s="141">
        <v>29.5</v>
      </c>
      <c r="R126" s="187">
        <f t="shared" si="9"/>
        <v>1.68</v>
      </c>
      <c r="S126" s="181">
        <f t="shared" si="10"/>
        <v>3</v>
      </c>
      <c r="T126" s="181">
        <f t="shared" si="11"/>
        <v>5.04</v>
      </c>
      <c r="U126" s="186">
        <f t="shared" si="12"/>
        <v>80.282244</v>
      </c>
      <c r="V126" s="187">
        <f t="shared" ref="V126:W126" si="117">C126/100</f>
        <v>0.97</v>
      </c>
      <c r="W126" s="187">
        <f t="shared" si="117"/>
        <v>1.67</v>
      </c>
      <c r="X126" s="187">
        <f t="shared" si="14"/>
        <v>5.04</v>
      </c>
      <c r="Y126" s="189">
        <f t="shared" si="15"/>
        <v>8.164296</v>
      </c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customHeight="1">
      <c r="A127" s="181">
        <v>102.0</v>
      </c>
      <c r="B127" s="191" t="s">
        <v>58</v>
      </c>
      <c r="C127" s="191">
        <v>97.0</v>
      </c>
      <c r="D127" s="191">
        <v>167.0</v>
      </c>
      <c r="E127" s="191">
        <v>170.0</v>
      </c>
      <c r="F127" s="191">
        <f t="shared" si="5"/>
        <v>0</v>
      </c>
      <c r="G127" s="191">
        <f t="shared" si="6"/>
        <v>81.237985</v>
      </c>
      <c r="H127" s="192">
        <f t="shared" si="7"/>
        <v>81.237985</v>
      </c>
      <c r="I127" s="191">
        <v>1.0</v>
      </c>
      <c r="J127" s="194">
        <f t="shared" si="8"/>
        <v>81.237985</v>
      </c>
      <c r="K127" s="139"/>
      <c r="L127" s="197"/>
      <c r="M127" s="198"/>
      <c r="N127" s="198"/>
      <c r="O127" s="139"/>
      <c r="P127" s="139"/>
      <c r="Q127" s="141">
        <v>29.5</v>
      </c>
      <c r="R127" s="187">
        <f t="shared" si="9"/>
        <v>1.7</v>
      </c>
      <c r="S127" s="181">
        <f t="shared" si="10"/>
        <v>1</v>
      </c>
      <c r="T127" s="181">
        <f t="shared" si="11"/>
        <v>1.7</v>
      </c>
      <c r="U127" s="186">
        <f t="shared" si="12"/>
        <v>81.237985</v>
      </c>
      <c r="V127" s="187">
        <f t="shared" ref="V127:W127" si="118">C127/100</f>
        <v>0.97</v>
      </c>
      <c r="W127" s="187">
        <f t="shared" si="118"/>
        <v>1.67</v>
      </c>
      <c r="X127" s="187">
        <f t="shared" si="14"/>
        <v>1.7</v>
      </c>
      <c r="Y127" s="189">
        <f t="shared" si="15"/>
        <v>2.75383</v>
      </c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customHeight="1">
      <c r="A128" s="181">
        <v>103.0</v>
      </c>
      <c r="B128" s="191" t="s">
        <v>58</v>
      </c>
      <c r="C128" s="191">
        <v>98.0</v>
      </c>
      <c r="D128" s="191">
        <v>167.0</v>
      </c>
      <c r="E128" s="191">
        <v>169.0</v>
      </c>
      <c r="F128" s="191">
        <f t="shared" si="5"/>
        <v>0</v>
      </c>
      <c r="G128" s="191">
        <f t="shared" si="6"/>
        <v>81.592693</v>
      </c>
      <c r="H128" s="192">
        <f t="shared" si="7"/>
        <v>81.592693</v>
      </c>
      <c r="I128" s="191">
        <v>1.0</v>
      </c>
      <c r="J128" s="194">
        <f t="shared" si="8"/>
        <v>81.592693</v>
      </c>
      <c r="K128" s="139"/>
      <c r="L128" s="197"/>
      <c r="M128" s="198"/>
      <c r="N128" s="198"/>
      <c r="O128" s="139"/>
      <c r="P128" s="139"/>
      <c r="Q128" s="141">
        <v>29.5</v>
      </c>
      <c r="R128" s="187">
        <f t="shared" si="9"/>
        <v>1.69</v>
      </c>
      <c r="S128" s="181">
        <f t="shared" si="10"/>
        <v>1</v>
      </c>
      <c r="T128" s="181">
        <f t="shared" si="11"/>
        <v>1.69</v>
      </c>
      <c r="U128" s="186">
        <f t="shared" si="12"/>
        <v>81.592693</v>
      </c>
      <c r="V128" s="187">
        <f t="shared" ref="V128:W128" si="119">C128/100</f>
        <v>0.98</v>
      </c>
      <c r="W128" s="187">
        <f t="shared" si="119"/>
        <v>1.67</v>
      </c>
      <c r="X128" s="187">
        <f t="shared" si="14"/>
        <v>1.69</v>
      </c>
      <c r="Y128" s="189">
        <f t="shared" si="15"/>
        <v>2.765854</v>
      </c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customHeight="1">
      <c r="A129" s="181">
        <v>104.0</v>
      </c>
      <c r="B129" s="191" t="s">
        <v>58</v>
      </c>
      <c r="C129" s="191">
        <v>98.0</v>
      </c>
      <c r="D129" s="191">
        <v>167.0</v>
      </c>
      <c r="E129" s="191">
        <v>180.0</v>
      </c>
      <c r="F129" s="191">
        <f t="shared" si="5"/>
        <v>0</v>
      </c>
      <c r="G129" s="191">
        <f t="shared" si="6"/>
        <v>86.90346</v>
      </c>
      <c r="H129" s="192">
        <f t="shared" si="7"/>
        <v>86.90346</v>
      </c>
      <c r="I129" s="191">
        <v>1.0</v>
      </c>
      <c r="J129" s="194">
        <f t="shared" si="8"/>
        <v>86.90346</v>
      </c>
      <c r="K129" s="139"/>
      <c r="L129" s="197"/>
      <c r="M129" s="198"/>
      <c r="N129" s="198"/>
      <c r="O129" s="139"/>
      <c r="P129" s="139"/>
      <c r="Q129" s="141">
        <v>29.5</v>
      </c>
      <c r="R129" s="187">
        <f t="shared" si="9"/>
        <v>1.8</v>
      </c>
      <c r="S129" s="181">
        <f t="shared" si="10"/>
        <v>1</v>
      </c>
      <c r="T129" s="181">
        <f t="shared" si="11"/>
        <v>1.8</v>
      </c>
      <c r="U129" s="186">
        <f t="shared" si="12"/>
        <v>86.90346</v>
      </c>
      <c r="V129" s="187">
        <f t="shared" ref="V129:W129" si="120">C129/100</f>
        <v>0.98</v>
      </c>
      <c r="W129" s="187">
        <f t="shared" si="120"/>
        <v>1.67</v>
      </c>
      <c r="X129" s="187">
        <f t="shared" si="14"/>
        <v>1.8</v>
      </c>
      <c r="Y129" s="189">
        <f t="shared" si="15"/>
        <v>2.94588</v>
      </c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customHeight="1">
      <c r="A130" s="181">
        <v>105.0</v>
      </c>
      <c r="B130" s="191" t="s">
        <v>58</v>
      </c>
      <c r="C130" s="191">
        <v>97.0</v>
      </c>
      <c r="D130" s="191">
        <v>167.0</v>
      </c>
      <c r="E130" s="191">
        <v>180.0</v>
      </c>
      <c r="F130" s="191">
        <f t="shared" si="5"/>
        <v>0</v>
      </c>
      <c r="G130" s="191">
        <f t="shared" si="6"/>
        <v>86.01669</v>
      </c>
      <c r="H130" s="192">
        <f t="shared" si="7"/>
        <v>86.01669</v>
      </c>
      <c r="I130" s="191">
        <v>1.0</v>
      </c>
      <c r="J130" s="194">
        <f t="shared" si="8"/>
        <v>86.01669</v>
      </c>
      <c r="K130" s="139"/>
      <c r="L130" s="197"/>
      <c r="M130" s="198"/>
      <c r="N130" s="198"/>
      <c r="O130" s="139"/>
      <c r="P130" s="139"/>
      <c r="Q130" s="141">
        <v>29.5</v>
      </c>
      <c r="R130" s="187">
        <f t="shared" si="9"/>
        <v>1.8</v>
      </c>
      <c r="S130" s="181">
        <f t="shared" si="10"/>
        <v>1</v>
      </c>
      <c r="T130" s="181">
        <f t="shared" si="11"/>
        <v>1.8</v>
      </c>
      <c r="U130" s="186">
        <f t="shared" si="12"/>
        <v>86.01669</v>
      </c>
      <c r="V130" s="187">
        <f t="shared" ref="V130:W130" si="121">C130/100</f>
        <v>0.97</v>
      </c>
      <c r="W130" s="187">
        <f t="shared" si="121"/>
        <v>1.67</v>
      </c>
      <c r="X130" s="187">
        <f t="shared" si="14"/>
        <v>1.8</v>
      </c>
      <c r="Y130" s="189">
        <f t="shared" si="15"/>
        <v>2.91582</v>
      </c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customHeight="1">
      <c r="A131" s="181">
        <v>106.0</v>
      </c>
      <c r="B131" s="191" t="s">
        <v>58</v>
      </c>
      <c r="C131" s="191">
        <v>86.0</v>
      </c>
      <c r="D131" s="191">
        <v>167.0</v>
      </c>
      <c r="E131" s="191">
        <v>169.0</v>
      </c>
      <c r="F131" s="191">
        <f t="shared" si="5"/>
        <v>0</v>
      </c>
      <c r="G131" s="191">
        <f t="shared" si="6"/>
        <v>71.601751</v>
      </c>
      <c r="H131" s="192">
        <f t="shared" si="7"/>
        <v>71.601751</v>
      </c>
      <c r="I131" s="191">
        <v>1.0</v>
      </c>
      <c r="J131" s="194">
        <f t="shared" si="8"/>
        <v>71.601751</v>
      </c>
      <c r="K131" s="139"/>
      <c r="L131" s="197"/>
      <c r="M131" s="198"/>
      <c r="N131" s="198"/>
      <c r="O131" s="139"/>
      <c r="P131" s="139"/>
      <c r="Q131" s="141">
        <v>29.5</v>
      </c>
      <c r="R131" s="187">
        <f t="shared" si="9"/>
        <v>1.69</v>
      </c>
      <c r="S131" s="181">
        <f t="shared" si="10"/>
        <v>1</v>
      </c>
      <c r="T131" s="181">
        <f t="shared" si="11"/>
        <v>1.69</v>
      </c>
      <c r="U131" s="186">
        <f t="shared" si="12"/>
        <v>71.601751</v>
      </c>
      <c r="V131" s="187">
        <f t="shared" ref="V131:W131" si="122">C131/100</f>
        <v>0.86</v>
      </c>
      <c r="W131" s="187">
        <f t="shared" si="122"/>
        <v>1.67</v>
      </c>
      <c r="X131" s="187">
        <f t="shared" si="14"/>
        <v>1.69</v>
      </c>
      <c r="Y131" s="189">
        <f t="shared" si="15"/>
        <v>2.427178</v>
      </c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customHeight="1">
      <c r="A132" s="181">
        <v>107.0</v>
      </c>
      <c r="B132" s="191" t="s">
        <v>58</v>
      </c>
      <c r="C132" s="191">
        <v>88.0</v>
      </c>
      <c r="D132" s="191">
        <v>167.0</v>
      </c>
      <c r="E132" s="191">
        <v>168.0</v>
      </c>
      <c r="F132" s="191">
        <f t="shared" si="5"/>
        <v>0</v>
      </c>
      <c r="G132" s="191">
        <f t="shared" si="6"/>
        <v>72.833376</v>
      </c>
      <c r="H132" s="192">
        <f t="shared" si="7"/>
        <v>72.833376</v>
      </c>
      <c r="I132" s="191">
        <v>1.0</v>
      </c>
      <c r="J132" s="194">
        <f t="shared" si="8"/>
        <v>72.833376</v>
      </c>
      <c r="K132" s="139"/>
      <c r="L132" s="197"/>
      <c r="M132" s="198"/>
      <c r="N132" s="198"/>
      <c r="O132" s="139"/>
      <c r="P132" s="139"/>
      <c r="Q132" s="141">
        <v>29.5</v>
      </c>
      <c r="R132" s="187">
        <f t="shared" si="9"/>
        <v>1.68</v>
      </c>
      <c r="S132" s="181">
        <f t="shared" si="10"/>
        <v>1</v>
      </c>
      <c r="T132" s="181">
        <f t="shared" si="11"/>
        <v>1.68</v>
      </c>
      <c r="U132" s="186">
        <f t="shared" si="12"/>
        <v>72.833376</v>
      </c>
      <c r="V132" s="187">
        <f t="shared" ref="V132:W132" si="123">C132/100</f>
        <v>0.88</v>
      </c>
      <c r="W132" s="187">
        <f t="shared" si="123"/>
        <v>1.67</v>
      </c>
      <c r="X132" s="187">
        <f t="shared" si="14"/>
        <v>1.68</v>
      </c>
      <c r="Y132" s="189">
        <f t="shared" si="15"/>
        <v>2.468928</v>
      </c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customHeight="1">
      <c r="A133" s="181">
        <v>108.0</v>
      </c>
      <c r="B133" s="191" t="s">
        <v>58</v>
      </c>
      <c r="C133" s="191">
        <v>93.0</v>
      </c>
      <c r="D133" s="191">
        <v>167.0</v>
      </c>
      <c r="E133" s="191">
        <v>169.0</v>
      </c>
      <c r="F133" s="191">
        <f t="shared" si="5"/>
        <v>0</v>
      </c>
      <c r="G133" s="191">
        <f t="shared" si="6"/>
        <v>77.4298005</v>
      </c>
      <c r="H133" s="192">
        <f t="shared" si="7"/>
        <v>77.4298005</v>
      </c>
      <c r="I133" s="191">
        <v>1.0</v>
      </c>
      <c r="J133" s="194">
        <f t="shared" si="8"/>
        <v>77.4298005</v>
      </c>
      <c r="K133" s="139"/>
      <c r="L133" s="197"/>
      <c r="M133" s="198"/>
      <c r="N133" s="198"/>
      <c r="O133" s="139"/>
      <c r="P133" s="139"/>
      <c r="Q133" s="141">
        <v>29.5</v>
      </c>
      <c r="R133" s="187">
        <f t="shared" si="9"/>
        <v>1.69</v>
      </c>
      <c r="S133" s="181">
        <f t="shared" si="10"/>
        <v>1</v>
      </c>
      <c r="T133" s="181">
        <f t="shared" si="11"/>
        <v>1.69</v>
      </c>
      <c r="U133" s="186">
        <f t="shared" si="12"/>
        <v>77.4298005</v>
      </c>
      <c r="V133" s="187">
        <f t="shared" ref="V133:W133" si="124">C133/100</f>
        <v>0.93</v>
      </c>
      <c r="W133" s="187">
        <f t="shared" si="124"/>
        <v>1.67</v>
      </c>
      <c r="X133" s="187">
        <f t="shared" si="14"/>
        <v>1.69</v>
      </c>
      <c r="Y133" s="189">
        <f t="shared" si="15"/>
        <v>2.624739</v>
      </c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customHeight="1">
      <c r="A134" s="181">
        <v>109.0</v>
      </c>
      <c r="B134" s="191" t="s">
        <v>58</v>
      </c>
      <c r="C134" s="191">
        <v>99.0</v>
      </c>
      <c r="D134" s="191">
        <v>167.0</v>
      </c>
      <c r="E134" s="191">
        <v>170.0</v>
      </c>
      <c r="F134" s="191">
        <f t="shared" si="5"/>
        <v>0</v>
      </c>
      <c r="G134" s="191">
        <f t="shared" si="6"/>
        <v>82.912995</v>
      </c>
      <c r="H134" s="192">
        <f t="shared" si="7"/>
        <v>82.912995</v>
      </c>
      <c r="I134" s="191">
        <v>1.0</v>
      </c>
      <c r="J134" s="194">
        <f t="shared" si="8"/>
        <v>82.912995</v>
      </c>
      <c r="K134" s="139"/>
      <c r="L134" s="197"/>
      <c r="M134" s="198"/>
      <c r="N134" s="198"/>
      <c r="O134" s="139"/>
      <c r="P134" s="139"/>
      <c r="Q134" s="141">
        <v>29.5</v>
      </c>
      <c r="R134" s="187">
        <f t="shared" si="9"/>
        <v>1.7</v>
      </c>
      <c r="S134" s="181">
        <f t="shared" si="10"/>
        <v>1</v>
      </c>
      <c r="T134" s="181">
        <f t="shared" si="11"/>
        <v>1.7</v>
      </c>
      <c r="U134" s="186">
        <f t="shared" si="12"/>
        <v>82.912995</v>
      </c>
      <c r="V134" s="187">
        <f t="shared" ref="V134:W134" si="125">C134/100</f>
        <v>0.99</v>
      </c>
      <c r="W134" s="187">
        <f t="shared" si="125"/>
        <v>1.67</v>
      </c>
      <c r="X134" s="187">
        <f t="shared" si="14"/>
        <v>1.7</v>
      </c>
      <c r="Y134" s="189">
        <f t="shared" si="15"/>
        <v>2.81061</v>
      </c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customHeight="1">
      <c r="A135" s="181">
        <v>110.0</v>
      </c>
      <c r="B135" s="191" t="s">
        <v>58</v>
      </c>
      <c r="C135" s="191">
        <v>99.0</v>
      </c>
      <c r="D135" s="191">
        <v>167.0</v>
      </c>
      <c r="E135" s="191">
        <v>169.0</v>
      </c>
      <c r="F135" s="191">
        <f t="shared" si="5"/>
        <v>0</v>
      </c>
      <c r="G135" s="191">
        <f t="shared" si="6"/>
        <v>82.4252715</v>
      </c>
      <c r="H135" s="192">
        <f t="shared" si="7"/>
        <v>82.4252715</v>
      </c>
      <c r="I135" s="191">
        <v>1.0</v>
      </c>
      <c r="J135" s="194">
        <f t="shared" si="8"/>
        <v>82.4252715</v>
      </c>
      <c r="K135" s="139"/>
      <c r="L135" s="197"/>
      <c r="M135" s="198"/>
      <c r="N135" s="198"/>
      <c r="O135" s="139"/>
      <c r="P135" s="139"/>
      <c r="Q135" s="141">
        <v>29.5</v>
      </c>
      <c r="R135" s="187">
        <f t="shared" si="9"/>
        <v>1.69</v>
      </c>
      <c r="S135" s="181">
        <f t="shared" si="10"/>
        <v>1</v>
      </c>
      <c r="T135" s="181">
        <f t="shared" si="11"/>
        <v>1.69</v>
      </c>
      <c r="U135" s="186">
        <f t="shared" si="12"/>
        <v>82.4252715</v>
      </c>
      <c r="V135" s="187">
        <f t="shared" ref="V135:W135" si="126">C135/100</f>
        <v>0.99</v>
      </c>
      <c r="W135" s="187">
        <f t="shared" si="126"/>
        <v>1.67</v>
      </c>
      <c r="X135" s="187">
        <f t="shared" si="14"/>
        <v>1.69</v>
      </c>
      <c r="Y135" s="189">
        <f t="shared" si="15"/>
        <v>2.794077</v>
      </c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customHeight="1">
      <c r="A136" s="181">
        <v>111.0</v>
      </c>
      <c r="B136" s="182" t="s">
        <v>65</v>
      </c>
      <c r="C136" s="183">
        <v>91.0</v>
      </c>
      <c r="D136" s="183">
        <v>174.0</v>
      </c>
      <c r="E136" s="183">
        <v>153.0</v>
      </c>
      <c r="F136" s="183">
        <f t="shared" si="5"/>
        <v>0.8</v>
      </c>
      <c r="G136" s="183">
        <f t="shared" si="6"/>
        <v>71.466759</v>
      </c>
      <c r="H136" s="184">
        <f t="shared" si="7"/>
        <v>57.1734072</v>
      </c>
      <c r="I136" s="183">
        <v>1.0</v>
      </c>
      <c r="J136" s="185">
        <f t="shared" si="8"/>
        <v>57.1734072</v>
      </c>
      <c r="K136" s="139"/>
      <c r="L136" s="197"/>
      <c r="M136" s="198"/>
      <c r="N136" s="198"/>
      <c r="O136" s="139"/>
      <c r="P136" s="139"/>
      <c r="Q136" s="141">
        <v>29.5</v>
      </c>
      <c r="R136" s="187">
        <f t="shared" si="9"/>
        <v>1.53</v>
      </c>
      <c r="S136" s="181">
        <f t="shared" si="10"/>
        <v>1</v>
      </c>
      <c r="T136" s="181">
        <f t="shared" si="11"/>
        <v>1.53</v>
      </c>
      <c r="U136" s="186">
        <f t="shared" si="12"/>
        <v>71.466759</v>
      </c>
      <c r="V136" s="187">
        <f t="shared" ref="V136:W136" si="127">C136/100</f>
        <v>0.91</v>
      </c>
      <c r="W136" s="187">
        <f t="shared" si="127"/>
        <v>1.74</v>
      </c>
      <c r="X136" s="187">
        <f t="shared" si="14"/>
        <v>1.53</v>
      </c>
      <c r="Y136" s="189">
        <f t="shared" si="15"/>
        <v>2.422602</v>
      </c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customHeight="1">
      <c r="A137" s="181">
        <v>112.0</v>
      </c>
      <c r="B137" s="191" t="s">
        <v>56</v>
      </c>
      <c r="C137" s="191">
        <v>94.0</v>
      </c>
      <c r="D137" s="191">
        <v>174.0</v>
      </c>
      <c r="E137" s="191">
        <v>148.0</v>
      </c>
      <c r="F137" s="191">
        <f t="shared" si="5"/>
        <v>0</v>
      </c>
      <c r="G137" s="191">
        <f t="shared" si="6"/>
        <v>71.410296</v>
      </c>
      <c r="H137" s="192">
        <f t="shared" si="7"/>
        <v>71.410296</v>
      </c>
      <c r="I137" s="191">
        <v>1.0</v>
      </c>
      <c r="J137" s="194">
        <f t="shared" si="8"/>
        <v>71.410296</v>
      </c>
      <c r="K137" s="139"/>
      <c r="L137" s="197"/>
      <c r="M137" s="198"/>
      <c r="N137" s="198"/>
      <c r="O137" s="139"/>
      <c r="P137" s="139"/>
      <c r="Q137" s="141">
        <v>29.5</v>
      </c>
      <c r="R137" s="187">
        <f t="shared" si="9"/>
        <v>1.48</v>
      </c>
      <c r="S137" s="181">
        <f t="shared" si="10"/>
        <v>1</v>
      </c>
      <c r="T137" s="181">
        <f t="shared" si="11"/>
        <v>1.48</v>
      </c>
      <c r="U137" s="186">
        <f t="shared" si="12"/>
        <v>71.410296</v>
      </c>
      <c r="V137" s="187">
        <f t="shared" ref="V137:W137" si="128">C137/100</f>
        <v>0.94</v>
      </c>
      <c r="W137" s="187">
        <f t="shared" si="128"/>
        <v>1.74</v>
      </c>
      <c r="X137" s="187">
        <f t="shared" si="14"/>
        <v>1.48</v>
      </c>
      <c r="Y137" s="189">
        <f t="shared" si="15"/>
        <v>2.420688</v>
      </c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customHeight="1">
      <c r="A138" s="181">
        <v>113.0</v>
      </c>
      <c r="B138" s="191" t="s">
        <v>56</v>
      </c>
      <c r="C138" s="191">
        <v>96.0</v>
      </c>
      <c r="D138" s="191">
        <v>174.0</v>
      </c>
      <c r="E138" s="191">
        <v>148.0</v>
      </c>
      <c r="F138" s="191">
        <f t="shared" si="5"/>
        <v>0</v>
      </c>
      <c r="G138" s="191">
        <f t="shared" si="6"/>
        <v>72.929664</v>
      </c>
      <c r="H138" s="192">
        <f t="shared" si="7"/>
        <v>72.929664</v>
      </c>
      <c r="I138" s="191">
        <v>2.0</v>
      </c>
      <c r="J138" s="194">
        <f t="shared" si="8"/>
        <v>145.859328</v>
      </c>
      <c r="K138" s="139"/>
      <c r="L138" s="197"/>
      <c r="M138" s="198"/>
      <c r="N138" s="198"/>
      <c r="O138" s="139"/>
      <c r="P138" s="139"/>
      <c r="Q138" s="141">
        <v>29.5</v>
      </c>
      <c r="R138" s="187">
        <f t="shared" si="9"/>
        <v>1.48</v>
      </c>
      <c r="S138" s="181">
        <f t="shared" si="10"/>
        <v>2</v>
      </c>
      <c r="T138" s="181">
        <f t="shared" si="11"/>
        <v>2.96</v>
      </c>
      <c r="U138" s="186">
        <f t="shared" si="12"/>
        <v>72.929664</v>
      </c>
      <c r="V138" s="187">
        <f t="shared" ref="V138:W138" si="129">C138/100</f>
        <v>0.96</v>
      </c>
      <c r="W138" s="187">
        <f t="shared" si="129"/>
        <v>1.74</v>
      </c>
      <c r="X138" s="187">
        <f t="shared" si="14"/>
        <v>2.96</v>
      </c>
      <c r="Y138" s="189">
        <f t="shared" si="15"/>
        <v>4.944384</v>
      </c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customHeight="1">
      <c r="A139" s="181">
        <v>114.0</v>
      </c>
      <c r="B139" s="191" t="s">
        <v>56</v>
      </c>
      <c r="C139" s="191">
        <v>96.0</v>
      </c>
      <c r="D139" s="191">
        <v>174.0</v>
      </c>
      <c r="E139" s="191">
        <v>147.0</v>
      </c>
      <c r="F139" s="191">
        <f t="shared" si="5"/>
        <v>0</v>
      </c>
      <c r="G139" s="191">
        <f t="shared" si="6"/>
        <v>72.436896</v>
      </c>
      <c r="H139" s="192">
        <f t="shared" si="7"/>
        <v>72.436896</v>
      </c>
      <c r="I139" s="191">
        <v>1.0</v>
      </c>
      <c r="J139" s="194">
        <f t="shared" si="8"/>
        <v>72.436896</v>
      </c>
      <c r="K139" s="139"/>
      <c r="L139" s="197"/>
      <c r="M139" s="198"/>
      <c r="N139" s="198"/>
      <c r="O139" s="139"/>
      <c r="P139" s="139"/>
      <c r="Q139" s="141">
        <v>29.5</v>
      </c>
      <c r="R139" s="187">
        <f t="shared" si="9"/>
        <v>1.47</v>
      </c>
      <c r="S139" s="181">
        <f t="shared" si="10"/>
        <v>1</v>
      </c>
      <c r="T139" s="181">
        <f t="shared" si="11"/>
        <v>1.47</v>
      </c>
      <c r="U139" s="186">
        <f t="shared" si="12"/>
        <v>72.436896</v>
      </c>
      <c r="V139" s="187">
        <f t="shared" ref="V139:W139" si="130">C139/100</f>
        <v>0.96</v>
      </c>
      <c r="W139" s="187">
        <f t="shared" si="130"/>
        <v>1.74</v>
      </c>
      <c r="X139" s="187">
        <f t="shared" si="14"/>
        <v>1.47</v>
      </c>
      <c r="Y139" s="189">
        <f t="shared" si="15"/>
        <v>2.455488</v>
      </c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customHeight="1">
      <c r="A140" s="181">
        <v>115.0</v>
      </c>
      <c r="B140" s="191" t="s">
        <v>56</v>
      </c>
      <c r="C140" s="191">
        <v>98.0</v>
      </c>
      <c r="D140" s="191">
        <v>174.0</v>
      </c>
      <c r="E140" s="191">
        <v>149.0</v>
      </c>
      <c r="F140" s="191">
        <f t="shared" si="5"/>
        <v>0</v>
      </c>
      <c r="G140" s="191">
        <f t="shared" si="6"/>
        <v>74.952066</v>
      </c>
      <c r="H140" s="192">
        <f t="shared" si="7"/>
        <v>74.952066</v>
      </c>
      <c r="I140" s="191">
        <v>8.0</v>
      </c>
      <c r="J140" s="194">
        <f t="shared" si="8"/>
        <v>599.616528</v>
      </c>
      <c r="K140" s="139"/>
      <c r="L140" s="197"/>
      <c r="M140" s="198"/>
      <c r="N140" s="198"/>
      <c r="O140" s="139"/>
      <c r="P140" s="139"/>
      <c r="Q140" s="141">
        <v>29.5</v>
      </c>
      <c r="R140" s="187">
        <f t="shared" si="9"/>
        <v>1.49</v>
      </c>
      <c r="S140" s="181">
        <f t="shared" si="10"/>
        <v>8</v>
      </c>
      <c r="T140" s="181">
        <f t="shared" si="11"/>
        <v>11.92</v>
      </c>
      <c r="U140" s="186">
        <f t="shared" si="12"/>
        <v>74.952066</v>
      </c>
      <c r="V140" s="187">
        <f t="shared" ref="V140:W140" si="131">C140/100</f>
        <v>0.98</v>
      </c>
      <c r="W140" s="187">
        <f t="shared" si="131"/>
        <v>1.74</v>
      </c>
      <c r="X140" s="187">
        <f t="shared" si="14"/>
        <v>11.92</v>
      </c>
      <c r="Y140" s="189">
        <f t="shared" si="15"/>
        <v>20.325984</v>
      </c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customHeight="1">
      <c r="A141" s="181">
        <v>116.0</v>
      </c>
      <c r="B141" s="191" t="s">
        <v>56</v>
      </c>
      <c r="C141" s="191">
        <v>97.0</v>
      </c>
      <c r="D141" s="191">
        <v>174.0</v>
      </c>
      <c r="E141" s="191">
        <v>149.0</v>
      </c>
      <c r="F141" s="191">
        <f t="shared" si="5"/>
        <v>0</v>
      </c>
      <c r="G141" s="191">
        <f t="shared" si="6"/>
        <v>74.187249</v>
      </c>
      <c r="H141" s="192">
        <f t="shared" si="7"/>
        <v>74.187249</v>
      </c>
      <c r="I141" s="191">
        <v>5.0</v>
      </c>
      <c r="J141" s="194">
        <f t="shared" si="8"/>
        <v>370.936245</v>
      </c>
      <c r="K141" s="139"/>
      <c r="L141" s="197"/>
      <c r="M141" s="198"/>
      <c r="N141" s="198"/>
      <c r="O141" s="139"/>
      <c r="P141" s="139"/>
      <c r="Q141" s="141">
        <v>29.5</v>
      </c>
      <c r="R141" s="187">
        <f t="shared" si="9"/>
        <v>1.49</v>
      </c>
      <c r="S141" s="181">
        <f t="shared" si="10"/>
        <v>5</v>
      </c>
      <c r="T141" s="181">
        <f t="shared" si="11"/>
        <v>7.45</v>
      </c>
      <c r="U141" s="186">
        <f t="shared" si="12"/>
        <v>74.187249</v>
      </c>
      <c r="V141" s="187">
        <f t="shared" ref="V141:W141" si="132">C141/100</f>
        <v>0.97</v>
      </c>
      <c r="W141" s="187">
        <f t="shared" si="132"/>
        <v>1.74</v>
      </c>
      <c r="X141" s="187">
        <f t="shared" si="14"/>
        <v>7.45</v>
      </c>
      <c r="Y141" s="189">
        <f t="shared" si="15"/>
        <v>12.57411</v>
      </c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customHeight="1">
      <c r="A142" s="181">
        <v>117.0</v>
      </c>
      <c r="B142" s="191" t="s">
        <v>56</v>
      </c>
      <c r="C142" s="191">
        <v>97.0</v>
      </c>
      <c r="D142" s="191">
        <v>174.0</v>
      </c>
      <c r="E142" s="191">
        <v>148.0</v>
      </c>
      <c r="F142" s="191">
        <f t="shared" si="5"/>
        <v>0</v>
      </c>
      <c r="G142" s="191">
        <f t="shared" si="6"/>
        <v>73.689348</v>
      </c>
      <c r="H142" s="192">
        <f t="shared" si="7"/>
        <v>73.689348</v>
      </c>
      <c r="I142" s="191">
        <v>2.0</v>
      </c>
      <c r="J142" s="194">
        <f t="shared" si="8"/>
        <v>147.378696</v>
      </c>
      <c r="K142" s="139"/>
      <c r="L142" s="197"/>
      <c r="M142" s="198"/>
      <c r="N142" s="198"/>
      <c r="O142" s="139"/>
      <c r="P142" s="139"/>
      <c r="Q142" s="141">
        <v>29.5</v>
      </c>
      <c r="R142" s="187">
        <f t="shared" si="9"/>
        <v>1.48</v>
      </c>
      <c r="S142" s="181">
        <f t="shared" si="10"/>
        <v>2</v>
      </c>
      <c r="T142" s="181">
        <f t="shared" si="11"/>
        <v>2.96</v>
      </c>
      <c r="U142" s="186">
        <f t="shared" si="12"/>
        <v>73.689348</v>
      </c>
      <c r="V142" s="187">
        <f t="shared" ref="V142:W142" si="133">C142/100</f>
        <v>0.97</v>
      </c>
      <c r="W142" s="187">
        <f t="shared" si="133"/>
        <v>1.74</v>
      </c>
      <c r="X142" s="187">
        <f t="shared" si="14"/>
        <v>2.96</v>
      </c>
      <c r="Y142" s="189">
        <f t="shared" si="15"/>
        <v>4.995888</v>
      </c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customHeight="1">
      <c r="A143" s="181">
        <v>118.0</v>
      </c>
      <c r="B143" s="191" t="s">
        <v>56</v>
      </c>
      <c r="C143" s="191">
        <v>98.0</v>
      </c>
      <c r="D143" s="191">
        <v>174.0</v>
      </c>
      <c r="E143" s="191">
        <v>148.0</v>
      </c>
      <c r="F143" s="191">
        <f t="shared" si="5"/>
        <v>0</v>
      </c>
      <c r="G143" s="191">
        <f t="shared" si="6"/>
        <v>74.449032</v>
      </c>
      <c r="H143" s="192">
        <f t="shared" si="7"/>
        <v>74.449032</v>
      </c>
      <c r="I143" s="191">
        <v>2.0</v>
      </c>
      <c r="J143" s="194">
        <f t="shared" si="8"/>
        <v>148.898064</v>
      </c>
      <c r="K143" s="139"/>
      <c r="L143" s="197"/>
      <c r="M143" s="198"/>
      <c r="N143" s="198"/>
      <c r="O143" s="139"/>
      <c r="P143" s="139"/>
      <c r="Q143" s="141">
        <v>29.5</v>
      </c>
      <c r="R143" s="187">
        <f t="shared" si="9"/>
        <v>1.48</v>
      </c>
      <c r="S143" s="181">
        <f t="shared" si="10"/>
        <v>2</v>
      </c>
      <c r="T143" s="181">
        <f t="shared" si="11"/>
        <v>2.96</v>
      </c>
      <c r="U143" s="186">
        <f t="shared" si="12"/>
        <v>74.449032</v>
      </c>
      <c r="V143" s="187">
        <f t="shared" ref="V143:W143" si="134">C143/100</f>
        <v>0.98</v>
      </c>
      <c r="W143" s="187">
        <f t="shared" si="134"/>
        <v>1.74</v>
      </c>
      <c r="X143" s="187">
        <f t="shared" si="14"/>
        <v>2.96</v>
      </c>
      <c r="Y143" s="189">
        <f t="shared" si="15"/>
        <v>5.047392</v>
      </c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customHeight="1">
      <c r="A144" s="181">
        <v>119.0</v>
      </c>
      <c r="B144" s="191" t="s">
        <v>56</v>
      </c>
      <c r="C144" s="191">
        <v>93.0</v>
      </c>
      <c r="D144" s="191">
        <v>174.0</v>
      </c>
      <c r="E144" s="191">
        <v>152.0</v>
      </c>
      <c r="F144" s="191">
        <f t="shared" si="5"/>
        <v>0</v>
      </c>
      <c r="G144" s="191">
        <f t="shared" si="6"/>
        <v>72.560088</v>
      </c>
      <c r="H144" s="192">
        <f t="shared" si="7"/>
        <v>72.560088</v>
      </c>
      <c r="I144" s="191">
        <v>1.0</v>
      </c>
      <c r="J144" s="194">
        <f t="shared" si="8"/>
        <v>72.560088</v>
      </c>
      <c r="K144" s="139"/>
      <c r="L144" s="197"/>
      <c r="M144" s="198"/>
      <c r="N144" s="198"/>
      <c r="O144" s="139"/>
      <c r="P144" s="139"/>
      <c r="Q144" s="141">
        <v>29.5</v>
      </c>
      <c r="R144" s="187">
        <f t="shared" si="9"/>
        <v>1.52</v>
      </c>
      <c r="S144" s="181">
        <f t="shared" si="10"/>
        <v>1</v>
      </c>
      <c r="T144" s="181">
        <f t="shared" si="11"/>
        <v>1.52</v>
      </c>
      <c r="U144" s="186">
        <f t="shared" si="12"/>
        <v>72.560088</v>
      </c>
      <c r="V144" s="187">
        <f t="shared" ref="V144:W144" si="135">C144/100</f>
        <v>0.93</v>
      </c>
      <c r="W144" s="187">
        <f t="shared" si="135"/>
        <v>1.74</v>
      </c>
      <c r="X144" s="187">
        <f t="shared" si="14"/>
        <v>1.52</v>
      </c>
      <c r="Y144" s="189">
        <f t="shared" si="15"/>
        <v>2.459664</v>
      </c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customHeight="1">
      <c r="A145" s="181">
        <v>120.0</v>
      </c>
      <c r="B145" s="191" t="s">
        <v>56</v>
      </c>
      <c r="C145" s="191">
        <v>86.0</v>
      </c>
      <c r="D145" s="191">
        <v>174.0</v>
      </c>
      <c r="E145" s="191">
        <v>152.0</v>
      </c>
      <c r="F145" s="191">
        <f t="shared" si="5"/>
        <v>0</v>
      </c>
      <c r="G145" s="191">
        <f t="shared" si="6"/>
        <v>67.098576</v>
      </c>
      <c r="H145" s="192">
        <f t="shared" si="7"/>
        <v>67.098576</v>
      </c>
      <c r="I145" s="191">
        <v>1.0</v>
      </c>
      <c r="J145" s="194">
        <f t="shared" si="8"/>
        <v>67.098576</v>
      </c>
      <c r="K145" s="139"/>
      <c r="L145" s="197"/>
      <c r="M145" s="198"/>
      <c r="N145" s="198"/>
      <c r="O145" s="139"/>
      <c r="P145" s="139"/>
      <c r="Q145" s="141">
        <v>29.5</v>
      </c>
      <c r="R145" s="187">
        <f t="shared" si="9"/>
        <v>1.52</v>
      </c>
      <c r="S145" s="181">
        <f t="shared" si="10"/>
        <v>1</v>
      </c>
      <c r="T145" s="181">
        <f t="shared" si="11"/>
        <v>1.52</v>
      </c>
      <c r="U145" s="186">
        <f t="shared" si="12"/>
        <v>67.098576</v>
      </c>
      <c r="V145" s="187">
        <f t="shared" ref="V145:W145" si="136">C145/100</f>
        <v>0.86</v>
      </c>
      <c r="W145" s="187">
        <f t="shared" si="136"/>
        <v>1.74</v>
      </c>
      <c r="X145" s="187">
        <f t="shared" si="14"/>
        <v>1.52</v>
      </c>
      <c r="Y145" s="189">
        <f t="shared" si="15"/>
        <v>2.274528</v>
      </c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customHeight="1">
      <c r="A146" s="181">
        <v>121.0</v>
      </c>
      <c r="B146" s="191" t="s">
        <v>56</v>
      </c>
      <c r="C146" s="191">
        <v>99.0</v>
      </c>
      <c r="D146" s="191">
        <v>174.0</v>
      </c>
      <c r="E146" s="191">
        <v>149.0</v>
      </c>
      <c r="F146" s="191">
        <f t="shared" si="5"/>
        <v>0</v>
      </c>
      <c r="G146" s="191">
        <f t="shared" si="6"/>
        <v>75.716883</v>
      </c>
      <c r="H146" s="192">
        <f t="shared" si="7"/>
        <v>75.716883</v>
      </c>
      <c r="I146" s="191">
        <v>1.0</v>
      </c>
      <c r="J146" s="194">
        <f t="shared" si="8"/>
        <v>75.716883</v>
      </c>
      <c r="K146" s="139"/>
      <c r="L146" s="197"/>
      <c r="M146" s="198"/>
      <c r="N146" s="198"/>
      <c r="O146" s="139"/>
      <c r="P146" s="139"/>
      <c r="Q146" s="141">
        <v>29.5</v>
      </c>
      <c r="R146" s="187">
        <f t="shared" si="9"/>
        <v>1.49</v>
      </c>
      <c r="S146" s="181">
        <f t="shared" si="10"/>
        <v>1</v>
      </c>
      <c r="T146" s="181">
        <f t="shared" si="11"/>
        <v>1.49</v>
      </c>
      <c r="U146" s="186">
        <f t="shared" si="12"/>
        <v>75.716883</v>
      </c>
      <c r="V146" s="187">
        <f t="shared" ref="V146:W146" si="137">C146/100</f>
        <v>0.99</v>
      </c>
      <c r="W146" s="187">
        <f t="shared" si="137"/>
        <v>1.74</v>
      </c>
      <c r="X146" s="187">
        <f t="shared" si="14"/>
        <v>1.49</v>
      </c>
      <c r="Y146" s="189">
        <f t="shared" si="15"/>
        <v>2.566674</v>
      </c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customHeight="1">
      <c r="A147" s="181">
        <v>122.0</v>
      </c>
      <c r="B147" s="182" t="s">
        <v>69</v>
      </c>
      <c r="C147" s="191">
        <v>73.0</v>
      </c>
      <c r="D147" s="191">
        <v>188.0</v>
      </c>
      <c r="E147" s="191">
        <v>272.0</v>
      </c>
      <c r="F147" s="191">
        <f t="shared" si="5"/>
        <v>0.8</v>
      </c>
      <c r="G147" s="191">
        <f t="shared" si="6"/>
        <v>132.518944</v>
      </c>
      <c r="H147" s="192">
        <f t="shared" si="7"/>
        <v>106.0151552</v>
      </c>
      <c r="I147" s="191">
        <v>1.0</v>
      </c>
      <c r="J147" s="194">
        <f t="shared" si="8"/>
        <v>106.0151552</v>
      </c>
      <c r="K147" s="139"/>
      <c r="L147" s="197"/>
      <c r="M147" s="198"/>
      <c r="N147" s="198"/>
      <c r="O147" s="139"/>
      <c r="P147" s="139"/>
      <c r="Q147" s="141">
        <v>35.5</v>
      </c>
      <c r="R147" s="187">
        <f t="shared" si="9"/>
        <v>2.72</v>
      </c>
      <c r="S147" s="181">
        <f t="shared" si="10"/>
        <v>1</v>
      </c>
      <c r="T147" s="181">
        <f t="shared" si="11"/>
        <v>2.72</v>
      </c>
      <c r="U147" s="186">
        <f t="shared" si="12"/>
        <v>132.518944</v>
      </c>
      <c r="V147" s="187">
        <f t="shared" ref="V147:W147" si="138">C147/100</f>
        <v>0.73</v>
      </c>
      <c r="W147" s="187">
        <f t="shared" si="138"/>
        <v>1.88</v>
      </c>
      <c r="X147" s="187">
        <f t="shared" si="14"/>
        <v>2.72</v>
      </c>
      <c r="Y147" s="189">
        <f t="shared" si="15"/>
        <v>3.732928</v>
      </c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customHeight="1">
      <c r="A148" s="181">
        <v>123.0</v>
      </c>
      <c r="B148" s="182" t="s">
        <v>70</v>
      </c>
      <c r="C148" s="191">
        <v>57.0</v>
      </c>
      <c r="D148" s="191">
        <v>193.0</v>
      </c>
      <c r="E148" s="191">
        <v>90.0</v>
      </c>
      <c r="F148" s="191">
        <f t="shared" si="5"/>
        <v>0.8</v>
      </c>
      <c r="G148" s="191">
        <f t="shared" si="6"/>
        <v>35.148195</v>
      </c>
      <c r="H148" s="192">
        <f t="shared" si="7"/>
        <v>28.118556</v>
      </c>
      <c r="I148" s="191">
        <v>1.0</v>
      </c>
      <c r="J148" s="194">
        <f t="shared" si="8"/>
        <v>28.118556</v>
      </c>
      <c r="K148" s="139"/>
      <c r="L148" s="197"/>
      <c r="M148" s="198"/>
      <c r="N148" s="198"/>
      <c r="O148" s="139"/>
      <c r="P148" s="139"/>
      <c r="Q148" s="141">
        <v>35.5</v>
      </c>
      <c r="R148" s="187">
        <f t="shared" si="9"/>
        <v>0.9</v>
      </c>
      <c r="S148" s="181">
        <f t="shared" si="10"/>
        <v>1</v>
      </c>
      <c r="T148" s="181">
        <f t="shared" si="11"/>
        <v>0.9</v>
      </c>
      <c r="U148" s="186">
        <f t="shared" si="12"/>
        <v>35.148195</v>
      </c>
      <c r="V148" s="187">
        <f t="shared" ref="V148:W148" si="139">C148/100</f>
        <v>0.57</v>
      </c>
      <c r="W148" s="187">
        <f t="shared" si="139"/>
        <v>1.93</v>
      </c>
      <c r="X148" s="187">
        <f t="shared" si="14"/>
        <v>0.9</v>
      </c>
      <c r="Y148" s="189">
        <f t="shared" si="15"/>
        <v>0.99009</v>
      </c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customHeight="1">
      <c r="A149" s="181">
        <v>124.0</v>
      </c>
      <c r="B149" s="191" t="s">
        <v>60</v>
      </c>
      <c r="C149" s="191">
        <v>69.0</v>
      </c>
      <c r="D149" s="191">
        <v>193.0</v>
      </c>
      <c r="E149" s="191">
        <v>200.0</v>
      </c>
      <c r="F149" s="191">
        <f t="shared" si="5"/>
        <v>0</v>
      </c>
      <c r="G149" s="191">
        <f t="shared" si="6"/>
        <v>94.5507</v>
      </c>
      <c r="H149" s="192">
        <f t="shared" si="7"/>
        <v>94.5507</v>
      </c>
      <c r="I149" s="191">
        <v>1.0</v>
      </c>
      <c r="J149" s="194">
        <f t="shared" si="8"/>
        <v>94.5507</v>
      </c>
      <c r="K149" s="139"/>
      <c r="L149" s="197"/>
      <c r="M149" s="198"/>
      <c r="N149" s="198"/>
      <c r="O149" s="139"/>
      <c r="P149" s="139"/>
      <c r="Q149" s="141">
        <v>35.5</v>
      </c>
      <c r="R149" s="187">
        <f t="shared" si="9"/>
        <v>2</v>
      </c>
      <c r="S149" s="181">
        <f t="shared" si="10"/>
        <v>1</v>
      </c>
      <c r="T149" s="181">
        <f t="shared" si="11"/>
        <v>2</v>
      </c>
      <c r="U149" s="186">
        <f t="shared" si="12"/>
        <v>94.5507</v>
      </c>
      <c r="V149" s="187">
        <f t="shared" ref="V149:W149" si="140">C149/100</f>
        <v>0.69</v>
      </c>
      <c r="W149" s="187">
        <f t="shared" si="140"/>
        <v>1.93</v>
      </c>
      <c r="X149" s="187">
        <f t="shared" si="14"/>
        <v>2</v>
      </c>
      <c r="Y149" s="189">
        <f t="shared" si="15"/>
        <v>2.6634</v>
      </c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customHeight="1">
      <c r="A150" s="181">
        <v>125.0</v>
      </c>
      <c r="B150" s="182" t="s">
        <v>71</v>
      </c>
      <c r="C150" s="191">
        <v>83.0</v>
      </c>
      <c r="D150" s="191">
        <v>204.0</v>
      </c>
      <c r="E150" s="191">
        <v>187.0</v>
      </c>
      <c r="F150" s="191">
        <f t="shared" si="5"/>
        <v>0.8</v>
      </c>
      <c r="G150" s="191">
        <f t="shared" si="6"/>
        <v>93.405378</v>
      </c>
      <c r="H150" s="192">
        <f t="shared" si="7"/>
        <v>74.7243024</v>
      </c>
      <c r="I150" s="191">
        <v>1.0</v>
      </c>
      <c r="J150" s="194">
        <f t="shared" si="8"/>
        <v>74.7243024</v>
      </c>
      <c r="K150" s="139"/>
      <c r="L150" s="197"/>
      <c r="M150" s="198"/>
      <c r="N150" s="198"/>
      <c r="O150" s="139"/>
      <c r="P150" s="139"/>
      <c r="Q150" s="141">
        <v>29.5</v>
      </c>
      <c r="R150" s="187">
        <f t="shared" si="9"/>
        <v>1.87</v>
      </c>
      <c r="S150" s="181">
        <f t="shared" si="10"/>
        <v>1</v>
      </c>
      <c r="T150" s="181">
        <f t="shared" si="11"/>
        <v>1.87</v>
      </c>
      <c r="U150" s="186">
        <f t="shared" si="12"/>
        <v>93.405378</v>
      </c>
      <c r="V150" s="187">
        <f t="shared" ref="V150:W150" si="141">C150/100</f>
        <v>0.83</v>
      </c>
      <c r="W150" s="187">
        <f t="shared" si="141"/>
        <v>2.04</v>
      </c>
      <c r="X150" s="187">
        <f t="shared" si="14"/>
        <v>1.87</v>
      </c>
      <c r="Y150" s="189">
        <f t="shared" si="15"/>
        <v>3.166284</v>
      </c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customHeight="1">
      <c r="A151" s="181">
        <v>126.0</v>
      </c>
      <c r="B151" s="191" t="s">
        <v>61</v>
      </c>
      <c r="C151" s="191">
        <v>72.0</v>
      </c>
      <c r="D151" s="191">
        <v>204.0</v>
      </c>
      <c r="E151" s="191">
        <v>193.0</v>
      </c>
      <c r="F151" s="191">
        <f t="shared" si="5"/>
        <v>0</v>
      </c>
      <c r="G151" s="191">
        <f t="shared" si="6"/>
        <v>83.626128</v>
      </c>
      <c r="H151" s="192">
        <f t="shared" si="7"/>
        <v>83.626128</v>
      </c>
      <c r="I151" s="191">
        <v>1.0</v>
      </c>
      <c r="J151" s="194">
        <f t="shared" si="8"/>
        <v>83.626128</v>
      </c>
      <c r="K151" s="139"/>
      <c r="L151" s="197"/>
      <c r="M151" s="198"/>
      <c r="N151" s="198"/>
      <c r="O151" s="139"/>
      <c r="P151" s="139"/>
      <c r="Q151" s="141">
        <v>29.5</v>
      </c>
      <c r="R151" s="187">
        <f t="shared" si="9"/>
        <v>1.93</v>
      </c>
      <c r="S151" s="181">
        <f t="shared" si="10"/>
        <v>1</v>
      </c>
      <c r="T151" s="181">
        <f t="shared" si="11"/>
        <v>1.93</v>
      </c>
      <c r="U151" s="186">
        <f t="shared" si="12"/>
        <v>83.626128</v>
      </c>
      <c r="V151" s="187">
        <f t="shared" ref="V151:W151" si="142">C151/100</f>
        <v>0.72</v>
      </c>
      <c r="W151" s="187">
        <f t="shared" si="142"/>
        <v>2.04</v>
      </c>
      <c r="X151" s="187">
        <f t="shared" si="14"/>
        <v>1.93</v>
      </c>
      <c r="Y151" s="189">
        <f t="shared" si="15"/>
        <v>2.834784</v>
      </c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customHeight="1">
      <c r="A152" s="160"/>
      <c r="B152" s="176"/>
      <c r="C152" s="176"/>
      <c r="D152" s="176"/>
      <c r="E152" s="176"/>
      <c r="F152" s="176"/>
      <c r="G152" s="176"/>
      <c r="H152" s="179"/>
      <c r="I152" s="160"/>
      <c r="J152" s="203">
        <f>+Q199</f>
        <v>257.6</v>
      </c>
      <c r="K152" s="139"/>
      <c r="L152" s="139"/>
      <c r="M152" s="139"/>
      <c r="N152" s="139"/>
      <c r="O152" s="139"/>
      <c r="P152" s="139"/>
      <c r="Q152" s="204"/>
      <c r="R152" s="187">
        <f t="shared" si="9"/>
        <v>0</v>
      </c>
      <c r="S152" s="181" t="str">
        <f t="shared" si="10"/>
        <v/>
      </c>
      <c r="T152" s="181">
        <f t="shared" si="11"/>
        <v>0</v>
      </c>
      <c r="U152" s="186"/>
      <c r="V152" s="187">
        <f t="shared" ref="V152:W152" si="143">C152/100</f>
        <v>0</v>
      </c>
      <c r="W152" s="187">
        <f t="shared" si="143"/>
        <v>0</v>
      </c>
      <c r="X152" s="187">
        <f t="shared" si="14"/>
        <v>0</v>
      </c>
      <c r="Y152" s="189">
        <f t="shared" si="15"/>
        <v>0</v>
      </c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customHeight="1">
      <c r="A153" s="160"/>
      <c r="B153" s="205"/>
      <c r="C153" s="205"/>
      <c r="D153" s="205"/>
      <c r="E153" s="205"/>
      <c r="F153" s="205"/>
      <c r="G153" s="205"/>
      <c r="H153" s="206"/>
      <c r="I153" s="207">
        <f>SUM(I26:I151)</f>
        <v>273</v>
      </c>
      <c r="J153" s="208">
        <f>SUM(J26:J152)</f>
        <v>30871.37738</v>
      </c>
      <c r="K153" s="209"/>
      <c r="L153" s="209"/>
      <c r="M153" s="209"/>
      <c r="N153" s="209"/>
      <c r="O153" s="209"/>
      <c r="P153" s="209"/>
      <c r="Q153" s="141"/>
      <c r="R153" s="209">
        <f>SUMIFS($S$26:$S$151,$R$26:$R$151,"&gt;=3")</f>
        <v>0</v>
      </c>
      <c r="S153" s="209">
        <f t="shared" ref="S153:T153" si="144">SUM(S26:S151)</f>
        <v>273</v>
      </c>
      <c r="T153" s="209">
        <f t="shared" si="144"/>
        <v>567.53</v>
      </c>
      <c r="U153" s="209"/>
      <c r="V153" s="209"/>
      <c r="W153" s="209"/>
      <c r="X153" s="209"/>
      <c r="Y153" s="210">
        <f>SUM(Y26:Y152)</f>
        <v>1090.736356</v>
      </c>
      <c r="Z153" s="209"/>
      <c r="AA153" s="209"/>
      <c r="AB153" s="209"/>
      <c r="AC153" s="209"/>
      <c r="AD153" s="209"/>
      <c r="AE153" s="209"/>
      <c r="AF153" s="209"/>
      <c r="AG153" s="209"/>
      <c r="AH153" s="209"/>
      <c r="AI153" s="209"/>
      <c r="AJ153" s="209"/>
      <c r="AK153" s="209"/>
    </row>
    <row r="154" ht="29.25" customHeight="1">
      <c r="A154" s="139"/>
      <c r="B154" s="139"/>
      <c r="C154" s="139"/>
      <c r="D154" s="139"/>
      <c r="E154" s="139"/>
      <c r="F154" s="139"/>
      <c r="G154" s="139"/>
      <c r="H154" s="140"/>
      <c r="I154" s="139"/>
      <c r="J154" s="139"/>
      <c r="K154" s="139"/>
      <c r="L154" s="139"/>
      <c r="M154" s="139"/>
      <c r="N154" s="139"/>
      <c r="O154" s="139"/>
      <c r="P154" s="139"/>
      <c r="Q154" s="141"/>
      <c r="R154" s="186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9.25" customHeight="1">
      <c r="A155" s="139"/>
      <c r="B155" s="139"/>
      <c r="C155" s="139"/>
      <c r="D155" s="139"/>
      <c r="E155" s="139"/>
      <c r="F155" s="139"/>
      <c r="G155" s="139"/>
      <c r="H155" s="140"/>
      <c r="I155" s="139"/>
      <c r="J155" s="139"/>
      <c r="K155" s="139"/>
      <c r="L155" s="139"/>
      <c r="M155" s="139"/>
      <c r="N155" s="139"/>
      <c r="O155" s="139"/>
      <c r="P155" s="139"/>
      <c r="Q155" s="204"/>
      <c r="R155" s="139"/>
      <c r="S155" s="139" t="s">
        <v>48</v>
      </c>
      <c r="T155" s="139" t="s">
        <v>72</v>
      </c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9.25" customHeight="1">
      <c r="A156" s="139"/>
      <c r="B156" s="139"/>
      <c r="C156" s="139"/>
      <c r="D156" s="139"/>
      <c r="E156" s="139"/>
      <c r="F156" s="139"/>
      <c r="G156" s="139"/>
      <c r="H156" s="140"/>
      <c r="I156" s="139"/>
      <c r="J156" s="139"/>
      <c r="K156" s="139"/>
      <c r="L156" s="139"/>
      <c r="M156" s="139"/>
      <c r="N156" s="139"/>
      <c r="O156" s="139"/>
      <c r="P156" s="139"/>
      <c r="Q156" s="141"/>
      <c r="R156" s="139" t="s">
        <v>31</v>
      </c>
      <c r="S156" s="211">
        <f>SUMIFS($J$26:$J$151,$R$26:$R$151,"&gt;=3")</f>
        <v>0</v>
      </c>
      <c r="T156" s="212"/>
      <c r="U156" s="139">
        <f>595-T153</f>
        <v>27.47</v>
      </c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9.25" customHeight="1">
      <c r="A157" s="139" t="s">
        <v>32</v>
      </c>
      <c r="B157" s="139"/>
      <c r="C157" s="139"/>
      <c r="D157" s="139" t="s">
        <v>33</v>
      </c>
      <c r="E157" s="139"/>
      <c r="F157" s="139"/>
      <c r="G157" s="139"/>
      <c r="H157" s="140"/>
      <c r="I157" s="139"/>
      <c r="J157" s="139"/>
      <c r="K157" s="139"/>
      <c r="L157" s="139"/>
      <c r="M157" s="139"/>
      <c r="N157" s="139"/>
      <c r="O157" s="139"/>
      <c r="P157" s="139"/>
      <c r="Q157" s="141"/>
      <c r="R157" s="139" t="s">
        <v>34</v>
      </c>
      <c r="S157" s="213">
        <f>J153-S156</f>
        <v>30871.37738</v>
      </c>
      <c r="T157" s="212">
        <f>+SUMIFS($T$26:$T$151,$R$26:$R$151,"&gt;=3")</f>
        <v>0</v>
      </c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9.25" customHeight="1">
      <c r="A158" s="139"/>
      <c r="B158" s="139"/>
      <c r="C158" s="139"/>
      <c r="D158" s="139"/>
      <c r="E158" s="139"/>
      <c r="F158" s="139"/>
      <c r="G158" s="139"/>
      <c r="H158" s="140"/>
      <c r="I158" s="139"/>
      <c r="J158" s="139"/>
      <c r="K158" s="139"/>
      <c r="L158" s="139"/>
      <c r="M158" s="139"/>
      <c r="N158" s="139"/>
      <c r="O158" s="139"/>
      <c r="P158" s="139"/>
      <c r="Q158" s="204"/>
      <c r="R158" s="139"/>
      <c r="S158" s="214">
        <f>+I153</f>
        <v>273</v>
      </c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39.0" customHeight="1">
      <c r="A159" s="176"/>
      <c r="B159" s="160" t="s">
        <v>12</v>
      </c>
      <c r="C159" s="177" t="s">
        <v>73</v>
      </c>
      <c r="D159" s="52"/>
      <c r="E159" s="53"/>
      <c r="F159" s="178"/>
      <c r="G159" s="178"/>
      <c r="H159" s="179" t="s">
        <v>14</v>
      </c>
      <c r="I159" s="160" t="s">
        <v>15</v>
      </c>
      <c r="J159" s="160" t="s">
        <v>16</v>
      </c>
      <c r="K159" s="139"/>
      <c r="L159" s="139"/>
      <c r="M159" s="139"/>
      <c r="N159" s="139"/>
      <c r="O159" s="139"/>
      <c r="P159" s="139"/>
      <c r="Q159" s="141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customHeight="1">
      <c r="A160" s="154">
        <v>1.0</v>
      </c>
      <c r="B160" s="215" t="s">
        <v>64</v>
      </c>
      <c r="C160" s="215">
        <v>84.0</v>
      </c>
      <c r="D160" s="215">
        <v>214.0</v>
      </c>
      <c r="E160" s="215">
        <v>204.0</v>
      </c>
      <c r="F160" s="215">
        <f t="shared" ref="F160:F170" si="145">1-VALUE(IF(RIGHT(B160, 1)="%", RIGHT(B160, 3), 0))</f>
        <v>0.2</v>
      </c>
      <c r="G160" s="215">
        <f t="shared" ref="G160:G170" si="146">+Q160*C160/100*D160/100*E160/100</f>
        <v>0</v>
      </c>
      <c r="H160" s="216">
        <f t="shared" ref="H160:H170" si="147">IF(F160=0, G160, F160*G160)</f>
        <v>0</v>
      </c>
      <c r="I160" s="215">
        <v>1.0</v>
      </c>
      <c r="J160" s="217">
        <f t="shared" ref="J160:J170" si="148">+I160*H160</f>
        <v>0</v>
      </c>
      <c r="K160" s="139"/>
      <c r="L160" s="176">
        <f t="shared" ref="L160:L167" si="149">D160*25.4/1000</f>
        <v>5.4356</v>
      </c>
      <c r="M160" s="160">
        <f t="shared" ref="M160:M163" si="150">+I160</f>
        <v>1</v>
      </c>
      <c r="N160" s="160">
        <f t="shared" ref="N160:N163" si="151">M160*L160</f>
        <v>5.4356</v>
      </c>
      <c r="O160" s="139"/>
      <c r="P160" s="139"/>
      <c r="Q160" s="141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customHeight="1">
      <c r="A161" s="160">
        <v>2.0</v>
      </c>
      <c r="B161" s="218" t="s">
        <v>65</v>
      </c>
      <c r="C161" s="218">
        <v>90.0</v>
      </c>
      <c r="D161" s="218">
        <v>195.0</v>
      </c>
      <c r="E161" s="218">
        <v>246.0</v>
      </c>
      <c r="F161" s="218">
        <f t="shared" si="145"/>
        <v>0.2</v>
      </c>
      <c r="G161" s="218">
        <f t="shared" si="146"/>
        <v>0</v>
      </c>
      <c r="H161" s="219">
        <f t="shared" si="147"/>
        <v>0</v>
      </c>
      <c r="I161" s="218">
        <v>1.0</v>
      </c>
      <c r="J161" s="194">
        <f t="shared" si="148"/>
        <v>0</v>
      </c>
      <c r="K161" s="139"/>
      <c r="L161" s="176">
        <f t="shared" si="149"/>
        <v>4.953</v>
      </c>
      <c r="M161" s="160">
        <f t="shared" si="150"/>
        <v>1</v>
      </c>
      <c r="N161" s="160">
        <f t="shared" si="151"/>
        <v>4.953</v>
      </c>
      <c r="O161" s="139"/>
      <c r="P161" s="139"/>
      <c r="Q161" s="141"/>
      <c r="R161" s="139"/>
      <c r="S161" s="220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customHeight="1">
      <c r="A162" s="160">
        <v>3.0</v>
      </c>
      <c r="B162" s="218" t="s">
        <v>66</v>
      </c>
      <c r="C162" s="218">
        <v>100.0</v>
      </c>
      <c r="D162" s="218">
        <v>195.0</v>
      </c>
      <c r="E162" s="218">
        <v>138.0</v>
      </c>
      <c r="F162" s="218">
        <f t="shared" si="145"/>
        <v>0.5</v>
      </c>
      <c r="G162" s="218">
        <f t="shared" si="146"/>
        <v>0</v>
      </c>
      <c r="H162" s="219">
        <f t="shared" si="147"/>
        <v>0</v>
      </c>
      <c r="I162" s="218">
        <v>1.0</v>
      </c>
      <c r="J162" s="194">
        <f t="shared" si="148"/>
        <v>0</v>
      </c>
      <c r="K162" s="139"/>
      <c r="L162" s="176">
        <f t="shared" si="149"/>
        <v>4.953</v>
      </c>
      <c r="M162" s="160">
        <f t="shared" si="150"/>
        <v>1</v>
      </c>
      <c r="N162" s="160">
        <f t="shared" si="151"/>
        <v>4.953</v>
      </c>
      <c r="O162" s="139"/>
      <c r="P162" s="139"/>
      <c r="Q162" s="141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customHeight="1">
      <c r="A163" s="160">
        <v>4.0</v>
      </c>
      <c r="B163" s="218" t="s">
        <v>65</v>
      </c>
      <c r="C163" s="218">
        <v>87.0</v>
      </c>
      <c r="D163" s="218">
        <v>203.0</v>
      </c>
      <c r="E163" s="218">
        <v>230.0</v>
      </c>
      <c r="F163" s="218">
        <f t="shared" si="145"/>
        <v>0.2</v>
      </c>
      <c r="G163" s="218">
        <f t="shared" si="146"/>
        <v>0</v>
      </c>
      <c r="H163" s="219">
        <f t="shared" si="147"/>
        <v>0</v>
      </c>
      <c r="I163" s="218">
        <v>1.0</v>
      </c>
      <c r="J163" s="194">
        <f t="shared" si="148"/>
        <v>0</v>
      </c>
      <c r="K163" s="139"/>
      <c r="L163" s="176">
        <f t="shared" si="149"/>
        <v>5.1562</v>
      </c>
      <c r="M163" s="160">
        <f t="shared" si="150"/>
        <v>1</v>
      </c>
      <c r="N163" s="160">
        <f t="shared" si="151"/>
        <v>5.1562</v>
      </c>
      <c r="O163" s="139"/>
      <c r="P163" s="139"/>
      <c r="Q163" s="141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customHeight="1">
      <c r="A164" s="160">
        <v>5.0</v>
      </c>
      <c r="B164" s="218" t="s">
        <v>67</v>
      </c>
      <c r="C164" s="218">
        <v>84.0</v>
      </c>
      <c r="D164" s="218">
        <v>206.0</v>
      </c>
      <c r="E164" s="218">
        <v>208.0</v>
      </c>
      <c r="F164" s="218">
        <f t="shared" si="145"/>
        <v>0.2</v>
      </c>
      <c r="G164" s="218">
        <f t="shared" si="146"/>
        <v>0</v>
      </c>
      <c r="H164" s="219">
        <f t="shared" si="147"/>
        <v>0</v>
      </c>
      <c r="I164" s="218">
        <v>1.0</v>
      </c>
      <c r="J164" s="194">
        <f t="shared" si="148"/>
        <v>0</v>
      </c>
      <c r="K164" s="139"/>
      <c r="L164" s="139">
        <f t="shared" si="149"/>
        <v>5.2324</v>
      </c>
      <c r="M164" s="221"/>
      <c r="N164" s="221"/>
      <c r="O164" s="139"/>
      <c r="P164" s="139"/>
      <c r="Q164" s="141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customHeight="1">
      <c r="A165" s="160">
        <v>6.0</v>
      </c>
      <c r="B165" s="218" t="s">
        <v>64</v>
      </c>
      <c r="C165" s="218">
        <v>80.0</v>
      </c>
      <c r="D165" s="218">
        <v>182.0</v>
      </c>
      <c r="E165" s="218">
        <v>240.0</v>
      </c>
      <c r="F165" s="218">
        <f t="shared" si="145"/>
        <v>0.2</v>
      </c>
      <c r="G165" s="218">
        <f t="shared" si="146"/>
        <v>0</v>
      </c>
      <c r="H165" s="219">
        <f t="shared" si="147"/>
        <v>0</v>
      </c>
      <c r="I165" s="218">
        <v>1.0</v>
      </c>
      <c r="J165" s="194">
        <f t="shared" si="148"/>
        <v>0</v>
      </c>
      <c r="K165" s="139"/>
      <c r="L165" s="139">
        <f t="shared" si="149"/>
        <v>4.6228</v>
      </c>
      <c r="M165" s="221"/>
      <c r="N165" s="221"/>
      <c r="O165" s="139"/>
      <c r="P165" s="139"/>
      <c r="Q165" s="141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customHeight="1">
      <c r="A166" s="160">
        <v>7.0</v>
      </c>
      <c r="B166" s="218" t="s">
        <v>68</v>
      </c>
      <c r="C166" s="218">
        <v>75.0</v>
      </c>
      <c r="D166" s="218">
        <v>167.0</v>
      </c>
      <c r="E166" s="218">
        <v>170.0</v>
      </c>
      <c r="F166" s="218">
        <f t="shared" si="145"/>
        <v>0.2</v>
      </c>
      <c r="G166" s="218">
        <f t="shared" si="146"/>
        <v>0</v>
      </c>
      <c r="H166" s="219">
        <f t="shared" si="147"/>
        <v>0</v>
      </c>
      <c r="I166" s="218">
        <v>1.0</v>
      </c>
      <c r="J166" s="194">
        <f t="shared" si="148"/>
        <v>0</v>
      </c>
      <c r="K166" s="139"/>
      <c r="L166" s="139">
        <f t="shared" si="149"/>
        <v>4.2418</v>
      </c>
      <c r="M166" s="221"/>
      <c r="N166" s="221"/>
      <c r="O166" s="139"/>
      <c r="P166" s="139"/>
      <c r="Q166" s="141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customHeight="1">
      <c r="A167" s="160">
        <v>8.0</v>
      </c>
      <c r="B167" s="222" t="s">
        <v>65</v>
      </c>
      <c r="C167" s="222">
        <v>91.0</v>
      </c>
      <c r="D167" s="222">
        <v>174.0</v>
      </c>
      <c r="E167" s="222">
        <v>153.0</v>
      </c>
      <c r="F167" s="222">
        <f t="shared" si="145"/>
        <v>0.2</v>
      </c>
      <c r="G167" s="222">
        <f t="shared" si="146"/>
        <v>0</v>
      </c>
      <c r="H167" s="223">
        <f t="shared" si="147"/>
        <v>0</v>
      </c>
      <c r="I167" s="222">
        <v>1.0</v>
      </c>
      <c r="J167" s="194">
        <f t="shared" si="148"/>
        <v>0</v>
      </c>
      <c r="K167" s="139"/>
      <c r="L167" s="139">
        <f t="shared" si="149"/>
        <v>4.4196</v>
      </c>
      <c r="M167" s="221"/>
      <c r="N167" s="221"/>
      <c r="O167" s="139"/>
      <c r="P167" s="139"/>
      <c r="Q167" s="141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customHeight="1">
      <c r="A168" s="160">
        <v>9.0</v>
      </c>
      <c r="B168" s="218" t="s">
        <v>69</v>
      </c>
      <c r="C168" s="218">
        <v>73.0</v>
      </c>
      <c r="D168" s="218">
        <v>188.0</v>
      </c>
      <c r="E168" s="218">
        <v>272.0</v>
      </c>
      <c r="F168" s="218">
        <f t="shared" si="145"/>
        <v>0.2</v>
      </c>
      <c r="G168" s="218">
        <f t="shared" si="146"/>
        <v>0</v>
      </c>
      <c r="H168" s="223">
        <f t="shared" si="147"/>
        <v>0</v>
      </c>
      <c r="I168" s="222">
        <v>1.0</v>
      </c>
      <c r="J168" s="194">
        <f t="shared" si="148"/>
        <v>0</v>
      </c>
      <c r="K168" s="139"/>
      <c r="L168" s="139"/>
      <c r="M168" s="221"/>
      <c r="N168" s="221"/>
      <c r="O168" s="139"/>
      <c r="P168" s="139"/>
      <c r="Q168" s="141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customHeight="1">
      <c r="A169" s="160">
        <v>10.0</v>
      </c>
      <c r="B169" s="222" t="s">
        <v>70</v>
      </c>
      <c r="C169" s="222">
        <v>57.0</v>
      </c>
      <c r="D169" s="222">
        <v>193.0</v>
      </c>
      <c r="E169" s="222">
        <v>90.0</v>
      </c>
      <c r="F169" s="222">
        <f t="shared" si="145"/>
        <v>0.2</v>
      </c>
      <c r="G169" s="222">
        <f t="shared" si="146"/>
        <v>0</v>
      </c>
      <c r="H169" s="223">
        <f t="shared" si="147"/>
        <v>0</v>
      </c>
      <c r="I169" s="222">
        <v>1.0</v>
      </c>
      <c r="J169" s="194">
        <f t="shared" si="148"/>
        <v>0</v>
      </c>
      <c r="K169" s="139"/>
      <c r="L169" s="139"/>
      <c r="M169" s="221"/>
      <c r="N169" s="221"/>
      <c r="O169" s="139"/>
      <c r="P169" s="139"/>
      <c r="Q169" s="141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customHeight="1">
      <c r="A170" s="224">
        <v>11.0</v>
      </c>
      <c r="B170" s="218" t="s">
        <v>71</v>
      </c>
      <c r="C170" s="218">
        <v>83.0</v>
      </c>
      <c r="D170" s="218">
        <v>204.0</v>
      </c>
      <c r="E170" s="218">
        <v>187.0</v>
      </c>
      <c r="F170" s="218">
        <f t="shared" si="145"/>
        <v>0.2</v>
      </c>
      <c r="G170" s="218">
        <f t="shared" si="146"/>
        <v>0</v>
      </c>
      <c r="H170" s="219">
        <f t="shared" si="147"/>
        <v>0</v>
      </c>
      <c r="I170" s="218">
        <v>1.0</v>
      </c>
      <c r="J170" s="225">
        <f t="shared" si="148"/>
        <v>0</v>
      </c>
      <c r="K170" s="139"/>
      <c r="L170" s="139"/>
      <c r="M170" s="221"/>
      <c r="N170" s="221"/>
      <c r="O170" s="139"/>
      <c r="P170" s="139"/>
      <c r="Q170" s="141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4.75" customHeight="1">
      <c r="A171" s="160"/>
      <c r="B171" s="139"/>
      <c r="C171" s="139"/>
      <c r="D171" s="139"/>
      <c r="E171" s="139"/>
      <c r="F171" s="139"/>
      <c r="G171" s="139"/>
      <c r="H171" s="140" t="s">
        <v>38</v>
      </c>
      <c r="I171" s="139"/>
      <c r="J171" s="226">
        <f>SUM(J160:J170)</f>
        <v>0</v>
      </c>
      <c r="K171" s="139"/>
      <c r="L171" s="139"/>
      <c r="M171" s="139"/>
      <c r="N171" s="139"/>
      <c r="O171" s="139"/>
      <c r="P171" s="139"/>
      <c r="Q171" s="141"/>
      <c r="R171" s="227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18.75" customHeight="1">
      <c r="A172" s="174"/>
      <c r="B172" s="144"/>
      <c r="C172" s="144"/>
      <c r="D172" s="144"/>
      <c r="E172" s="144"/>
      <c r="F172" s="144"/>
      <c r="G172" s="144"/>
      <c r="H172" s="145"/>
      <c r="I172" s="144"/>
      <c r="J172" s="175"/>
      <c r="K172" s="139"/>
      <c r="L172" s="139"/>
      <c r="M172" s="139"/>
      <c r="N172" s="139"/>
      <c r="O172" s="139"/>
      <c r="P172" s="139"/>
      <c r="Q172" s="141"/>
      <c r="R172" s="227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18.75" customHeight="1">
      <c r="A173" s="139"/>
      <c r="B173" s="139"/>
      <c r="C173" s="139"/>
      <c r="D173" s="139"/>
      <c r="E173" s="139"/>
      <c r="F173" s="139"/>
      <c r="G173" s="139"/>
      <c r="H173" s="140"/>
      <c r="I173" s="139"/>
      <c r="J173" s="139"/>
      <c r="K173" s="139"/>
      <c r="L173" s="139"/>
      <c r="M173" s="139"/>
      <c r="N173" s="139"/>
      <c r="O173" s="139"/>
      <c r="P173" s="139"/>
      <c r="Q173" s="141"/>
      <c r="R173" s="227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18.75" customHeight="1">
      <c r="A174" s="139"/>
      <c r="B174" s="139"/>
      <c r="C174" s="139"/>
      <c r="D174" s="139"/>
      <c r="E174" s="139"/>
      <c r="F174" s="139"/>
      <c r="G174" s="139"/>
      <c r="H174" s="140"/>
      <c r="I174" s="139"/>
      <c r="J174" s="139"/>
      <c r="K174" s="139"/>
      <c r="L174" s="139"/>
      <c r="M174" s="139"/>
      <c r="N174" s="139"/>
      <c r="O174" s="139"/>
      <c r="P174" s="139"/>
      <c r="Q174" s="141"/>
      <c r="R174" s="227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18.75" customHeight="1">
      <c r="A175" s="139" t="s">
        <v>39</v>
      </c>
      <c r="B175" s="139"/>
      <c r="C175" s="139"/>
      <c r="D175" s="139"/>
      <c r="E175" s="139"/>
      <c r="F175" s="139"/>
      <c r="G175" s="139"/>
      <c r="H175" s="140"/>
      <c r="I175" s="139"/>
      <c r="J175" s="139"/>
      <c r="K175" s="139"/>
      <c r="L175" s="139"/>
      <c r="M175" s="139"/>
      <c r="N175" s="139"/>
      <c r="O175" s="139"/>
      <c r="P175" s="139"/>
      <c r="Q175" s="141"/>
      <c r="R175" s="227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18.75" customHeight="1">
      <c r="A176" s="139"/>
      <c r="B176" s="139"/>
      <c r="C176" s="139"/>
      <c r="D176" s="139"/>
      <c r="E176" s="139"/>
      <c r="F176" s="139"/>
      <c r="G176" s="139"/>
      <c r="H176" s="140"/>
      <c r="I176" s="139"/>
      <c r="J176" s="139"/>
      <c r="K176" s="139"/>
      <c r="L176" s="139"/>
      <c r="M176" s="139"/>
      <c r="N176" s="139"/>
      <c r="O176" s="139"/>
      <c r="P176" s="139"/>
      <c r="Q176" s="141"/>
      <c r="R176" s="227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42.0" customHeight="1">
      <c r="A177" s="176"/>
      <c r="B177" s="160" t="s">
        <v>12</v>
      </c>
      <c r="C177" s="177" t="s">
        <v>74</v>
      </c>
      <c r="D177" s="52"/>
      <c r="E177" s="53"/>
      <c r="F177" s="228"/>
      <c r="G177" s="228"/>
      <c r="H177" s="179" t="s">
        <v>14</v>
      </c>
      <c r="I177" s="224" t="s">
        <v>15</v>
      </c>
      <c r="J177" s="160" t="s">
        <v>16</v>
      </c>
      <c r="K177" s="139"/>
      <c r="L177" s="139"/>
      <c r="M177" s="139"/>
      <c r="N177" s="139"/>
      <c r="O177" s="139"/>
      <c r="P177" s="139"/>
      <c r="Q177" s="141"/>
      <c r="R177" s="227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4.75" customHeight="1">
      <c r="A178" s="160">
        <v>1.0</v>
      </c>
      <c r="B178" s="229" t="s">
        <v>55</v>
      </c>
      <c r="C178" s="160"/>
      <c r="D178" s="160"/>
      <c r="E178" s="160"/>
      <c r="F178" s="160"/>
      <c r="G178" s="160"/>
      <c r="H178" s="230">
        <v>50.0</v>
      </c>
      <c r="I178" s="181">
        <v>1.0</v>
      </c>
      <c r="J178" s="194">
        <f t="shared" ref="J178:J197" si="152">+I178*H178</f>
        <v>50</v>
      </c>
      <c r="K178" s="176"/>
      <c r="L178" s="176"/>
      <c r="M178" s="176"/>
      <c r="N178" s="176"/>
      <c r="O178" s="176"/>
      <c r="P178" s="176"/>
      <c r="Q178" s="231"/>
      <c r="R178" s="227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4.75" customHeight="1">
      <c r="A179" s="160">
        <v>2.0</v>
      </c>
      <c r="B179" s="215" t="s">
        <v>55</v>
      </c>
      <c r="C179" s="160"/>
      <c r="D179" s="160"/>
      <c r="E179" s="160"/>
      <c r="F179" s="160"/>
      <c r="G179" s="160"/>
      <c r="H179" s="230">
        <v>20.0</v>
      </c>
      <c r="I179" s="181">
        <v>1.0</v>
      </c>
      <c r="J179" s="194">
        <f t="shared" si="152"/>
        <v>20</v>
      </c>
      <c r="K179" s="176"/>
      <c r="L179" s="176"/>
      <c r="M179" s="176"/>
      <c r="N179" s="176"/>
      <c r="O179" s="176"/>
      <c r="P179" s="176"/>
      <c r="Q179" s="231"/>
      <c r="R179" s="227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4.75" customHeight="1">
      <c r="A180" s="160">
        <v>3.0</v>
      </c>
      <c r="B180" s="182" t="s">
        <v>56</v>
      </c>
      <c r="C180" s="160"/>
      <c r="D180" s="160"/>
      <c r="E180" s="160"/>
      <c r="F180" s="160"/>
      <c r="G180" s="160"/>
      <c r="H180" s="230">
        <v>60.0</v>
      </c>
      <c r="I180" s="181">
        <v>1.0</v>
      </c>
      <c r="J180" s="194">
        <f t="shared" si="152"/>
        <v>60</v>
      </c>
      <c r="K180" s="176"/>
      <c r="L180" s="176"/>
      <c r="M180" s="176"/>
      <c r="N180" s="176"/>
      <c r="O180" s="176"/>
      <c r="P180" s="176"/>
      <c r="Q180" s="231"/>
      <c r="R180" s="227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4.75" customHeight="1">
      <c r="A181" s="160">
        <v>4.0</v>
      </c>
      <c r="B181" s="215" t="s">
        <v>55</v>
      </c>
      <c r="C181" s="160"/>
      <c r="D181" s="160"/>
      <c r="E181" s="160"/>
      <c r="F181" s="160"/>
      <c r="G181" s="160"/>
      <c r="H181" s="230">
        <v>20.0</v>
      </c>
      <c r="I181" s="181">
        <v>1.0</v>
      </c>
      <c r="J181" s="194">
        <f t="shared" si="152"/>
        <v>20</v>
      </c>
      <c r="K181" s="176"/>
      <c r="L181" s="176"/>
      <c r="M181" s="176"/>
      <c r="N181" s="176"/>
      <c r="O181" s="176"/>
      <c r="P181" s="176"/>
      <c r="Q181" s="231"/>
      <c r="R181" s="227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4.75" customHeight="1">
      <c r="A182" s="160">
        <v>5.0</v>
      </c>
      <c r="B182" s="182" t="s">
        <v>56</v>
      </c>
      <c r="C182" s="160"/>
      <c r="D182" s="160"/>
      <c r="E182" s="160"/>
      <c r="F182" s="160"/>
      <c r="G182" s="160"/>
      <c r="H182" s="230">
        <v>45.0</v>
      </c>
      <c r="I182" s="181">
        <v>1.0</v>
      </c>
      <c r="J182" s="194">
        <f t="shared" si="152"/>
        <v>45</v>
      </c>
      <c r="K182" s="176"/>
      <c r="L182" s="176"/>
      <c r="M182" s="176"/>
      <c r="N182" s="176"/>
      <c r="O182" s="176"/>
      <c r="P182" s="176"/>
      <c r="Q182" s="231"/>
      <c r="R182" s="227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4.75" customHeight="1">
      <c r="A183" s="160">
        <v>6.0</v>
      </c>
      <c r="B183" s="218" t="s">
        <v>56</v>
      </c>
      <c r="C183" s="160"/>
      <c r="D183" s="160"/>
      <c r="E183" s="160"/>
      <c r="F183" s="160"/>
      <c r="G183" s="160"/>
      <c r="H183" s="230">
        <v>13.0</v>
      </c>
      <c r="I183" s="181">
        <v>1.0</v>
      </c>
      <c r="J183" s="194">
        <f t="shared" si="152"/>
        <v>13</v>
      </c>
      <c r="K183" s="176"/>
      <c r="L183" s="176"/>
      <c r="M183" s="176"/>
      <c r="N183" s="176"/>
      <c r="O183" s="176"/>
      <c r="P183" s="176"/>
      <c r="Q183" s="231"/>
      <c r="R183" s="227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4.75" customHeight="1">
      <c r="A184" s="160">
        <v>7.0</v>
      </c>
      <c r="B184" s="182" t="s">
        <v>57</v>
      </c>
      <c r="C184" s="160"/>
      <c r="D184" s="160"/>
      <c r="E184" s="160"/>
      <c r="F184" s="160"/>
      <c r="G184" s="160"/>
      <c r="H184" s="230">
        <v>39.0</v>
      </c>
      <c r="I184" s="181">
        <v>1.0</v>
      </c>
      <c r="J184" s="194">
        <f t="shared" si="152"/>
        <v>39</v>
      </c>
      <c r="K184" s="176"/>
      <c r="L184" s="176"/>
      <c r="M184" s="176"/>
      <c r="N184" s="176"/>
      <c r="O184" s="176"/>
      <c r="P184" s="176"/>
      <c r="Q184" s="231"/>
      <c r="R184" s="227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4.75" customHeight="1">
      <c r="A185" s="160">
        <v>8.0</v>
      </c>
      <c r="B185" s="218" t="s">
        <v>57</v>
      </c>
      <c r="C185" s="160"/>
      <c r="D185" s="160"/>
      <c r="E185" s="160"/>
      <c r="F185" s="160"/>
      <c r="G185" s="160"/>
      <c r="H185" s="230">
        <v>24.0</v>
      </c>
      <c r="I185" s="181">
        <v>1.0</v>
      </c>
      <c r="J185" s="194">
        <f t="shared" si="152"/>
        <v>24</v>
      </c>
      <c r="K185" s="176"/>
      <c r="L185" s="176"/>
      <c r="M185" s="176"/>
      <c r="N185" s="176"/>
      <c r="O185" s="176"/>
      <c r="P185" s="176"/>
      <c r="Q185" s="231"/>
      <c r="R185" s="227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4.75" customHeight="1">
      <c r="A186" s="160">
        <v>9.0</v>
      </c>
      <c r="B186" s="182" t="s">
        <v>55</v>
      </c>
      <c r="C186" s="160"/>
      <c r="D186" s="160"/>
      <c r="E186" s="160"/>
      <c r="F186" s="160"/>
      <c r="G186" s="160"/>
      <c r="H186" s="230">
        <v>43.0</v>
      </c>
      <c r="I186" s="181">
        <v>1.0</v>
      </c>
      <c r="J186" s="194">
        <f t="shared" si="152"/>
        <v>43</v>
      </c>
      <c r="K186" s="176"/>
      <c r="L186" s="176"/>
      <c r="M186" s="176"/>
      <c r="N186" s="176"/>
      <c r="O186" s="176"/>
      <c r="P186" s="176"/>
      <c r="Q186" s="231"/>
      <c r="R186" s="227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4.75" customHeight="1">
      <c r="A187" s="160">
        <v>10.0</v>
      </c>
      <c r="B187" s="218" t="s">
        <v>55</v>
      </c>
      <c r="C187" s="160"/>
      <c r="D187" s="160"/>
      <c r="E187" s="160"/>
      <c r="F187" s="160"/>
      <c r="G187" s="160"/>
      <c r="H187" s="230">
        <v>10.0</v>
      </c>
      <c r="I187" s="181">
        <v>1.0</v>
      </c>
      <c r="J187" s="194">
        <f t="shared" si="152"/>
        <v>10</v>
      </c>
      <c r="K187" s="176"/>
      <c r="L187" s="176"/>
      <c r="M187" s="176"/>
      <c r="N187" s="176"/>
      <c r="O187" s="176"/>
      <c r="P187" s="176"/>
      <c r="Q187" s="231"/>
      <c r="R187" s="227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4.75" customHeight="1">
      <c r="A188" s="160">
        <v>11.0</v>
      </c>
      <c r="B188" s="182" t="s">
        <v>58</v>
      </c>
      <c r="C188" s="160"/>
      <c r="D188" s="160"/>
      <c r="E188" s="160"/>
      <c r="F188" s="160"/>
      <c r="G188" s="160"/>
      <c r="H188" s="230">
        <v>43.0</v>
      </c>
      <c r="I188" s="181">
        <v>1.0</v>
      </c>
      <c r="J188" s="194">
        <f t="shared" si="152"/>
        <v>43</v>
      </c>
      <c r="K188" s="176"/>
      <c r="L188" s="176"/>
      <c r="M188" s="176"/>
      <c r="N188" s="176"/>
      <c r="O188" s="176"/>
      <c r="P188" s="176"/>
      <c r="Q188" s="231"/>
      <c r="R188" s="227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4.75" customHeight="1">
      <c r="A189" s="160">
        <v>12.0</v>
      </c>
      <c r="B189" s="218" t="s">
        <v>58</v>
      </c>
      <c r="C189" s="160"/>
      <c r="D189" s="160"/>
      <c r="E189" s="160"/>
      <c r="F189" s="160"/>
      <c r="G189" s="160"/>
      <c r="H189" s="230">
        <v>21.0</v>
      </c>
      <c r="I189" s="181">
        <v>1.0</v>
      </c>
      <c r="J189" s="194">
        <f t="shared" si="152"/>
        <v>21</v>
      </c>
      <c r="K189" s="176"/>
      <c r="L189" s="176"/>
      <c r="M189" s="176"/>
      <c r="N189" s="176"/>
      <c r="O189" s="176"/>
      <c r="P189" s="176"/>
      <c r="Q189" s="231"/>
      <c r="R189" s="227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4.75" customHeight="1">
      <c r="A190" s="160">
        <v>13.0</v>
      </c>
      <c r="B190" s="182" t="s">
        <v>56</v>
      </c>
      <c r="C190" s="181"/>
      <c r="D190" s="181"/>
      <c r="E190" s="181"/>
      <c r="F190" s="181"/>
      <c r="G190" s="181"/>
      <c r="H190" s="232">
        <v>51.0</v>
      </c>
      <c r="I190" s="181">
        <v>1.0</v>
      </c>
      <c r="J190" s="194">
        <f t="shared" si="152"/>
        <v>51</v>
      </c>
      <c r="K190" s="176"/>
      <c r="L190" s="176"/>
      <c r="M190" s="176"/>
      <c r="N190" s="176"/>
      <c r="O190" s="176"/>
      <c r="P190" s="176"/>
      <c r="Q190" s="231"/>
      <c r="R190" s="227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4.75" customHeight="1">
      <c r="A191" s="160">
        <v>14.0</v>
      </c>
      <c r="B191" s="218" t="s">
        <v>56</v>
      </c>
      <c r="C191" s="181"/>
      <c r="D191" s="181"/>
      <c r="E191" s="181"/>
      <c r="F191" s="181"/>
      <c r="G191" s="181"/>
      <c r="H191" s="232">
        <v>10.0</v>
      </c>
      <c r="I191" s="181">
        <v>1.0</v>
      </c>
      <c r="J191" s="194">
        <f t="shared" si="152"/>
        <v>10</v>
      </c>
      <c r="K191" s="176"/>
      <c r="L191" s="176"/>
      <c r="M191" s="176"/>
      <c r="N191" s="176"/>
      <c r="O191" s="176"/>
      <c r="P191" s="176"/>
      <c r="Q191" s="231"/>
      <c r="R191" s="227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4.75" customHeight="1">
      <c r="A192" s="160">
        <v>15.0</v>
      </c>
      <c r="B192" s="233" t="s">
        <v>59</v>
      </c>
      <c r="C192" s="181"/>
      <c r="D192" s="181"/>
      <c r="E192" s="181"/>
      <c r="F192" s="181"/>
      <c r="G192" s="181"/>
      <c r="H192" s="232">
        <v>34.0</v>
      </c>
      <c r="I192" s="181">
        <v>1.0</v>
      </c>
      <c r="J192" s="194">
        <f t="shared" si="152"/>
        <v>34</v>
      </c>
      <c r="K192" s="176"/>
      <c r="L192" s="176"/>
      <c r="M192" s="176"/>
      <c r="N192" s="176"/>
      <c r="O192" s="176"/>
      <c r="P192" s="176"/>
      <c r="Q192" s="231"/>
      <c r="R192" s="227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4.75" customHeight="1">
      <c r="A193" s="160">
        <v>16.0</v>
      </c>
      <c r="B193" s="234" t="s">
        <v>59</v>
      </c>
      <c r="C193" s="181"/>
      <c r="D193" s="181"/>
      <c r="E193" s="181"/>
      <c r="F193" s="181"/>
      <c r="G193" s="181"/>
      <c r="H193" s="232">
        <v>28.0</v>
      </c>
      <c r="I193" s="181">
        <v>1.0</v>
      </c>
      <c r="J193" s="194">
        <f t="shared" si="152"/>
        <v>28</v>
      </c>
      <c r="K193" s="176"/>
      <c r="L193" s="176"/>
      <c r="M193" s="176"/>
      <c r="N193" s="176"/>
      <c r="O193" s="176"/>
      <c r="P193" s="176"/>
      <c r="Q193" s="231"/>
      <c r="R193" s="227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4.75" customHeight="1">
      <c r="A194" s="160">
        <v>17.0</v>
      </c>
      <c r="B194" s="182" t="s">
        <v>60</v>
      </c>
      <c r="C194" s="181"/>
      <c r="D194" s="181"/>
      <c r="E194" s="181"/>
      <c r="F194" s="181"/>
      <c r="G194" s="181"/>
      <c r="H194" s="232">
        <v>38.0</v>
      </c>
      <c r="I194" s="181">
        <v>1.0</v>
      </c>
      <c r="J194" s="194">
        <f t="shared" si="152"/>
        <v>38</v>
      </c>
      <c r="K194" s="176"/>
      <c r="L194" s="176"/>
      <c r="M194" s="176"/>
      <c r="N194" s="176"/>
      <c r="O194" s="176"/>
      <c r="P194" s="176"/>
      <c r="Q194" s="231"/>
      <c r="R194" s="227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4.75" customHeight="1">
      <c r="A195" s="160">
        <v>18.0</v>
      </c>
      <c r="B195" s="191" t="s">
        <v>60</v>
      </c>
      <c r="C195" s="181"/>
      <c r="D195" s="181"/>
      <c r="E195" s="181"/>
      <c r="F195" s="181"/>
      <c r="G195" s="181"/>
      <c r="H195" s="232">
        <v>30.0</v>
      </c>
      <c r="I195" s="181">
        <v>1.0</v>
      </c>
      <c r="J195" s="194">
        <f t="shared" si="152"/>
        <v>30</v>
      </c>
      <c r="K195" s="176"/>
      <c r="L195" s="176"/>
      <c r="M195" s="176"/>
      <c r="N195" s="176"/>
      <c r="O195" s="176"/>
      <c r="P195" s="176"/>
      <c r="Q195" s="231"/>
      <c r="R195" s="140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4.75" customHeight="1">
      <c r="A196" s="160">
        <v>19.0</v>
      </c>
      <c r="B196" s="182" t="s">
        <v>61</v>
      </c>
      <c r="C196" s="181"/>
      <c r="D196" s="181"/>
      <c r="E196" s="181"/>
      <c r="F196" s="181"/>
      <c r="G196" s="181"/>
      <c r="H196" s="232">
        <v>40.0</v>
      </c>
      <c r="I196" s="181">
        <v>1.0</v>
      </c>
      <c r="J196" s="194">
        <f t="shared" si="152"/>
        <v>40</v>
      </c>
      <c r="K196" s="176"/>
      <c r="L196" s="176"/>
      <c r="M196" s="176"/>
      <c r="N196" s="176"/>
      <c r="O196" s="176"/>
      <c r="P196" s="176"/>
      <c r="Q196" s="231"/>
      <c r="R196" s="227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4.75" customHeight="1">
      <c r="A197" s="160">
        <v>20.0</v>
      </c>
      <c r="B197" s="191" t="s">
        <v>61</v>
      </c>
      <c r="C197" s="181"/>
      <c r="D197" s="181"/>
      <c r="E197" s="181"/>
      <c r="F197" s="181"/>
      <c r="G197" s="181"/>
      <c r="H197" s="232">
        <v>25.0</v>
      </c>
      <c r="I197" s="181">
        <v>1.0</v>
      </c>
      <c r="J197" s="194">
        <f t="shared" si="152"/>
        <v>25</v>
      </c>
      <c r="K197" s="176"/>
      <c r="L197" s="176"/>
      <c r="M197" s="176"/>
      <c r="N197" s="176"/>
      <c r="O197" s="176"/>
      <c r="P197" s="176"/>
      <c r="Q197" s="231"/>
      <c r="R197" s="227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18.75" customHeight="1">
      <c r="A198" s="139"/>
      <c r="B198" s="139"/>
      <c r="C198" s="139"/>
      <c r="D198" s="139"/>
      <c r="E198" s="139"/>
      <c r="F198" s="139"/>
      <c r="G198" s="139"/>
      <c r="H198" s="140" t="s">
        <v>38</v>
      </c>
      <c r="I198" s="139"/>
      <c r="J198" s="235">
        <f>SUM(J178:J197)</f>
        <v>644</v>
      </c>
      <c r="K198" s="236"/>
      <c r="L198" s="236"/>
      <c r="M198" s="236"/>
      <c r="N198" s="236"/>
      <c r="O198" s="236"/>
      <c r="P198" s="236"/>
      <c r="Q198" s="237"/>
      <c r="R198" s="227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18.75" customHeight="1">
      <c r="A199" s="144"/>
      <c r="B199" s="144"/>
      <c r="C199" s="144"/>
      <c r="D199" s="144"/>
      <c r="E199" s="144"/>
      <c r="F199" s="144"/>
      <c r="G199" s="144"/>
      <c r="H199" s="145"/>
      <c r="I199" s="173"/>
      <c r="J199" s="205">
        <f>+J198*60%</f>
        <v>386.4</v>
      </c>
      <c r="K199" s="205"/>
      <c r="L199" s="205"/>
      <c r="M199" s="205"/>
      <c r="N199" s="205"/>
      <c r="O199" s="205"/>
      <c r="P199" s="205"/>
      <c r="Q199" s="207">
        <f>+J198*40%</f>
        <v>257.6</v>
      </c>
      <c r="R199" s="227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18.75" customHeight="1">
      <c r="A200" s="139"/>
      <c r="B200" s="139"/>
      <c r="C200" s="139"/>
      <c r="D200" s="139"/>
      <c r="E200" s="139"/>
      <c r="F200" s="139"/>
      <c r="G200" s="139"/>
      <c r="H200" s="140"/>
      <c r="I200" s="139"/>
      <c r="J200" s="139"/>
      <c r="K200" s="139"/>
      <c r="L200" s="139"/>
      <c r="M200" s="139"/>
      <c r="N200" s="139"/>
      <c r="O200" s="139"/>
      <c r="P200" s="139"/>
      <c r="Q200" s="141"/>
      <c r="R200" s="227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18.75" customHeight="1">
      <c r="A201" s="139"/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41"/>
      <c r="R201" s="227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19.5" customHeight="1">
      <c r="A202" s="238" t="s">
        <v>41</v>
      </c>
      <c r="B202" s="139"/>
      <c r="C202" s="139"/>
      <c r="D202" s="139"/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41"/>
      <c r="R202" s="227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57.0" customHeight="1">
      <c r="A203" s="239"/>
      <c r="B203" s="240" t="s">
        <v>42</v>
      </c>
      <c r="C203" s="240" t="s">
        <v>43</v>
      </c>
      <c r="D203" s="240" t="s">
        <v>44</v>
      </c>
      <c r="E203" s="240" t="s">
        <v>45</v>
      </c>
      <c r="F203" s="240"/>
      <c r="G203" s="240"/>
      <c r="H203" s="241" t="s">
        <v>46</v>
      </c>
      <c r="I203" s="242" t="s">
        <v>47</v>
      </c>
      <c r="J203" s="139"/>
      <c r="K203" s="139"/>
      <c r="L203" s="139"/>
      <c r="M203" s="139"/>
      <c r="N203" s="139"/>
      <c r="O203" s="139"/>
      <c r="P203" s="139"/>
      <c r="Q203" s="141"/>
      <c r="R203" s="227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18.75" customHeight="1">
      <c r="A204" s="243" t="s">
        <v>48</v>
      </c>
      <c r="B204" s="244">
        <f>+E19</f>
        <v>35101.17942</v>
      </c>
      <c r="C204" s="245">
        <f>+J153</f>
        <v>30871.37738</v>
      </c>
      <c r="D204" s="245">
        <f>+J171</f>
        <v>0</v>
      </c>
      <c r="E204" s="246">
        <f>J199</f>
        <v>386.4</v>
      </c>
      <c r="F204" s="246"/>
      <c r="G204" s="246"/>
      <c r="H204" s="247">
        <f>+I19</f>
        <v>978.8658672</v>
      </c>
      <c r="I204" s="248">
        <f>+B204-C204-D204-E204-H204</f>
        <v>2864.536171</v>
      </c>
      <c r="J204" s="139"/>
      <c r="K204" s="139"/>
      <c r="L204" s="139"/>
      <c r="M204" s="139"/>
      <c r="N204" s="139"/>
      <c r="O204" s="139"/>
      <c r="P204" s="139"/>
      <c r="Q204" s="141"/>
      <c r="R204" s="227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19.5" customHeight="1">
      <c r="A205" s="249" t="s">
        <v>49</v>
      </c>
      <c r="B205" s="250"/>
      <c r="C205" s="251">
        <f>+C204/B204</f>
        <v>0.8794968685</v>
      </c>
      <c r="D205" s="251">
        <f>+D204/B204</f>
        <v>0</v>
      </c>
      <c r="E205" s="251">
        <f>+E204/B204</f>
        <v>0.01100817711</v>
      </c>
      <c r="F205" s="251"/>
      <c r="G205" s="251"/>
      <c r="H205" s="252">
        <f>+H204/B204</f>
        <v>0.02788697939</v>
      </c>
      <c r="I205" s="253">
        <f>+I204/B204</f>
        <v>0.08160797495</v>
      </c>
      <c r="J205" s="139"/>
      <c r="K205" s="139"/>
      <c r="L205" s="139"/>
      <c r="M205" s="139"/>
      <c r="N205" s="139"/>
      <c r="O205" s="139"/>
      <c r="P205" s="139"/>
      <c r="Q205" s="141"/>
      <c r="R205" s="227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19.5" customHeight="1">
      <c r="A206" s="163"/>
      <c r="B206" s="221"/>
      <c r="C206" s="254"/>
      <c r="D206" s="254"/>
      <c r="E206" s="254"/>
      <c r="F206" s="254"/>
      <c r="G206" s="254"/>
      <c r="H206" s="255"/>
      <c r="I206" s="256"/>
      <c r="J206" s="139"/>
      <c r="K206" s="139"/>
      <c r="L206" s="139"/>
      <c r="M206" s="139"/>
      <c r="N206" s="139"/>
      <c r="O206" s="139"/>
      <c r="P206" s="139"/>
      <c r="Q206" s="141"/>
      <c r="R206" s="227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18.75" customHeight="1">
      <c r="A207" s="257"/>
      <c r="B207" s="258"/>
      <c r="C207" s="258"/>
      <c r="D207" s="258" t="s">
        <v>50</v>
      </c>
      <c r="E207" s="258" t="s">
        <v>48</v>
      </c>
      <c r="F207" s="258"/>
      <c r="G207" s="258"/>
      <c r="H207" s="259">
        <f>+D204+E204+H204+I204</f>
        <v>4229.802038</v>
      </c>
      <c r="I207" s="260"/>
      <c r="J207" s="139"/>
      <c r="K207" s="139"/>
      <c r="L207" s="139"/>
      <c r="M207" s="139"/>
      <c r="N207" s="139"/>
      <c r="O207" s="139"/>
      <c r="P207" s="139"/>
      <c r="Q207" s="141"/>
      <c r="R207" s="140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18.75" customHeight="1">
      <c r="A208" s="261"/>
      <c r="B208" s="139"/>
      <c r="C208" s="139"/>
      <c r="D208" s="139"/>
      <c r="E208" s="139" t="s">
        <v>49</v>
      </c>
      <c r="F208" s="139"/>
      <c r="G208" s="139"/>
      <c r="H208" s="255">
        <f>+H207/B204</f>
        <v>0.1205031315</v>
      </c>
      <c r="I208" s="262"/>
      <c r="J208" s="139"/>
      <c r="K208" s="139"/>
      <c r="L208" s="139"/>
      <c r="M208" s="139"/>
      <c r="N208" s="139"/>
      <c r="O208" s="139"/>
      <c r="P208" s="139"/>
      <c r="Q208" s="141"/>
      <c r="R208" s="140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18.75" customHeight="1">
      <c r="A209" s="261"/>
      <c r="B209" s="139"/>
      <c r="C209" s="139" t="s">
        <v>51</v>
      </c>
      <c r="D209" s="139"/>
      <c r="E209" s="139"/>
      <c r="F209" s="139"/>
      <c r="G209" s="139"/>
      <c r="H209" s="140"/>
      <c r="I209" s="262"/>
      <c r="J209" s="139"/>
      <c r="K209" s="139"/>
      <c r="L209" s="139"/>
      <c r="M209" s="139"/>
      <c r="N209" s="139"/>
      <c r="O209" s="139"/>
      <c r="P209" s="139"/>
      <c r="Q209" s="141"/>
      <c r="R209" s="140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18.75" customHeight="1">
      <c r="A210" s="261"/>
      <c r="B210" s="139"/>
      <c r="C210" s="139"/>
      <c r="D210" s="139" t="s">
        <v>52</v>
      </c>
      <c r="E210" s="139"/>
      <c r="F210" s="139"/>
      <c r="G210" s="139"/>
      <c r="H210" s="140">
        <f>+H209*(H207-H204)</f>
        <v>0</v>
      </c>
      <c r="I210" s="262"/>
      <c r="J210" s="139"/>
      <c r="K210" s="139"/>
      <c r="L210" s="139"/>
      <c r="M210" s="139"/>
      <c r="N210" s="139"/>
      <c r="O210" s="139"/>
      <c r="P210" s="139"/>
      <c r="Q210" s="141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19.5" customHeight="1">
      <c r="A211" s="263"/>
      <c r="B211" s="264"/>
      <c r="C211" s="264"/>
      <c r="D211" s="264"/>
      <c r="E211" s="264"/>
      <c r="F211" s="264"/>
      <c r="G211" s="264"/>
      <c r="H211" s="265"/>
      <c r="I211" s="266"/>
      <c r="J211" s="139"/>
      <c r="K211" s="139"/>
      <c r="L211" s="139"/>
      <c r="M211" s="139"/>
      <c r="N211" s="139"/>
      <c r="O211" s="139"/>
      <c r="P211" s="139"/>
      <c r="Q211" s="141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18.75" customHeight="1">
      <c r="A212" s="139"/>
      <c r="B212" s="139"/>
      <c r="C212" s="139"/>
      <c r="D212" s="139"/>
      <c r="E212" s="139"/>
      <c r="F212" s="139"/>
      <c r="G212" s="139"/>
      <c r="H212" s="140"/>
      <c r="I212" s="139"/>
      <c r="J212" s="139"/>
      <c r="K212" s="139"/>
      <c r="L212" s="139"/>
      <c r="M212" s="139"/>
      <c r="N212" s="139"/>
      <c r="O212" s="139"/>
      <c r="P212" s="139"/>
      <c r="Q212" s="141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18.75" customHeight="1">
      <c r="A213" s="139"/>
      <c r="B213" s="139"/>
      <c r="C213" s="139"/>
      <c r="D213" s="139"/>
      <c r="E213" s="139"/>
      <c r="F213" s="139"/>
      <c r="G213" s="139"/>
      <c r="H213" s="140"/>
      <c r="I213" s="139"/>
      <c r="J213" s="139"/>
      <c r="K213" s="139"/>
      <c r="L213" s="139"/>
      <c r="M213" s="139"/>
      <c r="N213" s="139"/>
      <c r="O213" s="139"/>
      <c r="P213" s="139"/>
      <c r="Q213" s="141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18.75" customHeight="1">
      <c r="A214" s="139"/>
      <c r="B214" s="139"/>
      <c r="C214" s="139"/>
      <c r="D214" s="139"/>
      <c r="E214" s="139"/>
      <c r="F214" s="139"/>
      <c r="G214" s="139"/>
      <c r="H214" s="140"/>
      <c r="I214" s="139"/>
      <c r="J214" s="139"/>
      <c r="K214" s="139"/>
      <c r="L214" s="139"/>
      <c r="M214" s="139"/>
      <c r="N214" s="139"/>
      <c r="O214" s="139"/>
      <c r="P214" s="139"/>
      <c r="Q214" s="141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9:D19"/>
    <mergeCell ref="E20:H20"/>
    <mergeCell ref="C25:E25"/>
    <mergeCell ref="C159:E159"/>
    <mergeCell ref="C177:E177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44348.0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</row>
    <row r="7" ht="36.0" customHeight="1">
      <c r="A7" s="146" t="s">
        <v>6</v>
      </c>
      <c r="B7" s="147"/>
      <c r="C7" s="148" t="s">
        <v>75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</row>
    <row r="8" ht="26.25" customHeight="1">
      <c r="A8" s="153">
        <v>1.0</v>
      </c>
      <c r="B8" s="160" t="s">
        <v>56</v>
      </c>
      <c r="C8" s="154">
        <v>29.5</v>
      </c>
      <c r="D8" s="155">
        <v>0.0147</v>
      </c>
      <c r="E8" s="156">
        <f>252.181*13.036</f>
        <v>3287.431516</v>
      </c>
      <c r="F8" s="156"/>
      <c r="G8" s="156"/>
      <c r="H8" s="157">
        <v>13.036</v>
      </c>
      <c r="I8" s="158">
        <f t="shared" ref="I8:I13" si="1">+D8*E8</f>
        <v>48.32524329</v>
      </c>
      <c r="J8" s="159">
        <f t="shared" ref="J8:J13" si="2">E8-I8</f>
        <v>3239.106273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</row>
    <row r="9" ht="26.25" customHeight="1">
      <c r="A9" s="153">
        <v>2.0</v>
      </c>
      <c r="B9" s="160" t="s">
        <v>55</v>
      </c>
      <c r="C9" s="154">
        <v>29.5</v>
      </c>
      <c r="D9" s="161">
        <v>0.0155</v>
      </c>
      <c r="E9" s="162">
        <f>253.225*13.149</f>
        <v>3329.655525</v>
      </c>
      <c r="F9" s="162"/>
      <c r="G9" s="162"/>
      <c r="H9" s="157">
        <v>13.149</v>
      </c>
      <c r="I9" s="158">
        <f t="shared" si="1"/>
        <v>51.60966064</v>
      </c>
      <c r="J9" s="159">
        <f t="shared" si="2"/>
        <v>3278.045864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</row>
    <row r="10" ht="26.25" customHeight="1">
      <c r="A10" s="153">
        <v>3.0</v>
      </c>
      <c r="B10" s="160" t="s">
        <v>76</v>
      </c>
      <c r="C10" s="154">
        <v>22.5</v>
      </c>
      <c r="D10" s="155">
        <v>0.1086</v>
      </c>
      <c r="E10" s="156">
        <f>216.719*39.227</f>
        <v>8501.236213</v>
      </c>
      <c r="F10" s="156"/>
      <c r="G10" s="156"/>
      <c r="H10" s="157">
        <v>39.227</v>
      </c>
      <c r="I10" s="158">
        <f t="shared" si="1"/>
        <v>923.2342527</v>
      </c>
      <c r="J10" s="159">
        <f t="shared" si="2"/>
        <v>7578.00196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</row>
    <row r="11" ht="26.25" customHeight="1">
      <c r="A11" s="153">
        <v>4.0</v>
      </c>
      <c r="B11" s="160" t="s">
        <v>77</v>
      </c>
      <c r="C11" s="154">
        <v>16.5</v>
      </c>
      <c r="D11" s="161">
        <v>0.1057</v>
      </c>
      <c r="E11" s="162">
        <f>187.669*12.833</f>
        <v>2408.356277</v>
      </c>
      <c r="F11" s="162"/>
      <c r="G11" s="162"/>
      <c r="H11" s="157">
        <v>12.833</v>
      </c>
      <c r="I11" s="158">
        <f t="shared" si="1"/>
        <v>254.5632585</v>
      </c>
      <c r="J11" s="159">
        <f t="shared" si="2"/>
        <v>2153.793019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</row>
    <row r="12" ht="26.25" customHeight="1">
      <c r="A12" s="153">
        <v>5.0</v>
      </c>
      <c r="B12" s="160" t="s">
        <v>55</v>
      </c>
      <c r="C12" s="160">
        <v>20.5</v>
      </c>
      <c r="D12" s="161">
        <v>0.0155</v>
      </c>
      <c r="E12" s="162">
        <f>252.855*47.039</f>
        <v>11894.04635</v>
      </c>
      <c r="F12" s="162"/>
      <c r="G12" s="162"/>
      <c r="H12" s="157">
        <v>47.039</v>
      </c>
      <c r="I12" s="158">
        <f t="shared" si="1"/>
        <v>184.3577183</v>
      </c>
      <c r="J12" s="159">
        <f t="shared" si="2"/>
        <v>11709.68863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</row>
    <row r="13" ht="26.25" customHeight="1">
      <c r="A13" s="153">
        <v>6.0</v>
      </c>
      <c r="B13" s="160" t="s">
        <v>55</v>
      </c>
      <c r="C13" s="160">
        <v>29.5</v>
      </c>
      <c r="D13" s="161">
        <v>0.0155</v>
      </c>
      <c r="E13" s="162">
        <f>252.855*35.869</f>
        <v>9069.655995</v>
      </c>
      <c r="F13" s="162"/>
      <c r="G13" s="162"/>
      <c r="H13" s="157">
        <v>35.869</v>
      </c>
      <c r="I13" s="158">
        <f t="shared" si="1"/>
        <v>140.5796679</v>
      </c>
      <c r="J13" s="159">
        <f t="shared" si="2"/>
        <v>8929.076327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</row>
    <row r="14" ht="18.75" customHeight="1">
      <c r="A14" s="163"/>
      <c r="B14" s="164"/>
      <c r="C14" s="165"/>
      <c r="D14" s="166"/>
      <c r="E14" s="167">
        <f>SUM(E8:E13)</f>
        <v>38490.38187</v>
      </c>
      <c r="F14" s="168"/>
      <c r="G14" s="168"/>
      <c r="H14" s="169"/>
      <c r="I14" s="170">
        <f t="shared" ref="I14:J14" si="3">SUM(I8:I13)</f>
        <v>1602.669801</v>
      </c>
      <c r="J14" s="171">
        <f t="shared" si="3"/>
        <v>36887.71207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</row>
    <row r="15" ht="18.75" customHeight="1">
      <c r="A15" s="172"/>
      <c r="B15" s="144"/>
      <c r="C15" s="144"/>
      <c r="D15" s="173"/>
      <c r="E15" s="174"/>
      <c r="F15" s="151"/>
      <c r="G15" s="151"/>
      <c r="H15" s="147"/>
      <c r="I15" s="175"/>
      <c r="J15" s="139"/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</row>
    <row r="18" ht="18.75" customHeight="1">
      <c r="A18" s="139" t="s">
        <v>11</v>
      </c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</row>
    <row r="20" ht="40.5" customHeight="1">
      <c r="A20" s="176"/>
      <c r="B20" s="160" t="s">
        <v>12</v>
      </c>
      <c r="C20" s="177" t="s">
        <v>62</v>
      </c>
      <c r="D20" s="52"/>
      <c r="E20" s="53"/>
      <c r="F20" s="178"/>
      <c r="G20" s="178"/>
      <c r="H20" s="179" t="s">
        <v>14</v>
      </c>
      <c r="I20" s="160" t="s">
        <v>15</v>
      </c>
      <c r="J20" s="160" t="s">
        <v>16</v>
      </c>
      <c r="K20" s="139"/>
      <c r="L20" s="160" t="s">
        <v>17</v>
      </c>
      <c r="M20" s="160" t="s">
        <v>15</v>
      </c>
      <c r="N20" s="176" t="s">
        <v>18</v>
      </c>
      <c r="O20" s="139"/>
      <c r="P20" s="139"/>
      <c r="Q20" s="180"/>
      <c r="R20" s="160" t="s">
        <v>17</v>
      </c>
      <c r="S20" s="160" t="s">
        <v>15</v>
      </c>
      <c r="T20" s="176" t="s">
        <v>18</v>
      </c>
      <c r="U20" s="139"/>
      <c r="V20" s="176" t="s">
        <v>19</v>
      </c>
      <c r="W20" s="176" t="s">
        <v>20</v>
      </c>
      <c r="X20" s="176" t="s">
        <v>21</v>
      </c>
      <c r="Y20" s="176" t="s">
        <v>78</v>
      </c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</row>
    <row r="21" ht="27.0" customHeight="1">
      <c r="A21" s="181">
        <v>1.0</v>
      </c>
      <c r="B21" s="182" t="s">
        <v>65</v>
      </c>
      <c r="C21" s="183">
        <v>80.0</v>
      </c>
      <c r="D21" s="183">
        <v>184.0</v>
      </c>
      <c r="E21" s="183">
        <v>278.0</v>
      </c>
      <c r="F21" s="183">
        <f t="shared" ref="F21:F117" si="5">VALUE(IF(RIGHT(B21, 1)="%", RIGHT(B21, 3), 0))</f>
        <v>0.8</v>
      </c>
      <c r="G21" s="183">
        <f t="shared" ref="G21:G117" si="6">+Q21*C21/100*D21/100*E21/100</f>
        <v>120.71872</v>
      </c>
      <c r="H21" s="184">
        <f t="shared" ref="H21:H117" si="7">IF(F21=0, G21, F21*G21)</f>
        <v>96.574976</v>
      </c>
      <c r="I21" s="183">
        <v>1.0</v>
      </c>
      <c r="J21" s="193">
        <f t="shared" ref="J21:J117" si="8">+I21*H21</f>
        <v>96.574976</v>
      </c>
      <c r="K21" s="186"/>
      <c r="L21" s="187">
        <f>D21*25.4/1000</f>
        <v>4.6736</v>
      </c>
      <c r="M21" s="181">
        <f>+I21</f>
        <v>1</v>
      </c>
      <c r="N21" s="181">
        <f>M21*L21</f>
        <v>4.6736</v>
      </c>
      <c r="O21" s="186"/>
      <c r="P21" s="186"/>
      <c r="Q21" s="141">
        <v>29.5</v>
      </c>
      <c r="R21" s="187">
        <f t="shared" ref="R21:R118" si="9">E21/100</f>
        <v>2.78</v>
      </c>
      <c r="S21" s="181">
        <f t="shared" ref="S21:S118" si="10">I21</f>
        <v>1</v>
      </c>
      <c r="T21" s="181">
        <f t="shared" ref="T21:T118" si="11">S21*R21</f>
        <v>2.78</v>
      </c>
      <c r="U21" s="186">
        <f t="shared" ref="U21:U117" si="12">+Q21*C21/100*D21/100*E21/100</f>
        <v>120.71872</v>
      </c>
      <c r="V21" s="187">
        <f t="shared" ref="V21:W21" si="4">C21/100</f>
        <v>0.8</v>
      </c>
      <c r="W21" s="187">
        <f t="shared" si="4"/>
        <v>1.84</v>
      </c>
      <c r="X21" s="187">
        <f t="shared" ref="X21:X118" si="14">T21</f>
        <v>2.78</v>
      </c>
      <c r="Y21" s="189">
        <f t="shared" ref="Y21:Y118" si="15">V21*W21*X21</f>
        <v>4.09216</v>
      </c>
      <c r="Z21" s="186"/>
      <c r="AA21" s="186"/>
      <c r="AB21" s="186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</row>
    <row r="22" ht="27.0" customHeight="1">
      <c r="A22" s="181">
        <v>2.0</v>
      </c>
      <c r="B22" s="191" t="s">
        <v>56</v>
      </c>
      <c r="C22" s="191">
        <v>100.0</v>
      </c>
      <c r="D22" s="191">
        <v>184.0</v>
      </c>
      <c r="E22" s="191">
        <v>277.0</v>
      </c>
      <c r="F22" s="191">
        <f t="shared" si="5"/>
        <v>0</v>
      </c>
      <c r="G22" s="191">
        <f t="shared" si="6"/>
        <v>150.3556</v>
      </c>
      <c r="H22" s="192">
        <f t="shared" si="7"/>
        <v>150.3556</v>
      </c>
      <c r="I22" s="191">
        <v>1.0</v>
      </c>
      <c r="J22" s="193">
        <f t="shared" si="8"/>
        <v>150.3556</v>
      </c>
      <c r="K22" s="186"/>
      <c r="L22" s="187"/>
      <c r="M22" s="181"/>
      <c r="N22" s="181"/>
      <c r="O22" s="186"/>
      <c r="P22" s="186"/>
      <c r="Q22" s="141">
        <v>29.5</v>
      </c>
      <c r="R22" s="187">
        <f t="shared" si="9"/>
        <v>2.77</v>
      </c>
      <c r="S22" s="181">
        <f t="shared" si="10"/>
        <v>1</v>
      </c>
      <c r="T22" s="181">
        <f t="shared" si="11"/>
        <v>2.77</v>
      </c>
      <c r="U22" s="186">
        <f t="shared" si="12"/>
        <v>150.3556</v>
      </c>
      <c r="V22" s="187">
        <f t="shared" ref="V22:W22" si="13">C22/100</f>
        <v>1</v>
      </c>
      <c r="W22" s="187">
        <f t="shared" si="13"/>
        <v>1.84</v>
      </c>
      <c r="X22" s="187">
        <f t="shared" si="14"/>
        <v>2.77</v>
      </c>
      <c r="Y22" s="189">
        <f t="shared" si="15"/>
        <v>5.0968</v>
      </c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</row>
    <row r="23" ht="27.0" customHeight="1">
      <c r="A23" s="181">
        <v>3.0</v>
      </c>
      <c r="B23" s="191" t="s">
        <v>56</v>
      </c>
      <c r="C23" s="191">
        <v>102.0</v>
      </c>
      <c r="D23" s="191">
        <v>184.0</v>
      </c>
      <c r="E23" s="191">
        <v>277.0</v>
      </c>
      <c r="F23" s="191">
        <f t="shared" si="5"/>
        <v>0</v>
      </c>
      <c r="G23" s="191">
        <f t="shared" si="6"/>
        <v>153.362712</v>
      </c>
      <c r="H23" s="192">
        <f t="shared" si="7"/>
        <v>153.362712</v>
      </c>
      <c r="I23" s="191">
        <v>7.0</v>
      </c>
      <c r="J23" s="193">
        <f t="shared" si="8"/>
        <v>1073.538984</v>
      </c>
      <c r="K23" s="186"/>
      <c r="L23" s="187">
        <f t="shared" ref="L23:L38" si="17">D23*25.4/1000</f>
        <v>4.6736</v>
      </c>
      <c r="M23" s="181">
        <f t="shared" ref="M23:M41" si="18">+I23</f>
        <v>7</v>
      </c>
      <c r="N23" s="181">
        <f t="shared" ref="N23:N38" si="19">M23*L23</f>
        <v>32.7152</v>
      </c>
      <c r="O23" s="186"/>
      <c r="P23" s="186"/>
      <c r="Q23" s="141">
        <v>29.5</v>
      </c>
      <c r="R23" s="187">
        <f t="shared" si="9"/>
        <v>2.77</v>
      </c>
      <c r="S23" s="181">
        <f t="shared" si="10"/>
        <v>7</v>
      </c>
      <c r="T23" s="181">
        <f t="shared" si="11"/>
        <v>19.39</v>
      </c>
      <c r="U23" s="186">
        <f t="shared" si="12"/>
        <v>153.362712</v>
      </c>
      <c r="V23" s="187">
        <f t="shared" ref="V23:W23" si="16">C23/100</f>
        <v>1.02</v>
      </c>
      <c r="W23" s="187">
        <f t="shared" si="16"/>
        <v>1.84</v>
      </c>
      <c r="X23" s="187">
        <f t="shared" si="14"/>
        <v>19.39</v>
      </c>
      <c r="Y23" s="189">
        <f t="shared" si="15"/>
        <v>36.391152</v>
      </c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</row>
    <row r="24" ht="27.0" customHeight="1">
      <c r="A24" s="181">
        <v>4.0</v>
      </c>
      <c r="B24" s="191" t="s">
        <v>56</v>
      </c>
      <c r="C24" s="191">
        <v>101.0</v>
      </c>
      <c r="D24" s="191">
        <v>184.0</v>
      </c>
      <c r="E24" s="191">
        <v>278.0</v>
      </c>
      <c r="F24" s="191">
        <f t="shared" si="5"/>
        <v>0</v>
      </c>
      <c r="G24" s="191">
        <f t="shared" si="6"/>
        <v>152.407384</v>
      </c>
      <c r="H24" s="192">
        <f t="shared" si="7"/>
        <v>152.407384</v>
      </c>
      <c r="I24" s="191">
        <v>5.0</v>
      </c>
      <c r="J24" s="193">
        <f t="shared" si="8"/>
        <v>762.03692</v>
      </c>
      <c r="K24" s="186"/>
      <c r="L24" s="187">
        <f t="shared" si="17"/>
        <v>4.6736</v>
      </c>
      <c r="M24" s="181">
        <f t="shared" si="18"/>
        <v>5</v>
      </c>
      <c r="N24" s="181">
        <f t="shared" si="19"/>
        <v>23.368</v>
      </c>
      <c r="O24" s="186"/>
      <c r="P24" s="186"/>
      <c r="Q24" s="141">
        <v>29.5</v>
      </c>
      <c r="R24" s="187">
        <f t="shared" si="9"/>
        <v>2.78</v>
      </c>
      <c r="S24" s="181">
        <f t="shared" si="10"/>
        <v>5</v>
      </c>
      <c r="T24" s="181">
        <f t="shared" si="11"/>
        <v>13.9</v>
      </c>
      <c r="U24" s="186">
        <f t="shared" si="12"/>
        <v>152.407384</v>
      </c>
      <c r="V24" s="187">
        <f t="shared" ref="V24:W24" si="20">C24/100</f>
        <v>1.01</v>
      </c>
      <c r="W24" s="187">
        <f t="shared" si="20"/>
        <v>1.84</v>
      </c>
      <c r="X24" s="187">
        <f t="shared" si="14"/>
        <v>13.9</v>
      </c>
      <c r="Y24" s="189">
        <f t="shared" si="15"/>
        <v>25.83176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</row>
    <row r="25" ht="27.0" customHeight="1">
      <c r="A25" s="181">
        <v>5.0</v>
      </c>
      <c r="B25" s="191" t="s">
        <v>56</v>
      </c>
      <c r="C25" s="191">
        <v>100.0</v>
      </c>
      <c r="D25" s="191">
        <v>184.0</v>
      </c>
      <c r="E25" s="191">
        <v>164.0</v>
      </c>
      <c r="F25" s="191">
        <f t="shared" si="5"/>
        <v>0</v>
      </c>
      <c r="G25" s="191">
        <f t="shared" si="6"/>
        <v>89.0192</v>
      </c>
      <c r="H25" s="192">
        <f t="shared" si="7"/>
        <v>89.0192</v>
      </c>
      <c r="I25" s="191">
        <v>1.0</v>
      </c>
      <c r="J25" s="193">
        <f t="shared" si="8"/>
        <v>89.0192</v>
      </c>
      <c r="K25" s="186"/>
      <c r="L25" s="187">
        <f t="shared" si="17"/>
        <v>4.6736</v>
      </c>
      <c r="M25" s="181">
        <f t="shared" si="18"/>
        <v>1</v>
      </c>
      <c r="N25" s="181">
        <f t="shared" si="19"/>
        <v>4.6736</v>
      </c>
      <c r="O25" s="186"/>
      <c r="P25" s="186"/>
      <c r="Q25" s="141">
        <v>29.5</v>
      </c>
      <c r="R25" s="187">
        <f t="shared" si="9"/>
        <v>1.64</v>
      </c>
      <c r="S25" s="181">
        <f t="shared" si="10"/>
        <v>1</v>
      </c>
      <c r="T25" s="181">
        <f t="shared" si="11"/>
        <v>1.64</v>
      </c>
      <c r="U25" s="186">
        <f t="shared" si="12"/>
        <v>89.0192</v>
      </c>
      <c r="V25" s="187">
        <f t="shared" ref="V25:W25" si="21">C25/100</f>
        <v>1</v>
      </c>
      <c r="W25" s="187">
        <f t="shared" si="21"/>
        <v>1.84</v>
      </c>
      <c r="X25" s="187">
        <f t="shared" si="14"/>
        <v>1.64</v>
      </c>
      <c r="Y25" s="189">
        <f t="shared" si="15"/>
        <v>3.0176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</row>
    <row r="26" ht="27.0" customHeight="1">
      <c r="A26" s="181">
        <v>6.0</v>
      </c>
      <c r="B26" s="191" t="s">
        <v>56</v>
      </c>
      <c r="C26" s="191">
        <v>102.0</v>
      </c>
      <c r="D26" s="191">
        <v>184.0</v>
      </c>
      <c r="E26" s="191">
        <v>162.0</v>
      </c>
      <c r="F26" s="191">
        <f t="shared" si="5"/>
        <v>0</v>
      </c>
      <c r="G26" s="191">
        <f t="shared" si="6"/>
        <v>89.692272</v>
      </c>
      <c r="H26" s="192">
        <f t="shared" si="7"/>
        <v>89.692272</v>
      </c>
      <c r="I26" s="191">
        <v>1.0</v>
      </c>
      <c r="J26" s="193">
        <f t="shared" si="8"/>
        <v>89.692272</v>
      </c>
      <c r="K26" s="186"/>
      <c r="L26" s="187">
        <f t="shared" si="17"/>
        <v>4.6736</v>
      </c>
      <c r="M26" s="181">
        <f t="shared" si="18"/>
        <v>1</v>
      </c>
      <c r="N26" s="181">
        <f t="shared" si="19"/>
        <v>4.6736</v>
      </c>
      <c r="O26" s="186"/>
      <c r="P26" s="186"/>
      <c r="Q26" s="141">
        <v>29.5</v>
      </c>
      <c r="R26" s="187">
        <f t="shared" si="9"/>
        <v>1.62</v>
      </c>
      <c r="S26" s="181">
        <f t="shared" si="10"/>
        <v>1</v>
      </c>
      <c r="T26" s="181">
        <f t="shared" si="11"/>
        <v>1.62</v>
      </c>
      <c r="U26" s="186">
        <f t="shared" si="12"/>
        <v>89.692272</v>
      </c>
      <c r="V26" s="187">
        <f t="shared" ref="V26:W26" si="22">C26/100</f>
        <v>1.02</v>
      </c>
      <c r="W26" s="187">
        <f t="shared" si="22"/>
        <v>1.84</v>
      </c>
      <c r="X26" s="187">
        <f t="shared" si="14"/>
        <v>1.62</v>
      </c>
      <c r="Y26" s="189">
        <f t="shared" si="15"/>
        <v>3.040416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</row>
    <row r="27" ht="27.0" customHeight="1">
      <c r="A27" s="181">
        <v>7.0</v>
      </c>
      <c r="B27" s="191" t="s">
        <v>56</v>
      </c>
      <c r="C27" s="191">
        <v>101.0</v>
      </c>
      <c r="D27" s="191">
        <v>184.0</v>
      </c>
      <c r="E27" s="191">
        <v>162.0</v>
      </c>
      <c r="F27" s="191">
        <f t="shared" si="5"/>
        <v>0</v>
      </c>
      <c r="G27" s="191">
        <f t="shared" si="6"/>
        <v>88.812936</v>
      </c>
      <c r="H27" s="192">
        <f t="shared" si="7"/>
        <v>88.812936</v>
      </c>
      <c r="I27" s="191">
        <v>3.0</v>
      </c>
      <c r="J27" s="193">
        <f t="shared" si="8"/>
        <v>266.438808</v>
      </c>
      <c r="K27" s="186"/>
      <c r="L27" s="187">
        <f t="shared" si="17"/>
        <v>4.6736</v>
      </c>
      <c r="M27" s="181">
        <f t="shared" si="18"/>
        <v>3</v>
      </c>
      <c r="N27" s="181">
        <f t="shared" si="19"/>
        <v>14.0208</v>
      </c>
      <c r="O27" s="186"/>
      <c r="P27" s="186"/>
      <c r="Q27" s="141">
        <v>29.5</v>
      </c>
      <c r="R27" s="187">
        <f t="shared" si="9"/>
        <v>1.62</v>
      </c>
      <c r="S27" s="181">
        <f t="shared" si="10"/>
        <v>3</v>
      </c>
      <c r="T27" s="181">
        <f t="shared" si="11"/>
        <v>4.86</v>
      </c>
      <c r="U27" s="186">
        <f t="shared" si="12"/>
        <v>88.812936</v>
      </c>
      <c r="V27" s="187">
        <f t="shared" ref="V27:W27" si="23">C27/100</f>
        <v>1.01</v>
      </c>
      <c r="W27" s="187">
        <f t="shared" si="23"/>
        <v>1.84</v>
      </c>
      <c r="X27" s="187">
        <f t="shared" si="14"/>
        <v>4.86</v>
      </c>
      <c r="Y27" s="189">
        <f t="shared" si="15"/>
        <v>9.031824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</row>
    <row r="28" ht="27.0" customHeight="1">
      <c r="A28" s="181">
        <v>8.0</v>
      </c>
      <c r="B28" s="191" t="s">
        <v>56</v>
      </c>
      <c r="C28" s="191">
        <v>102.0</v>
      </c>
      <c r="D28" s="191">
        <v>184.0</v>
      </c>
      <c r="E28" s="191">
        <v>175.0</v>
      </c>
      <c r="F28" s="191">
        <f t="shared" si="5"/>
        <v>0</v>
      </c>
      <c r="G28" s="191">
        <f t="shared" si="6"/>
        <v>96.8898</v>
      </c>
      <c r="H28" s="192">
        <f t="shared" si="7"/>
        <v>96.8898</v>
      </c>
      <c r="I28" s="191">
        <v>1.0</v>
      </c>
      <c r="J28" s="193">
        <f t="shared" si="8"/>
        <v>96.8898</v>
      </c>
      <c r="K28" s="186"/>
      <c r="L28" s="187">
        <f t="shared" si="17"/>
        <v>4.6736</v>
      </c>
      <c r="M28" s="181">
        <f t="shared" si="18"/>
        <v>1</v>
      </c>
      <c r="N28" s="181">
        <f t="shared" si="19"/>
        <v>4.6736</v>
      </c>
      <c r="O28" s="186"/>
      <c r="P28" s="186"/>
      <c r="Q28" s="141">
        <v>29.5</v>
      </c>
      <c r="R28" s="187">
        <f t="shared" si="9"/>
        <v>1.75</v>
      </c>
      <c r="S28" s="181">
        <f t="shared" si="10"/>
        <v>1</v>
      </c>
      <c r="T28" s="181">
        <f t="shared" si="11"/>
        <v>1.75</v>
      </c>
      <c r="U28" s="186">
        <f t="shared" si="12"/>
        <v>96.8898</v>
      </c>
      <c r="V28" s="187">
        <f t="shared" ref="V28:W28" si="24">C28/100</f>
        <v>1.02</v>
      </c>
      <c r="W28" s="187">
        <f t="shared" si="24"/>
        <v>1.84</v>
      </c>
      <c r="X28" s="187">
        <f t="shared" si="14"/>
        <v>1.75</v>
      </c>
      <c r="Y28" s="189">
        <f t="shared" si="15"/>
        <v>3.2844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9.0</v>
      </c>
      <c r="B29" s="191" t="s">
        <v>56</v>
      </c>
      <c r="C29" s="191">
        <v>87.0</v>
      </c>
      <c r="D29" s="191">
        <v>184.0</v>
      </c>
      <c r="E29" s="191">
        <v>193.0</v>
      </c>
      <c r="F29" s="191">
        <f t="shared" si="5"/>
        <v>0</v>
      </c>
      <c r="G29" s="191">
        <f t="shared" si="6"/>
        <v>91.141548</v>
      </c>
      <c r="H29" s="192">
        <f t="shared" si="7"/>
        <v>91.141548</v>
      </c>
      <c r="I29" s="191">
        <v>1.0</v>
      </c>
      <c r="J29" s="193">
        <f t="shared" si="8"/>
        <v>91.141548</v>
      </c>
      <c r="K29" s="186"/>
      <c r="L29" s="187">
        <f t="shared" si="17"/>
        <v>4.6736</v>
      </c>
      <c r="M29" s="181">
        <f t="shared" si="18"/>
        <v>1</v>
      </c>
      <c r="N29" s="181">
        <f t="shared" si="19"/>
        <v>4.6736</v>
      </c>
      <c r="O29" s="186"/>
      <c r="P29" s="186"/>
      <c r="Q29" s="141">
        <v>29.5</v>
      </c>
      <c r="R29" s="187">
        <f t="shared" si="9"/>
        <v>1.93</v>
      </c>
      <c r="S29" s="181">
        <f t="shared" si="10"/>
        <v>1</v>
      </c>
      <c r="T29" s="181">
        <f t="shared" si="11"/>
        <v>1.93</v>
      </c>
      <c r="U29" s="186">
        <f t="shared" si="12"/>
        <v>91.141548</v>
      </c>
      <c r="V29" s="187">
        <f t="shared" ref="V29:W29" si="25">C29/100</f>
        <v>0.87</v>
      </c>
      <c r="W29" s="187">
        <f t="shared" si="25"/>
        <v>1.84</v>
      </c>
      <c r="X29" s="187">
        <f t="shared" si="14"/>
        <v>1.93</v>
      </c>
      <c r="Y29" s="189">
        <f t="shared" si="15"/>
        <v>3.089544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10.0</v>
      </c>
      <c r="B30" s="182" t="s">
        <v>64</v>
      </c>
      <c r="C30" s="183">
        <v>92.0</v>
      </c>
      <c r="D30" s="183">
        <v>194.0</v>
      </c>
      <c r="E30" s="183">
        <v>184.0</v>
      </c>
      <c r="F30" s="183">
        <f t="shared" si="5"/>
        <v>0.8</v>
      </c>
      <c r="G30" s="183">
        <f t="shared" si="6"/>
        <v>96.878944</v>
      </c>
      <c r="H30" s="184">
        <f t="shared" si="7"/>
        <v>77.5031552</v>
      </c>
      <c r="I30" s="183">
        <v>1.0</v>
      </c>
      <c r="J30" s="193">
        <f t="shared" si="8"/>
        <v>77.5031552</v>
      </c>
      <c r="K30" s="186"/>
      <c r="L30" s="187">
        <f t="shared" si="17"/>
        <v>4.9276</v>
      </c>
      <c r="M30" s="181">
        <f t="shared" si="18"/>
        <v>1</v>
      </c>
      <c r="N30" s="181">
        <f t="shared" si="19"/>
        <v>4.9276</v>
      </c>
      <c r="O30" s="186"/>
      <c r="P30" s="186"/>
      <c r="Q30" s="141">
        <v>29.5</v>
      </c>
      <c r="R30" s="187">
        <f t="shared" si="9"/>
        <v>1.84</v>
      </c>
      <c r="S30" s="181">
        <f t="shared" si="10"/>
        <v>1</v>
      </c>
      <c r="T30" s="181">
        <f t="shared" si="11"/>
        <v>1.84</v>
      </c>
      <c r="U30" s="186">
        <f t="shared" si="12"/>
        <v>96.878944</v>
      </c>
      <c r="V30" s="187">
        <f t="shared" ref="V30:W30" si="26">C30/100</f>
        <v>0.92</v>
      </c>
      <c r="W30" s="187">
        <f t="shared" si="26"/>
        <v>1.94</v>
      </c>
      <c r="X30" s="187">
        <f t="shared" si="14"/>
        <v>1.84</v>
      </c>
      <c r="Y30" s="189">
        <f t="shared" si="15"/>
        <v>3.284032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11.0</v>
      </c>
      <c r="B31" s="191" t="s">
        <v>55</v>
      </c>
      <c r="C31" s="191">
        <v>102.0</v>
      </c>
      <c r="D31" s="191">
        <v>194.0</v>
      </c>
      <c r="E31" s="191">
        <v>193.0</v>
      </c>
      <c r="F31" s="191">
        <f t="shared" si="5"/>
        <v>0</v>
      </c>
      <c r="G31" s="191">
        <f t="shared" si="6"/>
        <v>112.662978</v>
      </c>
      <c r="H31" s="192">
        <f t="shared" si="7"/>
        <v>112.662978</v>
      </c>
      <c r="I31" s="191">
        <v>1.0</v>
      </c>
      <c r="J31" s="193">
        <f t="shared" si="8"/>
        <v>112.662978</v>
      </c>
      <c r="K31" s="186"/>
      <c r="L31" s="187">
        <f t="shared" si="17"/>
        <v>4.9276</v>
      </c>
      <c r="M31" s="181">
        <f t="shared" si="18"/>
        <v>1</v>
      </c>
      <c r="N31" s="181">
        <f t="shared" si="19"/>
        <v>4.9276</v>
      </c>
      <c r="O31" s="186"/>
      <c r="P31" s="186"/>
      <c r="Q31" s="141">
        <v>29.5</v>
      </c>
      <c r="R31" s="187">
        <f t="shared" si="9"/>
        <v>1.93</v>
      </c>
      <c r="S31" s="181">
        <f t="shared" si="10"/>
        <v>1</v>
      </c>
      <c r="T31" s="181">
        <f t="shared" si="11"/>
        <v>1.93</v>
      </c>
      <c r="U31" s="186">
        <f t="shared" si="12"/>
        <v>112.662978</v>
      </c>
      <c r="V31" s="187">
        <f t="shared" ref="V31:W31" si="27">C31/100</f>
        <v>1.02</v>
      </c>
      <c r="W31" s="187">
        <f t="shared" si="27"/>
        <v>1.94</v>
      </c>
      <c r="X31" s="187">
        <f t="shared" si="14"/>
        <v>1.93</v>
      </c>
      <c r="Y31" s="189">
        <f t="shared" si="15"/>
        <v>3.819084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12.0</v>
      </c>
      <c r="B32" s="191" t="s">
        <v>55</v>
      </c>
      <c r="C32" s="191">
        <v>100.0</v>
      </c>
      <c r="D32" s="191">
        <v>194.0</v>
      </c>
      <c r="E32" s="191">
        <v>194.0</v>
      </c>
      <c r="F32" s="191">
        <f t="shared" si="5"/>
        <v>0</v>
      </c>
      <c r="G32" s="191">
        <f t="shared" si="6"/>
        <v>111.0262</v>
      </c>
      <c r="H32" s="192">
        <f t="shared" si="7"/>
        <v>111.0262</v>
      </c>
      <c r="I32" s="191">
        <v>5.0</v>
      </c>
      <c r="J32" s="193">
        <f t="shared" si="8"/>
        <v>555.131</v>
      </c>
      <c r="K32" s="186"/>
      <c r="L32" s="187">
        <f t="shared" si="17"/>
        <v>4.9276</v>
      </c>
      <c r="M32" s="181">
        <f t="shared" si="18"/>
        <v>5</v>
      </c>
      <c r="N32" s="181">
        <f t="shared" si="19"/>
        <v>24.638</v>
      </c>
      <c r="O32" s="186"/>
      <c r="P32" s="186"/>
      <c r="Q32" s="141">
        <v>29.5</v>
      </c>
      <c r="R32" s="187">
        <f t="shared" si="9"/>
        <v>1.94</v>
      </c>
      <c r="S32" s="181">
        <f t="shared" si="10"/>
        <v>5</v>
      </c>
      <c r="T32" s="181">
        <f t="shared" si="11"/>
        <v>9.7</v>
      </c>
      <c r="U32" s="186">
        <f t="shared" si="12"/>
        <v>111.0262</v>
      </c>
      <c r="V32" s="187">
        <f t="shared" ref="V32:W32" si="28">C32/100</f>
        <v>1</v>
      </c>
      <c r="W32" s="187">
        <f t="shared" si="28"/>
        <v>1.94</v>
      </c>
      <c r="X32" s="187">
        <f t="shared" si="14"/>
        <v>9.7</v>
      </c>
      <c r="Y32" s="189">
        <f t="shared" si="15"/>
        <v>18.818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13.0</v>
      </c>
      <c r="B33" s="191" t="s">
        <v>55</v>
      </c>
      <c r="C33" s="191">
        <v>101.0</v>
      </c>
      <c r="D33" s="191">
        <v>194.0</v>
      </c>
      <c r="E33" s="191">
        <v>183.0</v>
      </c>
      <c r="F33" s="191">
        <f t="shared" si="5"/>
        <v>0</v>
      </c>
      <c r="G33" s="191">
        <f t="shared" si="6"/>
        <v>105.778209</v>
      </c>
      <c r="H33" s="192">
        <f t="shared" si="7"/>
        <v>105.778209</v>
      </c>
      <c r="I33" s="191">
        <v>2.0</v>
      </c>
      <c r="J33" s="193">
        <f t="shared" si="8"/>
        <v>211.556418</v>
      </c>
      <c r="K33" s="186"/>
      <c r="L33" s="187">
        <f t="shared" si="17"/>
        <v>4.9276</v>
      </c>
      <c r="M33" s="181">
        <f t="shared" si="18"/>
        <v>2</v>
      </c>
      <c r="N33" s="181">
        <f t="shared" si="19"/>
        <v>9.8552</v>
      </c>
      <c r="O33" s="186"/>
      <c r="P33" s="186"/>
      <c r="Q33" s="141">
        <v>29.5</v>
      </c>
      <c r="R33" s="187">
        <f t="shared" si="9"/>
        <v>1.83</v>
      </c>
      <c r="S33" s="181">
        <f t="shared" si="10"/>
        <v>2</v>
      </c>
      <c r="T33" s="181">
        <f t="shared" si="11"/>
        <v>3.66</v>
      </c>
      <c r="U33" s="186">
        <f t="shared" si="12"/>
        <v>105.778209</v>
      </c>
      <c r="V33" s="187">
        <f t="shared" ref="V33:W33" si="29">C33/100</f>
        <v>1.01</v>
      </c>
      <c r="W33" s="187">
        <f t="shared" si="29"/>
        <v>1.94</v>
      </c>
      <c r="X33" s="187">
        <f t="shared" si="14"/>
        <v>3.66</v>
      </c>
      <c r="Y33" s="189">
        <f t="shared" si="15"/>
        <v>7.171404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14.0</v>
      </c>
      <c r="B34" s="191" t="s">
        <v>55</v>
      </c>
      <c r="C34" s="191">
        <v>101.0</v>
      </c>
      <c r="D34" s="191">
        <v>194.0</v>
      </c>
      <c r="E34" s="191">
        <v>184.0</v>
      </c>
      <c r="F34" s="191">
        <f t="shared" si="5"/>
        <v>0</v>
      </c>
      <c r="G34" s="191">
        <f t="shared" si="6"/>
        <v>106.356232</v>
      </c>
      <c r="H34" s="192">
        <f t="shared" si="7"/>
        <v>106.356232</v>
      </c>
      <c r="I34" s="191">
        <v>3.0</v>
      </c>
      <c r="J34" s="193">
        <f t="shared" si="8"/>
        <v>319.068696</v>
      </c>
      <c r="K34" s="186"/>
      <c r="L34" s="187">
        <f t="shared" si="17"/>
        <v>4.9276</v>
      </c>
      <c r="M34" s="181">
        <f t="shared" si="18"/>
        <v>3</v>
      </c>
      <c r="N34" s="181">
        <f t="shared" si="19"/>
        <v>14.7828</v>
      </c>
      <c r="O34" s="186"/>
      <c r="P34" s="186"/>
      <c r="Q34" s="141">
        <v>29.5</v>
      </c>
      <c r="R34" s="187">
        <f t="shared" si="9"/>
        <v>1.84</v>
      </c>
      <c r="S34" s="181">
        <f t="shared" si="10"/>
        <v>3</v>
      </c>
      <c r="T34" s="181">
        <f t="shared" si="11"/>
        <v>5.52</v>
      </c>
      <c r="U34" s="186">
        <f t="shared" si="12"/>
        <v>106.356232</v>
      </c>
      <c r="V34" s="187">
        <f t="shared" ref="V34:W34" si="30">C34/100</f>
        <v>1.01</v>
      </c>
      <c r="W34" s="187">
        <f t="shared" si="30"/>
        <v>1.94</v>
      </c>
      <c r="X34" s="187">
        <f t="shared" si="14"/>
        <v>5.52</v>
      </c>
      <c r="Y34" s="189">
        <f t="shared" si="15"/>
        <v>10.815888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15.0</v>
      </c>
      <c r="B35" s="191" t="s">
        <v>55</v>
      </c>
      <c r="C35" s="191">
        <v>101.0</v>
      </c>
      <c r="D35" s="191">
        <v>194.0</v>
      </c>
      <c r="E35" s="191">
        <v>193.0</v>
      </c>
      <c r="F35" s="191">
        <f t="shared" si="5"/>
        <v>0</v>
      </c>
      <c r="G35" s="191">
        <f t="shared" si="6"/>
        <v>111.558439</v>
      </c>
      <c r="H35" s="192">
        <f t="shared" si="7"/>
        <v>111.558439</v>
      </c>
      <c r="I35" s="191">
        <v>1.0</v>
      </c>
      <c r="J35" s="193">
        <f t="shared" si="8"/>
        <v>111.558439</v>
      </c>
      <c r="K35" s="186"/>
      <c r="L35" s="187">
        <f t="shared" si="17"/>
        <v>4.9276</v>
      </c>
      <c r="M35" s="181">
        <f t="shared" si="18"/>
        <v>1</v>
      </c>
      <c r="N35" s="181">
        <f t="shared" si="19"/>
        <v>4.9276</v>
      </c>
      <c r="O35" s="186"/>
      <c r="P35" s="186"/>
      <c r="Q35" s="141">
        <v>29.5</v>
      </c>
      <c r="R35" s="187">
        <f t="shared" si="9"/>
        <v>1.93</v>
      </c>
      <c r="S35" s="181">
        <f t="shared" si="10"/>
        <v>1</v>
      </c>
      <c r="T35" s="181">
        <f t="shared" si="11"/>
        <v>1.93</v>
      </c>
      <c r="U35" s="186">
        <f t="shared" si="12"/>
        <v>111.558439</v>
      </c>
      <c r="V35" s="187">
        <f t="shared" ref="V35:W35" si="31">C35/100</f>
        <v>1.01</v>
      </c>
      <c r="W35" s="187">
        <f t="shared" si="31"/>
        <v>1.94</v>
      </c>
      <c r="X35" s="187">
        <f t="shared" si="14"/>
        <v>1.93</v>
      </c>
      <c r="Y35" s="189">
        <f t="shared" si="15"/>
        <v>3.781642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16.0</v>
      </c>
      <c r="B36" s="191" t="s">
        <v>55</v>
      </c>
      <c r="C36" s="191">
        <v>98.0</v>
      </c>
      <c r="D36" s="191">
        <v>194.0</v>
      </c>
      <c r="E36" s="191">
        <v>245.0</v>
      </c>
      <c r="F36" s="191">
        <f t="shared" si="5"/>
        <v>0</v>
      </c>
      <c r="G36" s="191">
        <f t="shared" si="6"/>
        <v>137.40923</v>
      </c>
      <c r="H36" s="192">
        <f t="shared" si="7"/>
        <v>137.40923</v>
      </c>
      <c r="I36" s="191">
        <v>3.0</v>
      </c>
      <c r="J36" s="193">
        <f t="shared" si="8"/>
        <v>412.22769</v>
      </c>
      <c r="K36" s="186"/>
      <c r="L36" s="187">
        <f t="shared" si="17"/>
        <v>4.9276</v>
      </c>
      <c r="M36" s="181">
        <f t="shared" si="18"/>
        <v>3</v>
      </c>
      <c r="N36" s="181">
        <f t="shared" si="19"/>
        <v>14.7828</v>
      </c>
      <c r="O36" s="186"/>
      <c r="P36" s="186"/>
      <c r="Q36" s="141">
        <v>29.5</v>
      </c>
      <c r="R36" s="187">
        <f t="shared" si="9"/>
        <v>2.45</v>
      </c>
      <c r="S36" s="181">
        <f t="shared" si="10"/>
        <v>3</v>
      </c>
      <c r="T36" s="181">
        <f t="shared" si="11"/>
        <v>7.35</v>
      </c>
      <c r="U36" s="186">
        <f t="shared" si="12"/>
        <v>137.40923</v>
      </c>
      <c r="V36" s="187">
        <f t="shared" ref="V36:W36" si="32">C36/100</f>
        <v>0.98</v>
      </c>
      <c r="W36" s="187">
        <f t="shared" si="32"/>
        <v>1.94</v>
      </c>
      <c r="X36" s="187">
        <f t="shared" si="14"/>
        <v>7.35</v>
      </c>
      <c r="Y36" s="189">
        <f t="shared" si="15"/>
        <v>13.97382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17.0</v>
      </c>
      <c r="B37" s="191" t="s">
        <v>55</v>
      </c>
      <c r="C37" s="191">
        <v>100.0</v>
      </c>
      <c r="D37" s="191">
        <v>194.0</v>
      </c>
      <c r="E37" s="191">
        <v>246.0</v>
      </c>
      <c r="F37" s="191">
        <f t="shared" si="5"/>
        <v>0</v>
      </c>
      <c r="G37" s="191">
        <f t="shared" si="6"/>
        <v>140.7858</v>
      </c>
      <c r="H37" s="192">
        <f t="shared" si="7"/>
        <v>140.7858</v>
      </c>
      <c r="I37" s="191">
        <v>3.0</v>
      </c>
      <c r="J37" s="193">
        <f t="shared" si="8"/>
        <v>422.3574</v>
      </c>
      <c r="K37" s="186"/>
      <c r="L37" s="187">
        <f t="shared" si="17"/>
        <v>4.9276</v>
      </c>
      <c r="M37" s="181">
        <f t="shared" si="18"/>
        <v>3</v>
      </c>
      <c r="N37" s="181">
        <f t="shared" si="19"/>
        <v>14.7828</v>
      </c>
      <c r="O37" s="186"/>
      <c r="P37" s="186"/>
      <c r="Q37" s="141">
        <v>29.5</v>
      </c>
      <c r="R37" s="187">
        <f t="shared" si="9"/>
        <v>2.46</v>
      </c>
      <c r="S37" s="181">
        <f t="shared" si="10"/>
        <v>3</v>
      </c>
      <c r="T37" s="181">
        <f t="shared" si="11"/>
        <v>7.38</v>
      </c>
      <c r="U37" s="186">
        <f t="shared" si="12"/>
        <v>140.7858</v>
      </c>
      <c r="V37" s="187">
        <f t="shared" ref="V37:W37" si="33">C37/100</f>
        <v>1</v>
      </c>
      <c r="W37" s="187">
        <f t="shared" si="33"/>
        <v>1.94</v>
      </c>
      <c r="X37" s="187">
        <f t="shared" si="14"/>
        <v>7.38</v>
      </c>
      <c r="Y37" s="189">
        <f t="shared" si="15"/>
        <v>14.3172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18.0</v>
      </c>
      <c r="B38" s="191" t="s">
        <v>55</v>
      </c>
      <c r="C38" s="191">
        <v>83.0</v>
      </c>
      <c r="D38" s="191">
        <v>194.0</v>
      </c>
      <c r="E38" s="191">
        <v>245.0</v>
      </c>
      <c r="F38" s="191">
        <f t="shared" si="5"/>
        <v>0</v>
      </c>
      <c r="G38" s="191">
        <f t="shared" si="6"/>
        <v>116.377205</v>
      </c>
      <c r="H38" s="192">
        <f t="shared" si="7"/>
        <v>116.377205</v>
      </c>
      <c r="I38" s="191">
        <v>1.0</v>
      </c>
      <c r="J38" s="193">
        <f t="shared" si="8"/>
        <v>116.377205</v>
      </c>
      <c r="K38" s="186"/>
      <c r="L38" s="164">
        <f t="shared" si="17"/>
        <v>4.9276</v>
      </c>
      <c r="M38" s="195">
        <f t="shared" si="18"/>
        <v>1</v>
      </c>
      <c r="N38" s="195">
        <f t="shared" si="19"/>
        <v>4.9276</v>
      </c>
      <c r="O38" s="186"/>
      <c r="P38" s="186"/>
      <c r="Q38" s="141">
        <v>29.5</v>
      </c>
      <c r="R38" s="187">
        <f t="shared" si="9"/>
        <v>2.45</v>
      </c>
      <c r="S38" s="181">
        <f t="shared" si="10"/>
        <v>1</v>
      </c>
      <c r="T38" s="181">
        <f t="shared" si="11"/>
        <v>2.45</v>
      </c>
      <c r="U38" s="186">
        <f t="shared" si="12"/>
        <v>116.377205</v>
      </c>
      <c r="V38" s="187">
        <f t="shared" ref="V38:W38" si="34">C38/100</f>
        <v>0.83</v>
      </c>
      <c r="W38" s="187">
        <f t="shared" si="34"/>
        <v>1.94</v>
      </c>
      <c r="X38" s="187">
        <f t="shared" si="14"/>
        <v>2.45</v>
      </c>
      <c r="Y38" s="189">
        <f t="shared" si="15"/>
        <v>3.94499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19.0</v>
      </c>
      <c r="B39" s="191" t="s">
        <v>55</v>
      </c>
      <c r="C39" s="191">
        <v>100.0</v>
      </c>
      <c r="D39" s="191">
        <v>194.0</v>
      </c>
      <c r="E39" s="191">
        <v>245.0</v>
      </c>
      <c r="F39" s="191">
        <f t="shared" si="5"/>
        <v>0</v>
      </c>
      <c r="G39" s="191">
        <f t="shared" si="6"/>
        <v>140.2135</v>
      </c>
      <c r="H39" s="192">
        <f t="shared" si="7"/>
        <v>140.2135</v>
      </c>
      <c r="I39" s="191">
        <v>1.0</v>
      </c>
      <c r="J39" s="193">
        <f t="shared" si="8"/>
        <v>140.2135</v>
      </c>
      <c r="K39" s="186"/>
      <c r="L39" s="164"/>
      <c r="M39" s="195">
        <f t="shared" si="18"/>
        <v>1</v>
      </c>
      <c r="N39" s="195"/>
      <c r="O39" s="186"/>
      <c r="P39" s="186"/>
      <c r="Q39" s="141">
        <v>29.5</v>
      </c>
      <c r="R39" s="187">
        <f t="shared" si="9"/>
        <v>2.45</v>
      </c>
      <c r="S39" s="181">
        <f t="shared" si="10"/>
        <v>1</v>
      </c>
      <c r="T39" s="181">
        <f t="shared" si="11"/>
        <v>2.45</v>
      </c>
      <c r="U39" s="186">
        <f t="shared" si="12"/>
        <v>140.2135</v>
      </c>
      <c r="V39" s="187">
        <f t="shared" ref="V39:W39" si="35">C39/100</f>
        <v>1</v>
      </c>
      <c r="W39" s="187">
        <f t="shared" si="35"/>
        <v>1.94</v>
      </c>
      <c r="X39" s="187">
        <f t="shared" si="14"/>
        <v>2.45</v>
      </c>
      <c r="Y39" s="189">
        <f t="shared" si="15"/>
        <v>4.753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20.0</v>
      </c>
      <c r="B40" s="191" t="s">
        <v>55</v>
      </c>
      <c r="C40" s="191">
        <v>98.0</v>
      </c>
      <c r="D40" s="191">
        <v>194.0</v>
      </c>
      <c r="E40" s="191">
        <v>199.0</v>
      </c>
      <c r="F40" s="191">
        <f t="shared" si="5"/>
        <v>0</v>
      </c>
      <c r="G40" s="191">
        <f t="shared" si="6"/>
        <v>111.609946</v>
      </c>
      <c r="H40" s="192">
        <f t="shared" si="7"/>
        <v>111.609946</v>
      </c>
      <c r="I40" s="191">
        <v>1.0</v>
      </c>
      <c r="J40" s="193">
        <f t="shared" si="8"/>
        <v>111.609946</v>
      </c>
      <c r="K40" s="186"/>
      <c r="L40" s="164"/>
      <c r="M40" s="195">
        <f t="shared" si="18"/>
        <v>1</v>
      </c>
      <c r="N40" s="195"/>
      <c r="O40" s="186"/>
      <c r="P40" s="186"/>
      <c r="Q40" s="141">
        <v>29.5</v>
      </c>
      <c r="R40" s="187">
        <f t="shared" si="9"/>
        <v>1.99</v>
      </c>
      <c r="S40" s="181">
        <f t="shared" si="10"/>
        <v>1</v>
      </c>
      <c r="T40" s="181">
        <f t="shared" si="11"/>
        <v>1.99</v>
      </c>
      <c r="U40" s="186">
        <f t="shared" si="12"/>
        <v>111.609946</v>
      </c>
      <c r="V40" s="187">
        <f t="shared" ref="V40:W40" si="36">C40/100</f>
        <v>0.98</v>
      </c>
      <c r="W40" s="187">
        <f t="shared" si="36"/>
        <v>1.94</v>
      </c>
      <c r="X40" s="187">
        <f t="shared" si="14"/>
        <v>1.99</v>
      </c>
      <c r="Y40" s="189">
        <f t="shared" si="15"/>
        <v>3.783388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21.0</v>
      </c>
      <c r="B41" s="191" t="s">
        <v>55</v>
      </c>
      <c r="C41" s="191">
        <v>100.0</v>
      </c>
      <c r="D41" s="191">
        <v>194.0</v>
      </c>
      <c r="E41" s="191">
        <v>184.0</v>
      </c>
      <c r="F41" s="191">
        <f t="shared" si="5"/>
        <v>0</v>
      </c>
      <c r="G41" s="191">
        <f t="shared" si="6"/>
        <v>105.3032</v>
      </c>
      <c r="H41" s="192">
        <f t="shared" si="7"/>
        <v>105.3032</v>
      </c>
      <c r="I41" s="191">
        <v>2.0</v>
      </c>
      <c r="J41" s="193">
        <f t="shared" si="8"/>
        <v>210.6064</v>
      </c>
      <c r="K41" s="186"/>
      <c r="L41" s="164"/>
      <c r="M41" s="195">
        <f t="shared" si="18"/>
        <v>2</v>
      </c>
      <c r="N41" s="195"/>
      <c r="O41" s="186"/>
      <c r="P41" s="186"/>
      <c r="Q41" s="141">
        <v>29.5</v>
      </c>
      <c r="R41" s="187">
        <f t="shared" si="9"/>
        <v>1.84</v>
      </c>
      <c r="S41" s="181">
        <f t="shared" si="10"/>
        <v>2</v>
      </c>
      <c r="T41" s="181">
        <f t="shared" si="11"/>
        <v>3.68</v>
      </c>
      <c r="U41" s="186">
        <f t="shared" si="12"/>
        <v>105.3032</v>
      </c>
      <c r="V41" s="187">
        <f t="shared" ref="V41:W41" si="37">C41/100</f>
        <v>1</v>
      </c>
      <c r="W41" s="187">
        <f t="shared" si="37"/>
        <v>1.94</v>
      </c>
      <c r="X41" s="187">
        <f t="shared" si="14"/>
        <v>3.68</v>
      </c>
      <c r="Y41" s="189">
        <f t="shared" si="15"/>
        <v>7.1392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22.0</v>
      </c>
      <c r="B42" s="191" t="s">
        <v>55</v>
      </c>
      <c r="C42" s="191">
        <v>97.0</v>
      </c>
      <c r="D42" s="191">
        <v>194.0</v>
      </c>
      <c r="E42" s="191">
        <v>184.0</v>
      </c>
      <c r="F42" s="191">
        <f t="shared" si="5"/>
        <v>0</v>
      </c>
      <c r="G42" s="191">
        <f t="shared" si="6"/>
        <v>102.144104</v>
      </c>
      <c r="H42" s="192">
        <f t="shared" si="7"/>
        <v>102.144104</v>
      </c>
      <c r="I42" s="191">
        <v>1.0</v>
      </c>
      <c r="J42" s="193">
        <f t="shared" si="8"/>
        <v>102.144104</v>
      </c>
      <c r="K42" s="186"/>
      <c r="L42" s="164"/>
      <c r="M42" s="195"/>
      <c r="N42" s="195"/>
      <c r="O42" s="186"/>
      <c r="P42" s="186"/>
      <c r="Q42" s="141">
        <v>29.5</v>
      </c>
      <c r="R42" s="187">
        <f t="shared" si="9"/>
        <v>1.84</v>
      </c>
      <c r="S42" s="181">
        <f t="shared" si="10"/>
        <v>1</v>
      </c>
      <c r="T42" s="181">
        <f t="shared" si="11"/>
        <v>1.84</v>
      </c>
      <c r="U42" s="186">
        <f t="shared" si="12"/>
        <v>102.144104</v>
      </c>
      <c r="V42" s="187">
        <f t="shared" ref="V42:W42" si="38">C42/100</f>
        <v>0.97</v>
      </c>
      <c r="W42" s="187">
        <f t="shared" si="38"/>
        <v>1.94</v>
      </c>
      <c r="X42" s="187">
        <f t="shared" si="14"/>
        <v>1.84</v>
      </c>
      <c r="Y42" s="189">
        <f t="shared" si="15"/>
        <v>3.462512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23.0</v>
      </c>
      <c r="B43" s="182" t="s">
        <v>79</v>
      </c>
      <c r="C43" s="183">
        <v>82.0</v>
      </c>
      <c r="D43" s="183">
        <v>210.0</v>
      </c>
      <c r="E43" s="183">
        <v>197.0</v>
      </c>
      <c r="F43" s="183">
        <f t="shared" si="5"/>
        <v>0.8</v>
      </c>
      <c r="G43" s="183">
        <f t="shared" si="6"/>
        <v>76.32765</v>
      </c>
      <c r="H43" s="184">
        <f t="shared" si="7"/>
        <v>61.06212</v>
      </c>
      <c r="I43" s="183">
        <v>1.0</v>
      </c>
      <c r="J43" s="193">
        <f t="shared" si="8"/>
        <v>61.06212</v>
      </c>
      <c r="K43" s="186"/>
      <c r="L43" s="164"/>
      <c r="M43" s="195"/>
      <c r="N43" s="195"/>
      <c r="O43" s="186"/>
      <c r="P43" s="186"/>
      <c r="Q43" s="141">
        <v>22.5</v>
      </c>
      <c r="R43" s="187">
        <f t="shared" si="9"/>
        <v>1.97</v>
      </c>
      <c r="S43" s="181">
        <f t="shared" si="10"/>
        <v>1</v>
      </c>
      <c r="T43" s="181">
        <f t="shared" si="11"/>
        <v>1.97</v>
      </c>
      <c r="U43" s="186">
        <f t="shared" si="12"/>
        <v>76.32765</v>
      </c>
      <c r="V43" s="187">
        <f t="shared" ref="V43:W43" si="39">C43/100</f>
        <v>0.82</v>
      </c>
      <c r="W43" s="187">
        <f t="shared" si="39"/>
        <v>2.1</v>
      </c>
      <c r="X43" s="187">
        <f t="shared" si="14"/>
        <v>1.97</v>
      </c>
      <c r="Y43" s="189">
        <f t="shared" si="15"/>
        <v>3.39234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</row>
    <row r="44" ht="27.0" customHeight="1">
      <c r="A44" s="181">
        <v>24.0</v>
      </c>
      <c r="B44" s="191" t="s">
        <v>76</v>
      </c>
      <c r="C44" s="191">
        <v>99.0</v>
      </c>
      <c r="D44" s="191">
        <v>210.0</v>
      </c>
      <c r="E44" s="191">
        <v>194.0</v>
      </c>
      <c r="F44" s="191">
        <f t="shared" si="5"/>
        <v>0</v>
      </c>
      <c r="G44" s="191">
        <f t="shared" si="6"/>
        <v>90.74835</v>
      </c>
      <c r="H44" s="192">
        <f t="shared" si="7"/>
        <v>90.74835</v>
      </c>
      <c r="I44" s="191">
        <v>1.0</v>
      </c>
      <c r="J44" s="193">
        <f t="shared" si="8"/>
        <v>90.74835</v>
      </c>
      <c r="K44" s="186"/>
      <c r="L44" s="164"/>
      <c r="M44" s="195"/>
      <c r="N44" s="195"/>
      <c r="O44" s="186"/>
      <c r="P44" s="186"/>
      <c r="Q44" s="141">
        <v>22.5</v>
      </c>
      <c r="R44" s="187">
        <f t="shared" si="9"/>
        <v>1.94</v>
      </c>
      <c r="S44" s="181">
        <f t="shared" si="10"/>
        <v>1</v>
      </c>
      <c r="T44" s="181">
        <f t="shared" si="11"/>
        <v>1.94</v>
      </c>
      <c r="U44" s="186">
        <f t="shared" si="12"/>
        <v>90.74835</v>
      </c>
      <c r="V44" s="187">
        <f t="shared" ref="V44:W44" si="40">C44/100</f>
        <v>0.99</v>
      </c>
      <c r="W44" s="187">
        <f t="shared" si="40"/>
        <v>2.1</v>
      </c>
      <c r="X44" s="187">
        <f t="shared" si="14"/>
        <v>1.94</v>
      </c>
      <c r="Y44" s="189">
        <f t="shared" si="15"/>
        <v>4.03326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</row>
    <row r="45" ht="27.0" customHeight="1">
      <c r="A45" s="181">
        <v>25.0</v>
      </c>
      <c r="B45" s="191" t="s">
        <v>76</v>
      </c>
      <c r="C45" s="191">
        <v>101.0</v>
      </c>
      <c r="D45" s="191">
        <v>210.0</v>
      </c>
      <c r="E45" s="191">
        <v>197.0</v>
      </c>
      <c r="F45" s="191">
        <f t="shared" si="5"/>
        <v>0</v>
      </c>
      <c r="G45" s="191">
        <f t="shared" si="6"/>
        <v>94.013325</v>
      </c>
      <c r="H45" s="192">
        <f t="shared" si="7"/>
        <v>94.013325</v>
      </c>
      <c r="I45" s="191">
        <v>9.0</v>
      </c>
      <c r="J45" s="193">
        <f t="shared" si="8"/>
        <v>846.119925</v>
      </c>
      <c r="K45" s="186"/>
      <c r="L45" s="164"/>
      <c r="M45" s="195"/>
      <c r="N45" s="195"/>
      <c r="O45" s="186"/>
      <c r="P45" s="186"/>
      <c r="Q45" s="141">
        <v>22.5</v>
      </c>
      <c r="R45" s="187">
        <f t="shared" si="9"/>
        <v>1.97</v>
      </c>
      <c r="S45" s="181">
        <f t="shared" si="10"/>
        <v>9</v>
      </c>
      <c r="T45" s="181">
        <f t="shared" si="11"/>
        <v>17.73</v>
      </c>
      <c r="U45" s="186">
        <f t="shared" si="12"/>
        <v>94.013325</v>
      </c>
      <c r="V45" s="187">
        <f t="shared" ref="V45:W45" si="41">C45/100</f>
        <v>1.01</v>
      </c>
      <c r="W45" s="187">
        <f t="shared" si="41"/>
        <v>2.1</v>
      </c>
      <c r="X45" s="187">
        <f t="shared" si="14"/>
        <v>17.73</v>
      </c>
      <c r="Y45" s="189">
        <f t="shared" si="15"/>
        <v>37.60533</v>
      </c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</row>
    <row r="46" ht="27.0" customHeight="1">
      <c r="A46" s="181">
        <v>26.0</v>
      </c>
      <c r="B46" s="191" t="s">
        <v>76</v>
      </c>
      <c r="C46" s="191">
        <v>101.0</v>
      </c>
      <c r="D46" s="191">
        <v>210.0</v>
      </c>
      <c r="E46" s="191">
        <v>195.0</v>
      </c>
      <c r="F46" s="191">
        <f t="shared" si="5"/>
        <v>0</v>
      </c>
      <c r="G46" s="191">
        <f t="shared" si="6"/>
        <v>93.058875</v>
      </c>
      <c r="H46" s="192">
        <f t="shared" si="7"/>
        <v>93.058875</v>
      </c>
      <c r="I46" s="191">
        <v>17.0</v>
      </c>
      <c r="J46" s="193">
        <f t="shared" si="8"/>
        <v>1582.000875</v>
      </c>
      <c r="K46" s="186"/>
      <c r="L46" s="164"/>
      <c r="M46" s="195"/>
      <c r="N46" s="195"/>
      <c r="O46" s="186"/>
      <c r="P46" s="186"/>
      <c r="Q46" s="141">
        <v>22.5</v>
      </c>
      <c r="R46" s="187">
        <f t="shared" si="9"/>
        <v>1.95</v>
      </c>
      <c r="S46" s="181">
        <f t="shared" si="10"/>
        <v>17</v>
      </c>
      <c r="T46" s="181">
        <f t="shared" si="11"/>
        <v>33.15</v>
      </c>
      <c r="U46" s="186">
        <f t="shared" si="12"/>
        <v>93.058875</v>
      </c>
      <c r="V46" s="187">
        <f t="shared" ref="V46:W46" si="42">C46/100</f>
        <v>1.01</v>
      </c>
      <c r="W46" s="187">
        <f t="shared" si="42"/>
        <v>2.1</v>
      </c>
      <c r="X46" s="187">
        <f t="shared" si="14"/>
        <v>33.15</v>
      </c>
      <c r="Y46" s="189">
        <f t="shared" si="15"/>
        <v>70.31115</v>
      </c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</row>
    <row r="47" ht="27.0" customHeight="1">
      <c r="A47" s="181">
        <v>27.0</v>
      </c>
      <c r="B47" s="191" t="s">
        <v>76</v>
      </c>
      <c r="C47" s="191">
        <v>103.0</v>
      </c>
      <c r="D47" s="191">
        <v>210.0</v>
      </c>
      <c r="E47" s="191">
        <v>195.0</v>
      </c>
      <c r="F47" s="191">
        <f t="shared" si="5"/>
        <v>0</v>
      </c>
      <c r="G47" s="191">
        <f t="shared" si="6"/>
        <v>94.901625</v>
      </c>
      <c r="H47" s="192">
        <f t="shared" si="7"/>
        <v>94.901625</v>
      </c>
      <c r="I47" s="191">
        <v>2.0</v>
      </c>
      <c r="J47" s="193">
        <f t="shared" si="8"/>
        <v>189.80325</v>
      </c>
      <c r="K47" s="186"/>
      <c r="L47" s="164"/>
      <c r="M47" s="195"/>
      <c r="N47" s="195"/>
      <c r="O47" s="186"/>
      <c r="P47" s="186"/>
      <c r="Q47" s="141">
        <v>22.5</v>
      </c>
      <c r="R47" s="187">
        <f t="shared" si="9"/>
        <v>1.95</v>
      </c>
      <c r="S47" s="181">
        <f t="shared" si="10"/>
        <v>2</v>
      </c>
      <c r="T47" s="181">
        <f t="shared" si="11"/>
        <v>3.9</v>
      </c>
      <c r="U47" s="186">
        <f t="shared" si="12"/>
        <v>94.901625</v>
      </c>
      <c r="V47" s="187">
        <f t="shared" ref="V47:W47" si="43">C47/100</f>
        <v>1.03</v>
      </c>
      <c r="W47" s="187">
        <f t="shared" si="43"/>
        <v>2.1</v>
      </c>
      <c r="X47" s="187">
        <f t="shared" si="14"/>
        <v>3.9</v>
      </c>
      <c r="Y47" s="189">
        <f t="shared" si="15"/>
        <v>8.4357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</row>
    <row r="48" ht="27.0" customHeight="1">
      <c r="A48" s="181">
        <v>28.0</v>
      </c>
      <c r="B48" s="191" t="s">
        <v>76</v>
      </c>
      <c r="C48" s="191">
        <v>97.0</v>
      </c>
      <c r="D48" s="191">
        <v>210.0</v>
      </c>
      <c r="E48" s="191">
        <v>195.0</v>
      </c>
      <c r="F48" s="191">
        <f t="shared" si="5"/>
        <v>0</v>
      </c>
      <c r="G48" s="191">
        <f t="shared" si="6"/>
        <v>89.373375</v>
      </c>
      <c r="H48" s="192">
        <f t="shared" si="7"/>
        <v>89.373375</v>
      </c>
      <c r="I48" s="191">
        <v>3.0</v>
      </c>
      <c r="J48" s="194">
        <f t="shared" si="8"/>
        <v>268.120125</v>
      </c>
      <c r="K48" s="139"/>
      <c r="L48" s="197"/>
      <c r="M48" s="198"/>
      <c r="N48" s="198"/>
      <c r="O48" s="139"/>
      <c r="P48" s="139"/>
      <c r="Q48" s="141">
        <v>22.5</v>
      </c>
      <c r="R48" s="187">
        <f t="shared" si="9"/>
        <v>1.95</v>
      </c>
      <c r="S48" s="181">
        <f t="shared" si="10"/>
        <v>3</v>
      </c>
      <c r="T48" s="181">
        <f t="shared" si="11"/>
        <v>5.85</v>
      </c>
      <c r="U48" s="186">
        <f t="shared" si="12"/>
        <v>89.373375</v>
      </c>
      <c r="V48" s="187">
        <f t="shared" ref="V48:W48" si="44">C48/100</f>
        <v>0.97</v>
      </c>
      <c r="W48" s="187">
        <f t="shared" si="44"/>
        <v>2.1</v>
      </c>
      <c r="X48" s="187">
        <f t="shared" si="14"/>
        <v>5.85</v>
      </c>
      <c r="Y48" s="189">
        <f t="shared" si="15"/>
        <v>11.91645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</row>
    <row r="49" ht="27.0" customHeight="1">
      <c r="A49" s="181">
        <v>29.0</v>
      </c>
      <c r="B49" s="191" t="s">
        <v>76</v>
      </c>
      <c r="C49" s="191">
        <v>97.0</v>
      </c>
      <c r="D49" s="191">
        <v>210.0</v>
      </c>
      <c r="E49" s="191">
        <v>196.0</v>
      </c>
      <c r="F49" s="191">
        <f t="shared" si="5"/>
        <v>0</v>
      </c>
      <c r="G49" s="191">
        <f t="shared" si="6"/>
        <v>89.8317</v>
      </c>
      <c r="H49" s="192">
        <f t="shared" si="7"/>
        <v>89.8317</v>
      </c>
      <c r="I49" s="191">
        <v>3.0</v>
      </c>
      <c r="J49" s="194">
        <f t="shared" si="8"/>
        <v>269.4951</v>
      </c>
      <c r="K49" s="139"/>
      <c r="L49" s="197"/>
      <c r="M49" s="198"/>
      <c r="N49" s="198"/>
      <c r="O49" s="139"/>
      <c r="P49" s="139"/>
      <c r="Q49" s="141">
        <v>22.5</v>
      </c>
      <c r="R49" s="187">
        <f t="shared" si="9"/>
        <v>1.96</v>
      </c>
      <c r="S49" s="181">
        <f t="shared" si="10"/>
        <v>3</v>
      </c>
      <c r="T49" s="181">
        <f t="shared" si="11"/>
        <v>5.88</v>
      </c>
      <c r="U49" s="186">
        <f t="shared" si="12"/>
        <v>89.8317</v>
      </c>
      <c r="V49" s="187">
        <f t="shared" ref="V49:W49" si="45">C49/100</f>
        <v>0.97</v>
      </c>
      <c r="W49" s="187">
        <f t="shared" si="45"/>
        <v>2.1</v>
      </c>
      <c r="X49" s="187">
        <f t="shared" si="14"/>
        <v>5.88</v>
      </c>
      <c r="Y49" s="189">
        <f t="shared" si="15"/>
        <v>11.97756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</row>
    <row r="50" ht="27.0" customHeight="1">
      <c r="A50" s="181">
        <v>30.0</v>
      </c>
      <c r="B50" s="191" t="s">
        <v>76</v>
      </c>
      <c r="C50" s="191">
        <v>100.0</v>
      </c>
      <c r="D50" s="191">
        <v>210.0</v>
      </c>
      <c r="E50" s="191">
        <v>196.0</v>
      </c>
      <c r="F50" s="191">
        <f t="shared" si="5"/>
        <v>0</v>
      </c>
      <c r="G50" s="191">
        <f t="shared" si="6"/>
        <v>92.61</v>
      </c>
      <c r="H50" s="192">
        <f t="shared" si="7"/>
        <v>92.61</v>
      </c>
      <c r="I50" s="191">
        <v>2.0</v>
      </c>
      <c r="J50" s="194">
        <f t="shared" si="8"/>
        <v>185.22</v>
      </c>
      <c r="K50" s="139"/>
      <c r="L50" s="197"/>
      <c r="M50" s="198"/>
      <c r="N50" s="198"/>
      <c r="O50" s="139"/>
      <c r="P50" s="139"/>
      <c r="Q50" s="141">
        <v>22.5</v>
      </c>
      <c r="R50" s="187">
        <f t="shared" si="9"/>
        <v>1.96</v>
      </c>
      <c r="S50" s="181">
        <f t="shared" si="10"/>
        <v>2</v>
      </c>
      <c r="T50" s="181">
        <f t="shared" si="11"/>
        <v>3.92</v>
      </c>
      <c r="U50" s="186">
        <f t="shared" si="12"/>
        <v>92.61</v>
      </c>
      <c r="V50" s="187">
        <f t="shared" ref="V50:W50" si="46">C50/100</f>
        <v>1</v>
      </c>
      <c r="W50" s="187">
        <f t="shared" si="46"/>
        <v>2.1</v>
      </c>
      <c r="X50" s="187">
        <f t="shared" si="14"/>
        <v>3.92</v>
      </c>
      <c r="Y50" s="189">
        <f t="shared" si="15"/>
        <v>8.232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ht="27.0" customHeight="1">
      <c r="A51" s="181">
        <v>31.0</v>
      </c>
      <c r="B51" s="191" t="s">
        <v>76</v>
      </c>
      <c r="C51" s="191">
        <v>102.0</v>
      </c>
      <c r="D51" s="191">
        <v>210.0</v>
      </c>
      <c r="E51" s="191">
        <v>196.0</v>
      </c>
      <c r="F51" s="191">
        <f t="shared" si="5"/>
        <v>0</v>
      </c>
      <c r="G51" s="191">
        <f t="shared" si="6"/>
        <v>94.4622</v>
      </c>
      <c r="H51" s="192">
        <f t="shared" si="7"/>
        <v>94.4622</v>
      </c>
      <c r="I51" s="191">
        <v>3.0</v>
      </c>
      <c r="J51" s="194">
        <f t="shared" si="8"/>
        <v>283.3866</v>
      </c>
      <c r="K51" s="139"/>
      <c r="L51" s="197"/>
      <c r="M51" s="198"/>
      <c r="N51" s="198"/>
      <c r="O51" s="139"/>
      <c r="P51" s="139"/>
      <c r="Q51" s="141">
        <v>22.5</v>
      </c>
      <c r="R51" s="187">
        <f t="shared" si="9"/>
        <v>1.96</v>
      </c>
      <c r="S51" s="181">
        <f t="shared" si="10"/>
        <v>3</v>
      </c>
      <c r="T51" s="181">
        <f t="shared" si="11"/>
        <v>5.88</v>
      </c>
      <c r="U51" s="186">
        <f t="shared" si="12"/>
        <v>94.4622</v>
      </c>
      <c r="V51" s="187">
        <f t="shared" ref="V51:W51" si="47">C51/100</f>
        <v>1.02</v>
      </c>
      <c r="W51" s="187">
        <f t="shared" si="47"/>
        <v>2.1</v>
      </c>
      <c r="X51" s="187">
        <f t="shared" si="14"/>
        <v>5.88</v>
      </c>
      <c r="Y51" s="189">
        <f t="shared" si="15"/>
        <v>12.59496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</row>
    <row r="52" ht="27.0" customHeight="1">
      <c r="A52" s="181">
        <v>32.0</v>
      </c>
      <c r="B52" s="191" t="s">
        <v>76</v>
      </c>
      <c r="C52" s="191">
        <v>103.0</v>
      </c>
      <c r="D52" s="191">
        <v>210.0</v>
      </c>
      <c r="E52" s="191">
        <v>194.0</v>
      </c>
      <c r="F52" s="191">
        <f t="shared" si="5"/>
        <v>0</v>
      </c>
      <c r="G52" s="191">
        <f t="shared" si="6"/>
        <v>94.41495</v>
      </c>
      <c r="H52" s="192">
        <f t="shared" si="7"/>
        <v>94.41495</v>
      </c>
      <c r="I52" s="191">
        <v>1.0</v>
      </c>
      <c r="J52" s="194">
        <f t="shared" si="8"/>
        <v>94.41495</v>
      </c>
      <c r="K52" s="139"/>
      <c r="L52" s="197"/>
      <c r="M52" s="198"/>
      <c r="N52" s="198"/>
      <c r="O52" s="139"/>
      <c r="P52" s="139"/>
      <c r="Q52" s="141">
        <v>22.5</v>
      </c>
      <c r="R52" s="187">
        <f t="shared" si="9"/>
        <v>1.94</v>
      </c>
      <c r="S52" s="181">
        <f t="shared" si="10"/>
        <v>1</v>
      </c>
      <c r="T52" s="181">
        <f t="shared" si="11"/>
        <v>1.94</v>
      </c>
      <c r="U52" s="186">
        <f t="shared" si="12"/>
        <v>94.41495</v>
      </c>
      <c r="V52" s="187">
        <f t="shared" ref="V52:W52" si="48">C52/100</f>
        <v>1.03</v>
      </c>
      <c r="W52" s="187">
        <f t="shared" si="48"/>
        <v>2.1</v>
      </c>
      <c r="X52" s="187">
        <f t="shared" si="14"/>
        <v>1.94</v>
      </c>
      <c r="Y52" s="189">
        <f t="shared" si="15"/>
        <v>4.19622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7.0" customHeight="1">
      <c r="A53" s="181">
        <v>33.0</v>
      </c>
      <c r="B53" s="191" t="s">
        <v>76</v>
      </c>
      <c r="C53" s="191">
        <v>105.0</v>
      </c>
      <c r="D53" s="191">
        <v>210.0</v>
      </c>
      <c r="E53" s="191">
        <v>195.0</v>
      </c>
      <c r="F53" s="191">
        <f t="shared" si="5"/>
        <v>0</v>
      </c>
      <c r="G53" s="191">
        <f t="shared" si="6"/>
        <v>96.744375</v>
      </c>
      <c r="H53" s="192">
        <f t="shared" si="7"/>
        <v>96.744375</v>
      </c>
      <c r="I53" s="191">
        <v>1.0</v>
      </c>
      <c r="J53" s="194">
        <f t="shared" si="8"/>
        <v>96.744375</v>
      </c>
      <c r="K53" s="139"/>
      <c r="L53" s="197"/>
      <c r="M53" s="198"/>
      <c r="N53" s="198"/>
      <c r="O53" s="139"/>
      <c r="P53" s="139"/>
      <c r="Q53" s="141">
        <v>22.5</v>
      </c>
      <c r="R53" s="187">
        <f t="shared" si="9"/>
        <v>1.95</v>
      </c>
      <c r="S53" s="181">
        <f t="shared" si="10"/>
        <v>1</v>
      </c>
      <c r="T53" s="181">
        <f t="shared" si="11"/>
        <v>1.95</v>
      </c>
      <c r="U53" s="186">
        <f t="shared" si="12"/>
        <v>96.744375</v>
      </c>
      <c r="V53" s="187">
        <f t="shared" ref="V53:W53" si="49">C53/100</f>
        <v>1.05</v>
      </c>
      <c r="W53" s="187">
        <f t="shared" si="49"/>
        <v>2.1</v>
      </c>
      <c r="X53" s="187">
        <f t="shared" si="14"/>
        <v>1.95</v>
      </c>
      <c r="Y53" s="189">
        <f t="shared" si="15"/>
        <v>4.29975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7.0" customHeight="1">
      <c r="A54" s="181">
        <v>34.0</v>
      </c>
      <c r="B54" s="191" t="s">
        <v>76</v>
      </c>
      <c r="C54" s="191">
        <v>102.0</v>
      </c>
      <c r="D54" s="191">
        <v>210.0</v>
      </c>
      <c r="E54" s="191">
        <v>195.0</v>
      </c>
      <c r="F54" s="191">
        <f t="shared" si="5"/>
        <v>0</v>
      </c>
      <c r="G54" s="191">
        <f t="shared" si="6"/>
        <v>93.98025</v>
      </c>
      <c r="H54" s="192">
        <f t="shared" si="7"/>
        <v>93.98025</v>
      </c>
      <c r="I54" s="191">
        <v>1.0</v>
      </c>
      <c r="J54" s="194">
        <f t="shared" si="8"/>
        <v>93.98025</v>
      </c>
      <c r="K54" s="139"/>
      <c r="L54" s="197"/>
      <c r="M54" s="198"/>
      <c r="N54" s="198"/>
      <c r="O54" s="139"/>
      <c r="P54" s="139"/>
      <c r="Q54" s="141">
        <v>22.5</v>
      </c>
      <c r="R54" s="187">
        <f t="shared" si="9"/>
        <v>1.95</v>
      </c>
      <c r="S54" s="181">
        <f t="shared" si="10"/>
        <v>1</v>
      </c>
      <c r="T54" s="181">
        <f t="shared" si="11"/>
        <v>1.95</v>
      </c>
      <c r="U54" s="186">
        <f t="shared" si="12"/>
        <v>93.98025</v>
      </c>
      <c r="V54" s="187">
        <f t="shared" ref="V54:W54" si="50">C54/100</f>
        <v>1.02</v>
      </c>
      <c r="W54" s="187">
        <f t="shared" si="50"/>
        <v>2.1</v>
      </c>
      <c r="X54" s="187">
        <f t="shared" si="14"/>
        <v>1.95</v>
      </c>
      <c r="Y54" s="189">
        <f t="shared" si="15"/>
        <v>4.1769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27.0" customHeight="1">
      <c r="A55" s="181">
        <v>35.0</v>
      </c>
      <c r="B55" s="191" t="s">
        <v>76</v>
      </c>
      <c r="C55" s="191">
        <v>97.0</v>
      </c>
      <c r="D55" s="191">
        <v>210.0</v>
      </c>
      <c r="E55" s="191">
        <v>194.0</v>
      </c>
      <c r="F55" s="191">
        <f t="shared" si="5"/>
        <v>0</v>
      </c>
      <c r="G55" s="191">
        <f t="shared" si="6"/>
        <v>88.91505</v>
      </c>
      <c r="H55" s="192">
        <f t="shared" si="7"/>
        <v>88.91505</v>
      </c>
      <c r="I55" s="191">
        <v>1.0</v>
      </c>
      <c r="J55" s="194">
        <f t="shared" si="8"/>
        <v>88.91505</v>
      </c>
      <c r="K55" s="139"/>
      <c r="L55" s="197"/>
      <c r="M55" s="198"/>
      <c r="N55" s="198"/>
      <c r="O55" s="139"/>
      <c r="P55" s="139"/>
      <c r="Q55" s="141">
        <v>22.5</v>
      </c>
      <c r="R55" s="187">
        <f t="shared" si="9"/>
        <v>1.94</v>
      </c>
      <c r="S55" s="181">
        <f t="shared" si="10"/>
        <v>1</v>
      </c>
      <c r="T55" s="181">
        <f t="shared" si="11"/>
        <v>1.94</v>
      </c>
      <c r="U55" s="186">
        <f t="shared" si="12"/>
        <v>88.91505</v>
      </c>
      <c r="V55" s="187">
        <f t="shared" ref="V55:W55" si="51">C55/100</f>
        <v>0.97</v>
      </c>
      <c r="W55" s="187">
        <f t="shared" si="51"/>
        <v>2.1</v>
      </c>
      <c r="X55" s="187">
        <f t="shared" si="14"/>
        <v>1.94</v>
      </c>
      <c r="Y55" s="189">
        <f t="shared" si="15"/>
        <v>3.95178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81">
        <v>36.0</v>
      </c>
      <c r="B56" s="191" t="s">
        <v>76</v>
      </c>
      <c r="C56" s="191">
        <v>101.0</v>
      </c>
      <c r="D56" s="191">
        <v>210.0</v>
      </c>
      <c r="E56" s="191">
        <v>196.0</v>
      </c>
      <c r="F56" s="191">
        <f t="shared" si="5"/>
        <v>0</v>
      </c>
      <c r="G56" s="191">
        <f t="shared" si="6"/>
        <v>93.5361</v>
      </c>
      <c r="H56" s="192">
        <f t="shared" si="7"/>
        <v>93.5361</v>
      </c>
      <c r="I56" s="191">
        <v>19.0</v>
      </c>
      <c r="J56" s="194">
        <f t="shared" si="8"/>
        <v>1777.1859</v>
      </c>
      <c r="K56" s="139"/>
      <c r="L56" s="197"/>
      <c r="M56" s="198"/>
      <c r="N56" s="198"/>
      <c r="O56" s="139"/>
      <c r="P56" s="139"/>
      <c r="Q56" s="141">
        <v>22.5</v>
      </c>
      <c r="R56" s="187">
        <f t="shared" si="9"/>
        <v>1.96</v>
      </c>
      <c r="S56" s="181">
        <f t="shared" si="10"/>
        <v>19</v>
      </c>
      <c r="T56" s="181">
        <f t="shared" si="11"/>
        <v>37.24</v>
      </c>
      <c r="U56" s="186">
        <f t="shared" si="12"/>
        <v>93.5361</v>
      </c>
      <c r="V56" s="187">
        <f t="shared" ref="V56:W56" si="52">C56/100</f>
        <v>1.01</v>
      </c>
      <c r="W56" s="187">
        <f t="shared" si="52"/>
        <v>2.1</v>
      </c>
      <c r="X56" s="187">
        <f t="shared" si="14"/>
        <v>37.24</v>
      </c>
      <c r="Y56" s="189">
        <f t="shared" si="15"/>
        <v>78.98604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37.0</v>
      </c>
      <c r="B57" s="191" t="s">
        <v>76</v>
      </c>
      <c r="C57" s="191">
        <v>102.0</v>
      </c>
      <c r="D57" s="191">
        <v>210.0</v>
      </c>
      <c r="E57" s="191">
        <v>186.0</v>
      </c>
      <c r="F57" s="191">
        <f t="shared" si="5"/>
        <v>0</v>
      </c>
      <c r="G57" s="191">
        <f t="shared" si="6"/>
        <v>89.6427</v>
      </c>
      <c r="H57" s="192">
        <f t="shared" si="7"/>
        <v>89.6427</v>
      </c>
      <c r="I57" s="191">
        <v>1.0</v>
      </c>
      <c r="J57" s="194">
        <f t="shared" si="8"/>
        <v>89.6427</v>
      </c>
      <c r="K57" s="139"/>
      <c r="L57" s="197"/>
      <c r="M57" s="198"/>
      <c r="N57" s="198"/>
      <c r="O57" s="139"/>
      <c r="P57" s="139"/>
      <c r="Q57" s="141">
        <v>22.5</v>
      </c>
      <c r="R57" s="187">
        <f t="shared" si="9"/>
        <v>1.86</v>
      </c>
      <c r="S57" s="181">
        <f t="shared" si="10"/>
        <v>1</v>
      </c>
      <c r="T57" s="181">
        <f t="shared" si="11"/>
        <v>1.86</v>
      </c>
      <c r="U57" s="186">
        <f t="shared" si="12"/>
        <v>89.6427</v>
      </c>
      <c r="V57" s="187">
        <f t="shared" ref="V57:W57" si="53">C57/100</f>
        <v>1.02</v>
      </c>
      <c r="W57" s="187">
        <f t="shared" si="53"/>
        <v>2.1</v>
      </c>
      <c r="X57" s="187">
        <f t="shared" si="14"/>
        <v>1.86</v>
      </c>
      <c r="Y57" s="189">
        <f t="shared" si="15"/>
        <v>3.98412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38.0</v>
      </c>
      <c r="B58" s="191" t="s">
        <v>76</v>
      </c>
      <c r="C58" s="191">
        <v>100.0</v>
      </c>
      <c r="D58" s="191">
        <v>210.0</v>
      </c>
      <c r="E58" s="191">
        <v>195.0</v>
      </c>
      <c r="F58" s="191">
        <f t="shared" si="5"/>
        <v>0</v>
      </c>
      <c r="G58" s="191">
        <f t="shared" si="6"/>
        <v>92.1375</v>
      </c>
      <c r="H58" s="192">
        <f t="shared" si="7"/>
        <v>92.1375</v>
      </c>
      <c r="I58" s="191">
        <v>3.0</v>
      </c>
      <c r="J58" s="194">
        <f t="shared" si="8"/>
        <v>276.4125</v>
      </c>
      <c r="K58" s="139"/>
      <c r="L58" s="197"/>
      <c r="M58" s="198"/>
      <c r="N58" s="198"/>
      <c r="O58" s="139"/>
      <c r="P58" s="139"/>
      <c r="Q58" s="141">
        <v>22.5</v>
      </c>
      <c r="R58" s="187">
        <f t="shared" si="9"/>
        <v>1.95</v>
      </c>
      <c r="S58" s="181">
        <f t="shared" si="10"/>
        <v>3</v>
      </c>
      <c r="T58" s="181">
        <f t="shared" si="11"/>
        <v>5.85</v>
      </c>
      <c r="U58" s="186">
        <f t="shared" si="12"/>
        <v>92.1375</v>
      </c>
      <c r="V58" s="187">
        <f t="shared" ref="V58:W58" si="54">C58/100</f>
        <v>1</v>
      </c>
      <c r="W58" s="187">
        <f t="shared" si="54"/>
        <v>2.1</v>
      </c>
      <c r="X58" s="187">
        <f t="shared" si="14"/>
        <v>5.85</v>
      </c>
      <c r="Y58" s="189">
        <f t="shared" si="15"/>
        <v>12.285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39.0</v>
      </c>
      <c r="B59" s="191" t="s">
        <v>76</v>
      </c>
      <c r="C59" s="191">
        <v>101.0</v>
      </c>
      <c r="D59" s="191">
        <v>210.0</v>
      </c>
      <c r="E59" s="191">
        <v>194.0</v>
      </c>
      <c r="F59" s="191">
        <f t="shared" si="5"/>
        <v>0</v>
      </c>
      <c r="G59" s="191">
        <f t="shared" si="6"/>
        <v>92.58165</v>
      </c>
      <c r="H59" s="192">
        <f t="shared" si="7"/>
        <v>92.58165</v>
      </c>
      <c r="I59" s="191">
        <v>6.0</v>
      </c>
      <c r="J59" s="194">
        <f t="shared" si="8"/>
        <v>555.4899</v>
      </c>
      <c r="K59" s="139"/>
      <c r="L59" s="197"/>
      <c r="M59" s="198"/>
      <c r="N59" s="198"/>
      <c r="O59" s="139"/>
      <c r="P59" s="139"/>
      <c r="Q59" s="141">
        <v>22.5</v>
      </c>
      <c r="R59" s="187">
        <f t="shared" si="9"/>
        <v>1.94</v>
      </c>
      <c r="S59" s="181">
        <f t="shared" si="10"/>
        <v>6</v>
      </c>
      <c r="T59" s="181">
        <f t="shared" si="11"/>
        <v>11.64</v>
      </c>
      <c r="U59" s="186">
        <f t="shared" si="12"/>
        <v>92.58165</v>
      </c>
      <c r="V59" s="187">
        <f t="shared" ref="V59:W59" si="55">C59/100</f>
        <v>1.01</v>
      </c>
      <c r="W59" s="187">
        <f t="shared" si="55"/>
        <v>2.1</v>
      </c>
      <c r="X59" s="187">
        <f t="shared" si="14"/>
        <v>11.64</v>
      </c>
      <c r="Y59" s="189">
        <f t="shared" si="15"/>
        <v>24.68844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40.0</v>
      </c>
      <c r="B60" s="191" t="s">
        <v>76</v>
      </c>
      <c r="C60" s="191">
        <v>105.0</v>
      </c>
      <c r="D60" s="191">
        <v>210.0</v>
      </c>
      <c r="E60" s="191">
        <v>196.0</v>
      </c>
      <c r="F60" s="191">
        <f t="shared" si="5"/>
        <v>0</v>
      </c>
      <c r="G60" s="191">
        <f t="shared" si="6"/>
        <v>97.2405</v>
      </c>
      <c r="H60" s="192">
        <f t="shared" si="7"/>
        <v>97.2405</v>
      </c>
      <c r="I60" s="191">
        <v>1.0</v>
      </c>
      <c r="J60" s="194">
        <f t="shared" si="8"/>
        <v>97.2405</v>
      </c>
      <c r="K60" s="139"/>
      <c r="L60" s="197"/>
      <c r="M60" s="198"/>
      <c r="N60" s="198"/>
      <c r="O60" s="139"/>
      <c r="P60" s="139"/>
      <c r="Q60" s="141">
        <v>22.5</v>
      </c>
      <c r="R60" s="187">
        <f t="shared" si="9"/>
        <v>1.96</v>
      </c>
      <c r="S60" s="181">
        <f t="shared" si="10"/>
        <v>1</v>
      </c>
      <c r="T60" s="181">
        <f t="shared" si="11"/>
        <v>1.96</v>
      </c>
      <c r="U60" s="186">
        <f t="shared" si="12"/>
        <v>97.2405</v>
      </c>
      <c r="V60" s="187">
        <f t="shared" ref="V60:W60" si="56">C60/100</f>
        <v>1.05</v>
      </c>
      <c r="W60" s="187">
        <f t="shared" si="56"/>
        <v>2.1</v>
      </c>
      <c r="X60" s="187">
        <f t="shared" si="14"/>
        <v>1.96</v>
      </c>
      <c r="Y60" s="189">
        <f t="shared" si="15"/>
        <v>4.3218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81">
        <v>41.0</v>
      </c>
      <c r="B61" s="191" t="s">
        <v>76</v>
      </c>
      <c r="C61" s="191">
        <v>103.0</v>
      </c>
      <c r="D61" s="191">
        <v>210.0</v>
      </c>
      <c r="E61" s="191">
        <v>196.0</v>
      </c>
      <c r="F61" s="191">
        <f t="shared" si="5"/>
        <v>0</v>
      </c>
      <c r="G61" s="191">
        <f t="shared" si="6"/>
        <v>95.3883</v>
      </c>
      <c r="H61" s="192">
        <f t="shared" si="7"/>
        <v>95.3883</v>
      </c>
      <c r="I61" s="191">
        <v>1.0</v>
      </c>
      <c r="J61" s="194">
        <f t="shared" si="8"/>
        <v>95.3883</v>
      </c>
      <c r="K61" s="139"/>
      <c r="L61" s="197"/>
      <c r="M61" s="198"/>
      <c r="N61" s="198"/>
      <c r="O61" s="139"/>
      <c r="P61" s="139"/>
      <c r="Q61" s="141">
        <v>22.5</v>
      </c>
      <c r="R61" s="187">
        <f t="shared" si="9"/>
        <v>1.96</v>
      </c>
      <c r="S61" s="181">
        <f t="shared" si="10"/>
        <v>1</v>
      </c>
      <c r="T61" s="181">
        <f t="shared" si="11"/>
        <v>1.96</v>
      </c>
      <c r="U61" s="186">
        <f t="shared" si="12"/>
        <v>95.3883</v>
      </c>
      <c r="V61" s="187">
        <f t="shared" ref="V61:W61" si="57">C61/100</f>
        <v>1.03</v>
      </c>
      <c r="W61" s="187">
        <f t="shared" si="57"/>
        <v>2.1</v>
      </c>
      <c r="X61" s="187">
        <f t="shared" si="14"/>
        <v>1.96</v>
      </c>
      <c r="Y61" s="189">
        <f t="shared" si="15"/>
        <v>4.23948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81">
        <v>42.0</v>
      </c>
      <c r="B62" s="191" t="s">
        <v>76</v>
      </c>
      <c r="C62" s="191">
        <v>78.0</v>
      </c>
      <c r="D62" s="191">
        <v>210.0</v>
      </c>
      <c r="E62" s="191">
        <v>234.0</v>
      </c>
      <c r="F62" s="191">
        <f t="shared" si="5"/>
        <v>0</v>
      </c>
      <c r="G62" s="191">
        <f t="shared" si="6"/>
        <v>86.2407</v>
      </c>
      <c r="H62" s="192">
        <f t="shared" si="7"/>
        <v>86.2407</v>
      </c>
      <c r="I62" s="191">
        <v>1.0</v>
      </c>
      <c r="J62" s="194">
        <f t="shared" si="8"/>
        <v>86.2407</v>
      </c>
      <c r="K62" s="139"/>
      <c r="L62" s="197"/>
      <c r="M62" s="198"/>
      <c r="N62" s="198"/>
      <c r="O62" s="139"/>
      <c r="P62" s="139"/>
      <c r="Q62" s="141">
        <v>22.5</v>
      </c>
      <c r="R62" s="187">
        <f t="shared" si="9"/>
        <v>2.34</v>
      </c>
      <c r="S62" s="181">
        <f t="shared" si="10"/>
        <v>1</v>
      </c>
      <c r="T62" s="181">
        <f t="shared" si="11"/>
        <v>2.34</v>
      </c>
      <c r="U62" s="186">
        <f t="shared" si="12"/>
        <v>86.2407</v>
      </c>
      <c r="V62" s="187">
        <f t="shared" ref="V62:W62" si="58">C62/100</f>
        <v>0.78</v>
      </c>
      <c r="W62" s="187">
        <f t="shared" si="58"/>
        <v>2.1</v>
      </c>
      <c r="X62" s="187">
        <f t="shared" si="14"/>
        <v>2.34</v>
      </c>
      <c r="Y62" s="189">
        <f t="shared" si="15"/>
        <v>3.83292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27.0" customHeight="1">
      <c r="A63" s="181">
        <v>43.0</v>
      </c>
      <c r="B63" s="182" t="s">
        <v>80</v>
      </c>
      <c r="C63" s="183">
        <v>94.0</v>
      </c>
      <c r="D63" s="183">
        <v>206.0</v>
      </c>
      <c r="E63" s="183">
        <v>207.0</v>
      </c>
      <c r="F63" s="183">
        <f t="shared" si="5"/>
        <v>0.8</v>
      </c>
      <c r="G63" s="183">
        <f t="shared" si="6"/>
        <v>66.137742</v>
      </c>
      <c r="H63" s="184">
        <f t="shared" si="7"/>
        <v>52.9101936</v>
      </c>
      <c r="I63" s="183">
        <v>1.0</v>
      </c>
      <c r="J63" s="194">
        <f t="shared" si="8"/>
        <v>52.9101936</v>
      </c>
      <c r="K63" s="139"/>
      <c r="L63" s="197"/>
      <c r="M63" s="198"/>
      <c r="N63" s="198"/>
      <c r="O63" s="139"/>
      <c r="P63" s="139"/>
      <c r="Q63" s="141">
        <v>16.5</v>
      </c>
      <c r="R63" s="187">
        <f t="shared" si="9"/>
        <v>2.07</v>
      </c>
      <c r="S63" s="181">
        <f t="shared" si="10"/>
        <v>1</v>
      </c>
      <c r="T63" s="181">
        <f t="shared" si="11"/>
        <v>2.07</v>
      </c>
      <c r="U63" s="186">
        <f t="shared" si="12"/>
        <v>66.137742</v>
      </c>
      <c r="V63" s="187">
        <f t="shared" ref="V63:W63" si="59">C63/100</f>
        <v>0.94</v>
      </c>
      <c r="W63" s="187">
        <f t="shared" si="59"/>
        <v>2.06</v>
      </c>
      <c r="X63" s="187">
        <f t="shared" si="14"/>
        <v>2.07</v>
      </c>
      <c r="Y63" s="189">
        <f t="shared" si="15"/>
        <v>4.008348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7.0" customHeight="1">
      <c r="A64" s="181">
        <v>44.0</v>
      </c>
      <c r="B64" s="191" t="s">
        <v>77</v>
      </c>
      <c r="C64" s="191">
        <v>104.0</v>
      </c>
      <c r="D64" s="191">
        <v>206.0</v>
      </c>
      <c r="E64" s="191">
        <v>206.0</v>
      </c>
      <c r="F64" s="191">
        <f t="shared" si="5"/>
        <v>0</v>
      </c>
      <c r="G64" s="191">
        <f t="shared" si="6"/>
        <v>72.820176</v>
      </c>
      <c r="H64" s="192">
        <f t="shared" si="7"/>
        <v>72.820176</v>
      </c>
      <c r="I64" s="191">
        <v>1.0</v>
      </c>
      <c r="J64" s="194">
        <f t="shared" si="8"/>
        <v>72.820176</v>
      </c>
      <c r="K64" s="139"/>
      <c r="L64" s="197"/>
      <c r="M64" s="198"/>
      <c r="N64" s="198"/>
      <c r="O64" s="139"/>
      <c r="P64" s="139"/>
      <c r="Q64" s="141">
        <v>16.5</v>
      </c>
      <c r="R64" s="187">
        <f t="shared" si="9"/>
        <v>2.06</v>
      </c>
      <c r="S64" s="181">
        <f t="shared" si="10"/>
        <v>1</v>
      </c>
      <c r="T64" s="181">
        <f t="shared" si="11"/>
        <v>2.06</v>
      </c>
      <c r="U64" s="186">
        <f t="shared" si="12"/>
        <v>72.820176</v>
      </c>
      <c r="V64" s="187">
        <f t="shared" ref="V64:W64" si="60">C64/100</f>
        <v>1.04</v>
      </c>
      <c r="W64" s="187">
        <f t="shared" si="60"/>
        <v>2.06</v>
      </c>
      <c r="X64" s="187">
        <f t="shared" si="14"/>
        <v>2.06</v>
      </c>
      <c r="Y64" s="189">
        <f t="shared" si="15"/>
        <v>4.413344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7.0" customHeight="1">
      <c r="A65" s="181">
        <v>45.0</v>
      </c>
      <c r="B65" s="191" t="s">
        <v>77</v>
      </c>
      <c r="C65" s="191">
        <v>103.0</v>
      </c>
      <c r="D65" s="191">
        <v>206.0</v>
      </c>
      <c r="E65" s="191">
        <v>207.0</v>
      </c>
      <c r="F65" s="191">
        <f t="shared" si="5"/>
        <v>0</v>
      </c>
      <c r="G65" s="191">
        <f t="shared" si="6"/>
        <v>72.470079</v>
      </c>
      <c r="H65" s="192">
        <f t="shared" si="7"/>
        <v>72.470079</v>
      </c>
      <c r="I65" s="191">
        <v>2.0</v>
      </c>
      <c r="J65" s="194">
        <f t="shared" si="8"/>
        <v>144.940158</v>
      </c>
      <c r="K65" s="139"/>
      <c r="L65" s="197"/>
      <c r="M65" s="198"/>
      <c r="N65" s="198"/>
      <c r="O65" s="139"/>
      <c r="P65" s="139"/>
      <c r="Q65" s="141">
        <v>16.5</v>
      </c>
      <c r="R65" s="187">
        <f t="shared" si="9"/>
        <v>2.07</v>
      </c>
      <c r="S65" s="181">
        <f t="shared" si="10"/>
        <v>2</v>
      </c>
      <c r="T65" s="181">
        <f t="shared" si="11"/>
        <v>4.14</v>
      </c>
      <c r="U65" s="186">
        <f t="shared" si="12"/>
        <v>72.470079</v>
      </c>
      <c r="V65" s="187">
        <f t="shared" ref="V65:W65" si="61">C65/100</f>
        <v>1.03</v>
      </c>
      <c r="W65" s="187">
        <f t="shared" si="61"/>
        <v>2.06</v>
      </c>
      <c r="X65" s="187">
        <f t="shared" si="14"/>
        <v>4.14</v>
      </c>
      <c r="Y65" s="189">
        <f t="shared" si="15"/>
        <v>8.784252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7.0" customHeight="1">
      <c r="A66" s="181">
        <v>46.0</v>
      </c>
      <c r="B66" s="191" t="s">
        <v>77</v>
      </c>
      <c r="C66" s="191">
        <v>102.0</v>
      </c>
      <c r="D66" s="191">
        <v>206.0</v>
      </c>
      <c r="E66" s="191">
        <v>206.0</v>
      </c>
      <c r="F66" s="191">
        <f t="shared" si="5"/>
        <v>0</v>
      </c>
      <c r="G66" s="191">
        <f t="shared" si="6"/>
        <v>71.419788</v>
      </c>
      <c r="H66" s="192">
        <f t="shared" si="7"/>
        <v>71.419788</v>
      </c>
      <c r="I66" s="191">
        <v>2.0</v>
      </c>
      <c r="J66" s="194">
        <f t="shared" si="8"/>
        <v>142.839576</v>
      </c>
      <c r="K66" s="139"/>
      <c r="L66" s="197"/>
      <c r="M66" s="198"/>
      <c r="N66" s="198"/>
      <c r="O66" s="139"/>
      <c r="P66" s="139"/>
      <c r="Q66" s="141">
        <v>16.5</v>
      </c>
      <c r="R66" s="187">
        <f t="shared" si="9"/>
        <v>2.06</v>
      </c>
      <c r="S66" s="181">
        <f t="shared" si="10"/>
        <v>2</v>
      </c>
      <c r="T66" s="181">
        <f t="shared" si="11"/>
        <v>4.12</v>
      </c>
      <c r="U66" s="186">
        <f t="shared" si="12"/>
        <v>71.419788</v>
      </c>
      <c r="V66" s="187">
        <f t="shared" ref="V66:W66" si="62">C66/100</f>
        <v>1.02</v>
      </c>
      <c r="W66" s="187">
        <f t="shared" si="62"/>
        <v>2.06</v>
      </c>
      <c r="X66" s="187">
        <f t="shared" si="14"/>
        <v>4.12</v>
      </c>
      <c r="Y66" s="189">
        <f t="shared" si="15"/>
        <v>8.656944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7.0" customHeight="1">
      <c r="A67" s="181">
        <v>47.0</v>
      </c>
      <c r="B67" s="191" t="s">
        <v>77</v>
      </c>
      <c r="C67" s="191">
        <v>100.0</v>
      </c>
      <c r="D67" s="191">
        <v>206.0</v>
      </c>
      <c r="E67" s="191">
        <v>207.0</v>
      </c>
      <c r="F67" s="191">
        <f t="shared" si="5"/>
        <v>0</v>
      </c>
      <c r="G67" s="191">
        <f t="shared" si="6"/>
        <v>70.3593</v>
      </c>
      <c r="H67" s="192">
        <f t="shared" si="7"/>
        <v>70.3593</v>
      </c>
      <c r="I67" s="191">
        <v>2.0</v>
      </c>
      <c r="J67" s="194">
        <f t="shared" si="8"/>
        <v>140.7186</v>
      </c>
      <c r="K67" s="139"/>
      <c r="L67" s="197"/>
      <c r="M67" s="198"/>
      <c r="N67" s="198"/>
      <c r="O67" s="139"/>
      <c r="P67" s="139"/>
      <c r="Q67" s="141">
        <v>16.5</v>
      </c>
      <c r="R67" s="187">
        <f t="shared" si="9"/>
        <v>2.07</v>
      </c>
      <c r="S67" s="181">
        <f t="shared" si="10"/>
        <v>2</v>
      </c>
      <c r="T67" s="181">
        <f t="shared" si="11"/>
        <v>4.14</v>
      </c>
      <c r="U67" s="186">
        <f t="shared" si="12"/>
        <v>70.3593</v>
      </c>
      <c r="V67" s="187">
        <f t="shared" ref="V67:W67" si="63">C67/100</f>
        <v>1</v>
      </c>
      <c r="W67" s="187">
        <f t="shared" si="63"/>
        <v>2.06</v>
      </c>
      <c r="X67" s="187">
        <f t="shared" si="14"/>
        <v>4.14</v>
      </c>
      <c r="Y67" s="189">
        <f t="shared" si="15"/>
        <v>8.5284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7.0" customHeight="1">
      <c r="A68" s="181">
        <v>48.0</v>
      </c>
      <c r="B68" s="191" t="s">
        <v>77</v>
      </c>
      <c r="C68" s="191">
        <v>97.0</v>
      </c>
      <c r="D68" s="191">
        <v>206.0</v>
      </c>
      <c r="E68" s="191">
        <v>206.0</v>
      </c>
      <c r="F68" s="191">
        <f t="shared" si="5"/>
        <v>0</v>
      </c>
      <c r="G68" s="191">
        <f t="shared" si="6"/>
        <v>67.918818</v>
      </c>
      <c r="H68" s="192">
        <f t="shared" si="7"/>
        <v>67.918818</v>
      </c>
      <c r="I68" s="191">
        <v>1.0</v>
      </c>
      <c r="J68" s="194">
        <f t="shared" si="8"/>
        <v>67.918818</v>
      </c>
      <c r="K68" s="139"/>
      <c r="L68" s="197"/>
      <c r="M68" s="198"/>
      <c r="N68" s="198"/>
      <c r="O68" s="139"/>
      <c r="P68" s="139"/>
      <c r="Q68" s="141">
        <v>16.5</v>
      </c>
      <c r="R68" s="187">
        <f t="shared" si="9"/>
        <v>2.06</v>
      </c>
      <c r="S68" s="181">
        <f t="shared" si="10"/>
        <v>1</v>
      </c>
      <c r="T68" s="181">
        <f t="shared" si="11"/>
        <v>2.06</v>
      </c>
      <c r="U68" s="186">
        <f t="shared" si="12"/>
        <v>67.918818</v>
      </c>
      <c r="V68" s="187">
        <f t="shared" ref="V68:W68" si="64">C68/100</f>
        <v>0.97</v>
      </c>
      <c r="W68" s="187">
        <f t="shared" si="64"/>
        <v>2.06</v>
      </c>
      <c r="X68" s="187">
        <f t="shared" si="14"/>
        <v>2.06</v>
      </c>
      <c r="Y68" s="189">
        <f t="shared" si="15"/>
        <v>4.116292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81">
        <v>49.0</v>
      </c>
      <c r="B69" s="191" t="s">
        <v>77</v>
      </c>
      <c r="C69" s="191">
        <v>95.0</v>
      </c>
      <c r="D69" s="191">
        <v>206.0</v>
      </c>
      <c r="E69" s="191">
        <v>206.0</v>
      </c>
      <c r="F69" s="191">
        <f t="shared" si="5"/>
        <v>0</v>
      </c>
      <c r="G69" s="191">
        <f t="shared" si="6"/>
        <v>66.51843</v>
      </c>
      <c r="H69" s="192">
        <f t="shared" si="7"/>
        <v>66.51843</v>
      </c>
      <c r="I69" s="191">
        <v>2.0</v>
      </c>
      <c r="J69" s="194">
        <f t="shared" si="8"/>
        <v>133.03686</v>
      </c>
      <c r="K69" s="139"/>
      <c r="L69" s="197"/>
      <c r="M69" s="198"/>
      <c r="N69" s="198"/>
      <c r="O69" s="139"/>
      <c r="P69" s="139"/>
      <c r="Q69" s="141">
        <v>16.5</v>
      </c>
      <c r="R69" s="187">
        <f t="shared" si="9"/>
        <v>2.06</v>
      </c>
      <c r="S69" s="181">
        <f t="shared" si="10"/>
        <v>2</v>
      </c>
      <c r="T69" s="181">
        <f t="shared" si="11"/>
        <v>4.12</v>
      </c>
      <c r="U69" s="186">
        <f t="shared" si="12"/>
        <v>66.51843</v>
      </c>
      <c r="V69" s="187">
        <f t="shared" ref="V69:W69" si="65">C69/100</f>
        <v>0.95</v>
      </c>
      <c r="W69" s="187">
        <f t="shared" si="65"/>
        <v>2.06</v>
      </c>
      <c r="X69" s="187">
        <f t="shared" si="14"/>
        <v>4.12</v>
      </c>
      <c r="Y69" s="189">
        <f t="shared" si="15"/>
        <v>8.06284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81">
        <v>50.0</v>
      </c>
      <c r="B70" s="191" t="s">
        <v>77</v>
      </c>
      <c r="C70" s="191">
        <v>95.0</v>
      </c>
      <c r="D70" s="191">
        <v>206.0</v>
      </c>
      <c r="E70" s="191">
        <v>207.0</v>
      </c>
      <c r="F70" s="191">
        <f t="shared" si="5"/>
        <v>0</v>
      </c>
      <c r="G70" s="191">
        <f t="shared" si="6"/>
        <v>66.841335</v>
      </c>
      <c r="H70" s="192">
        <f t="shared" si="7"/>
        <v>66.841335</v>
      </c>
      <c r="I70" s="191">
        <v>1.0</v>
      </c>
      <c r="J70" s="194">
        <f t="shared" si="8"/>
        <v>66.841335</v>
      </c>
      <c r="K70" s="139"/>
      <c r="L70" s="197"/>
      <c r="M70" s="198"/>
      <c r="N70" s="198"/>
      <c r="O70" s="139"/>
      <c r="P70" s="139"/>
      <c r="Q70" s="141">
        <v>16.5</v>
      </c>
      <c r="R70" s="187">
        <f t="shared" si="9"/>
        <v>2.07</v>
      </c>
      <c r="S70" s="181">
        <f t="shared" si="10"/>
        <v>1</v>
      </c>
      <c r="T70" s="181">
        <f t="shared" si="11"/>
        <v>2.07</v>
      </c>
      <c r="U70" s="186">
        <f t="shared" si="12"/>
        <v>66.841335</v>
      </c>
      <c r="V70" s="187">
        <f t="shared" ref="V70:W70" si="66">C70/100</f>
        <v>0.95</v>
      </c>
      <c r="W70" s="187">
        <f t="shared" si="66"/>
        <v>2.06</v>
      </c>
      <c r="X70" s="187">
        <f t="shared" si="14"/>
        <v>2.07</v>
      </c>
      <c r="Y70" s="189">
        <f t="shared" si="15"/>
        <v>4.05099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81">
        <v>51.0</v>
      </c>
      <c r="B71" s="191" t="s">
        <v>77</v>
      </c>
      <c r="C71" s="191">
        <v>96.0</v>
      </c>
      <c r="D71" s="191">
        <v>206.0</v>
      </c>
      <c r="E71" s="191">
        <v>207.0</v>
      </c>
      <c r="F71" s="191">
        <f t="shared" si="5"/>
        <v>0</v>
      </c>
      <c r="G71" s="191">
        <f t="shared" si="6"/>
        <v>67.544928</v>
      </c>
      <c r="H71" s="192">
        <f t="shared" si="7"/>
        <v>67.544928</v>
      </c>
      <c r="I71" s="191">
        <v>2.0</v>
      </c>
      <c r="J71" s="194">
        <f t="shared" si="8"/>
        <v>135.089856</v>
      </c>
      <c r="K71" s="139"/>
      <c r="L71" s="197"/>
      <c r="M71" s="198"/>
      <c r="N71" s="198"/>
      <c r="O71" s="139"/>
      <c r="P71" s="139"/>
      <c r="Q71" s="141">
        <v>16.5</v>
      </c>
      <c r="R71" s="187">
        <f t="shared" si="9"/>
        <v>2.07</v>
      </c>
      <c r="S71" s="181">
        <f t="shared" si="10"/>
        <v>2</v>
      </c>
      <c r="T71" s="181">
        <f t="shared" si="11"/>
        <v>4.14</v>
      </c>
      <c r="U71" s="186">
        <f t="shared" si="12"/>
        <v>67.544928</v>
      </c>
      <c r="V71" s="187">
        <f t="shared" ref="V71:W71" si="67">C71/100</f>
        <v>0.96</v>
      </c>
      <c r="W71" s="187">
        <f t="shared" si="67"/>
        <v>2.06</v>
      </c>
      <c r="X71" s="187">
        <f t="shared" si="14"/>
        <v>4.14</v>
      </c>
      <c r="Y71" s="189">
        <f t="shared" si="15"/>
        <v>8.187264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81">
        <v>52.0</v>
      </c>
      <c r="B72" s="191" t="s">
        <v>77</v>
      </c>
      <c r="C72" s="191">
        <v>100.0</v>
      </c>
      <c r="D72" s="191">
        <v>206.0</v>
      </c>
      <c r="E72" s="191">
        <v>267.0</v>
      </c>
      <c r="F72" s="191">
        <f t="shared" si="5"/>
        <v>0</v>
      </c>
      <c r="G72" s="191">
        <f t="shared" si="6"/>
        <v>90.7533</v>
      </c>
      <c r="H72" s="192">
        <f t="shared" si="7"/>
        <v>90.7533</v>
      </c>
      <c r="I72" s="191">
        <v>1.0</v>
      </c>
      <c r="J72" s="194">
        <f t="shared" si="8"/>
        <v>90.7533</v>
      </c>
      <c r="K72" s="139"/>
      <c r="L72" s="197"/>
      <c r="M72" s="198"/>
      <c r="N72" s="198"/>
      <c r="O72" s="139"/>
      <c r="P72" s="139"/>
      <c r="Q72" s="141">
        <v>16.5</v>
      </c>
      <c r="R72" s="187">
        <f t="shared" si="9"/>
        <v>2.67</v>
      </c>
      <c r="S72" s="181">
        <f t="shared" si="10"/>
        <v>1</v>
      </c>
      <c r="T72" s="181">
        <f t="shared" si="11"/>
        <v>2.67</v>
      </c>
      <c r="U72" s="186">
        <f t="shared" si="12"/>
        <v>90.7533</v>
      </c>
      <c r="V72" s="187">
        <f t="shared" ref="V72:W72" si="68">C72/100</f>
        <v>1</v>
      </c>
      <c r="W72" s="187">
        <f t="shared" si="68"/>
        <v>2.06</v>
      </c>
      <c r="X72" s="187">
        <f t="shared" si="14"/>
        <v>2.67</v>
      </c>
      <c r="Y72" s="189">
        <f t="shared" si="15"/>
        <v>5.5002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81">
        <v>53.0</v>
      </c>
      <c r="B73" s="191" t="s">
        <v>77</v>
      </c>
      <c r="C73" s="191">
        <v>100.0</v>
      </c>
      <c r="D73" s="191">
        <v>206.0</v>
      </c>
      <c r="E73" s="191">
        <v>205.0</v>
      </c>
      <c r="F73" s="191">
        <f t="shared" si="5"/>
        <v>0</v>
      </c>
      <c r="G73" s="191">
        <f t="shared" si="6"/>
        <v>69.6795</v>
      </c>
      <c r="H73" s="192">
        <f t="shared" si="7"/>
        <v>69.6795</v>
      </c>
      <c r="I73" s="191">
        <v>1.0</v>
      </c>
      <c r="J73" s="194">
        <f t="shared" si="8"/>
        <v>69.6795</v>
      </c>
      <c r="K73" s="139"/>
      <c r="L73" s="197"/>
      <c r="M73" s="198"/>
      <c r="N73" s="198"/>
      <c r="O73" s="139"/>
      <c r="P73" s="139"/>
      <c r="Q73" s="141">
        <v>16.5</v>
      </c>
      <c r="R73" s="187">
        <f t="shared" si="9"/>
        <v>2.05</v>
      </c>
      <c r="S73" s="181">
        <f t="shared" si="10"/>
        <v>1</v>
      </c>
      <c r="T73" s="181">
        <f t="shared" si="11"/>
        <v>2.05</v>
      </c>
      <c r="U73" s="186">
        <f t="shared" si="12"/>
        <v>69.6795</v>
      </c>
      <c r="V73" s="187">
        <f t="shared" ref="V73:W73" si="69">C73/100</f>
        <v>1</v>
      </c>
      <c r="W73" s="187">
        <f t="shared" si="69"/>
        <v>2.06</v>
      </c>
      <c r="X73" s="187">
        <f t="shared" si="14"/>
        <v>2.05</v>
      </c>
      <c r="Y73" s="189">
        <f t="shared" si="15"/>
        <v>4.223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7.0" customHeight="1">
      <c r="A74" s="181">
        <v>54.0</v>
      </c>
      <c r="B74" s="191" t="s">
        <v>77</v>
      </c>
      <c r="C74" s="191">
        <v>103.0</v>
      </c>
      <c r="D74" s="191">
        <v>206.0</v>
      </c>
      <c r="E74" s="191">
        <v>206.0</v>
      </c>
      <c r="F74" s="191">
        <f t="shared" si="5"/>
        <v>0</v>
      </c>
      <c r="G74" s="191">
        <f t="shared" si="6"/>
        <v>72.119982</v>
      </c>
      <c r="H74" s="192">
        <f t="shared" si="7"/>
        <v>72.119982</v>
      </c>
      <c r="I74" s="191">
        <v>1.0</v>
      </c>
      <c r="J74" s="194">
        <f t="shared" si="8"/>
        <v>72.119982</v>
      </c>
      <c r="K74" s="139"/>
      <c r="L74" s="197"/>
      <c r="M74" s="198"/>
      <c r="N74" s="198"/>
      <c r="O74" s="139"/>
      <c r="P74" s="139"/>
      <c r="Q74" s="141">
        <v>16.5</v>
      </c>
      <c r="R74" s="187">
        <f t="shared" si="9"/>
        <v>2.06</v>
      </c>
      <c r="S74" s="181">
        <f t="shared" si="10"/>
        <v>1</v>
      </c>
      <c r="T74" s="181">
        <f t="shared" si="11"/>
        <v>2.06</v>
      </c>
      <c r="U74" s="186">
        <f t="shared" si="12"/>
        <v>72.119982</v>
      </c>
      <c r="V74" s="187">
        <f t="shared" ref="V74:W74" si="70">C74/100</f>
        <v>1.03</v>
      </c>
      <c r="W74" s="187">
        <f t="shared" si="70"/>
        <v>2.06</v>
      </c>
      <c r="X74" s="187">
        <f t="shared" si="14"/>
        <v>2.06</v>
      </c>
      <c r="Y74" s="189">
        <f t="shared" si="15"/>
        <v>4.370908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27.0" customHeight="1">
      <c r="A75" s="181">
        <v>55.0</v>
      </c>
      <c r="B75" s="191" t="s">
        <v>77</v>
      </c>
      <c r="C75" s="191">
        <v>102.0</v>
      </c>
      <c r="D75" s="191">
        <v>206.0</v>
      </c>
      <c r="E75" s="191">
        <v>207.0</v>
      </c>
      <c r="F75" s="191">
        <f t="shared" si="5"/>
        <v>0</v>
      </c>
      <c r="G75" s="191">
        <f t="shared" si="6"/>
        <v>71.766486</v>
      </c>
      <c r="H75" s="192">
        <f t="shared" si="7"/>
        <v>71.766486</v>
      </c>
      <c r="I75" s="191">
        <v>3.0</v>
      </c>
      <c r="J75" s="194">
        <f t="shared" si="8"/>
        <v>215.299458</v>
      </c>
      <c r="K75" s="139"/>
      <c r="L75" s="197"/>
      <c r="M75" s="198"/>
      <c r="N75" s="198"/>
      <c r="O75" s="139"/>
      <c r="P75" s="139"/>
      <c r="Q75" s="141">
        <v>16.5</v>
      </c>
      <c r="R75" s="187">
        <f t="shared" si="9"/>
        <v>2.07</v>
      </c>
      <c r="S75" s="181">
        <f t="shared" si="10"/>
        <v>3</v>
      </c>
      <c r="T75" s="181">
        <f t="shared" si="11"/>
        <v>6.21</v>
      </c>
      <c r="U75" s="186">
        <f t="shared" si="12"/>
        <v>71.766486</v>
      </c>
      <c r="V75" s="187">
        <f t="shared" ref="V75:W75" si="71">C75/100</f>
        <v>1.02</v>
      </c>
      <c r="W75" s="187">
        <f t="shared" si="71"/>
        <v>2.06</v>
      </c>
      <c r="X75" s="187">
        <f t="shared" si="14"/>
        <v>6.21</v>
      </c>
      <c r="Y75" s="189">
        <f t="shared" si="15"/>
        <v>13.048452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27.0" customHeight="1">
      <c r="A76" s="181">
        <v>56.0</v>
      </c>
      <c r="B76" s="191" t="s">
        <v>77</v>
      </c>
      <c r="C76" s="191">
        <v>101.0</v>
      </c>
      <c r="D76" s="191">
        <v>206.0</v>
      </c>
      <c r="E76" s="191">
        <v>206.0</v>
      </c>
      <c r="F76" s="191">
        <f t="shared" si="5"/>
        <v>0</v>
      </c>
      <c r="G76" s="191">
        <f t="shared" si="6"/>
        <v>70.719594</v>
      </c>
      <c r="H76" s="192">
        <f t="shared" si="7"/>
        <v>70.719594</v>
      </c>
      <c r="I76" s="191">
        <v>1.0</v>
      </c>
      <c r="J76" s="194">
        <f t="shared" si="8"/>
        <v>70.719594</v>
      </c>
      <c r="K76" s="139"/>
      <c r="L76" s="197"/>
      <c r="M76" s="198"/>
      <c r="N76" s="198"/>
      <c r="O76" s="139"/>
      <c r="P76" s="139"/>
      <c r="Q76" s="141">
        <v>16.5</v>
      </c>
      <c r="R76" s="187">
        <f t="shared" si="9"/>
        <v>2.06</v>
      </c>
      <c r="S76" s="181">
        <f t="shared" si="10"/>
        <v>1</v>
      </c>
      <c r="T76" s="181">
        <f t="shared" si="11"/>
        <v>2.06</v>
      </c>
      <c r="U76" s="186">
        <f t="shared" si="12"/>
        <v>70.719594</v>
      </c>
      <c r="V76" s="187">
        <f t="shared" ref="V76:W76" si="72">C76/100</f>
        <v>1.01</v>
      </c>
      <c r="W76" s="187">
        <f t="shared" si="72"/>
        <v>2.06</v>
      </c>
      <c r="X76" s="187">
        <f t="shared" si="14"/>
        <v>2.06</v>
      </c>
      <c r="Y76" s="189">
        <f t="shared" si="15"/>
        <v>4.286036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27.0" customHeight="1">
      <c r="A77" s="181">
        <v>57.0</v>
      </c>
      <c r="B77" s="191" t="s">
        <v>77</v>
      </c>
      <c r="C77" s="191">
        <v>100.0</v>
      </c>
      <c r="D77" s="191">
        <v>206.0</v>
      </c>
      <c r="E77" s="191">
        <v>209.0</v>
      </c>
      <c r="F77" s="191">
        <f t="shared" si="5"/>
        <v>0</v>
      </c>
      <c r="G77" s="191">
        <f t="shared" si="6"/>
        <v>71.0391</v>
      </c>
      <c r="H77" s="192">
        <f t="shared" si="7"/>
        <v>71.0391</v>
      </c>
      <c r="I77" s="191">
        <v>1.0</v>
      </c>
      <c r="J77" s="194">
        <f t="shared" si="8"/>
        <v>71.0391</v>
      </c>
      <c r="K77" s="139"/>
      <c r="L77" s="197"/>
      <c r="M77" s="198"/>
      <c r="N77" s="198"/>
      <c r="O77" s="139"/>
      <c r="P77" s="139"/>
      <c r="Q77" s="141">
        <v>16.5</v>
      </c>
      <c r="R77" s="187">
        <f t="shared" si="9"/>
        <v>2.09</v>
      </c>
      <c r="S77" s="181">
        <f t="shared" si="10"/>
        <v>1</v>
      </c>
      <c r="T77" s="181">
        <f t="shared" si="11"/>
        <v>2.09</v>
      </c>
      <c r="U77" s="186">
        <f t="shared" si="12"/>
        <v>71.0391</v>
      </c>
      <c r="V77" s="187">
        <f t="shared" ref="V77:W77" si="73">C77/100</f>
        <v>1</v>
      </c>
      <c r="W77" s="187">
        <f t="shared" si="73"/>
        <v>2.06</v>
      </c>
      <c r="X77" s="187">
        <f t="shared" si="14"/>
        <v>2.09</v>
      </c>
      <c r="Y77" s="189">
        <f t="shared" si="15"/>
        <v>4.3054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27.0" customHeight="1">
      <c r="A78" s="181">
        <v>58.0</v>
      </c>
      <c r="B78" s="191" t="s">
        <v>77</v>
      </c>
      <c r="C78" s="191">
        <v>101.0</v>
      </c>
      <c r="D78" s="191">
        <v>206.0</v>
      </c>
      <c r="E78" s="191">
        <v>207.0</v>
      </c>
      <c r="F78" s="191">
        <f t="shared" si="5"/>
        <v>0</v>
      </c>
      <c r="G78" s="191">
        <f t="shared" si="6"/>
        <v>71.062893</v>
      </c>
      <c r="H78" s="192">
        <f t="shared" si="7"/>
        <v>71.062893</v>
      </c>
      <c r="I78" s="191">
        <v>3.0</v>
      </c>
      <c r="J78" s="194">
        <f t="shared" si="8"/>
        <v>213.188679</v>
      </c>
      <c r="K78" s="139"/>
      <c r="L78" s="197"/>
      <c r="M78" s="198"/>
      <c r="N78" s="198"/>
      <c r="O78" s="139"/>
      <c r="P78" s="139"/>
      <c r="Q78" s="141">
        <v>16.5</v>
      </c>
      <c r="R78" s="187">
        <f t="shared" si="9"/>
        <v>2.07</v>
      </c>
      <c r="S78" s="181">
        <f t="shared" si="10"/>
        <v>3</v>
      </c>
      <c r="T78" s="181">
        <f t="shared" si="11"/>
        <v>6.21</v>
      </c>
      <c r="U78" s="186">
        <f t="shared" si="12"/>
        <v>71.062893</v>
      </c>
      <c r="V78" s="187">
        <f t="shared" ref="V78:W78" si="74">C78/100</f>
        <v>1.01</v>
      </c>
      <c r="W78" s="187">
        <f t="shared" si="74"/>
        <v>2.06</v>
      </c>
      <c r="X78" s="187">
        <f t="shared" si="14"/>
        <v>6.21</v>
      </c>
      <c r="Y78" s="189">
        <f t="shared" si="15"/>
        <v>12.920526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7.0" customHeight="1">
      <c r="A79" s="181">
        <v>59.0</v>
      </c>
      <c r="B79" s="191" t="s">
        <v>77</v>
      </c>
      <c r="C79" s="191">
        <v>99.0</v>
      </c>
      <c r="D79" s="191">
        <v>206.0</v>
      </c>
      <c r="E79" s="191">
        <v>206.0</v>
      </c>
      <c r="F79" s="191">
        <f t="shared" si="5"/>
        <v>0</v>
      </c>
      <c r="G79" s="191">
        <f t="shared" si="6"/>
        <v>69.319206</v>
      </c>
      <c r="H79" s="192">
        <f t="shared" si="7"/>
        <v>69.319206</v>
      </c>
      <c r="I79" s="191">
        <v>1.0</v>
      </c>
      <c r="J79" s="194">
        <f t="shared" si="8"/>
        <v>69.319206</v>
      </c>
      <c r="K79" s="139"/>
      <c r="L79" s="197"/>
      <c r="M79" s="198"/>
      <c r="N79" s="198"/>
      <c r="O79" s="139"/>
      <c r="P79" s="139"/>
      <c r="Q79" s="141">
        <v>16.5</v>
      </c>
      <c r="R79" s="187">
        <f t="shared" si="9"/>
        <v>2.06</v>
      </c>
      <c r="S79" s="181">
        <f t="shared" si="10"/>
        <v>1</v>
      </c>
      <c r="T79" s="181">
        <f t="shared" si="11"/>
        <v>2.06</v>
      </c>
      <c r="U79" s="186">
        <f t="shared" si="12"/>
        <v>69.319206</v>
      </c>
      <c r="V79" s="187">
        <f t="shared" ref="V79:W79" si="75">C79/100</f>
        <v>0.99</v>
      </c>
      <c r="W79" s="187">
        <f t="shared" si="75"/>
        <v>2.06</v>
      </c>
      <c r="X79" s="187">
        <f t="shared" si="14"/>
        <v>2.06</v>
      </c>
      <c r="Y79" s="189">
        <f t="shared" si="15"/>
        <v>4.201164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7.0" customHeight="1">
      <c r="A80" s="181">
        <v>60.0</v>
      </c>
      <c r="B80" s="191" t="s">
        <v>77</v>
      </c>
      <c r="C80" s="191">
        <v>98.0</v>
      </c>
      <c r="D80" s="191">
        <v>206.0</v>
      </c>
      <c r="E80" s="191">
        <v>207.0</v>
      </c>
      <c r="F80" s="191">
        <f t="shared" si="5"/>
        <v>0</v>
      </c>
      <c r="G80" s="191">
        <f t="shared" si="6"/>
        <v>68.952114</v>
      </c>
      <c r="H80" s="192">
        <f t="shared" si="7"/>
        <v>68.952114</v>
      </c>
      <c r="I80" s="191">
        <v>2.0</v>
      </c>
      <c r="J80" s="194">
        <f t="shared" si="8"/>
        <v>137.904228</v>
      </c>
      <c r="K80" s="139"/>
      <c r="L80" s="197"/>
      <c r="M80" s="198"/>
      <c r="N80" s="198"/>
      <c r="O80" s="139"/>
      <c r="P80" s="139"/>
      <c r="Q80" s="141">
        <v>16.5</v>
      </c>
      <c r="R80" s="187">
        <f t="shared" si="9"/>
        <v>2.07</v>
      </c>
      <c r="S80" s="181">
        <f t="shared" si="10"/>
        <v>2</v>
      </c>
      <c r="T80" s="181">
        <f t="shared" si="11"/>
        <v>4.14</v>
      </c>
      <c r="U80" s="186">
        <f t="shared" si="12"/>
        <v>68.952114</v>
      </c>
      <c r="V80" s="187">
        <f t="shared" ref="V80:W80" si="76">C80/100</f>
        <v>0.98</v>
      </c>
      <c r="W80" s="187">
        <f t="shared" si="76"/>
        <v>2.06</v>
      </c>
      <c r="X80" s="187">
        <f t="shared" si="14"/>
        <v>4.14</v>
      </c>
      <c r="Y80" s="189">
        <f t="shared" si="15"/>
        <v>8.357832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7.0" customHeight="1">
      <c r="A81" s="181">
        <v>61.0</v>
      </c>
      <c r="B81" s="182" t="s">
        <v>64</v>
      </c>
      <c r="C81" s="183">
        <v>90.0</v>
      </c>
      <c r="D81" s="183">
        <v>203.0</v>
      </c>
      <c r="E81" s="183">
        <v>234.0</v>
      </c>
      <c r="F81" s="183">
        <f t="shared" si="5"/>
        <v>0.8</v>
      </c>
      <c r="G81" s="183">
        <f t="shared" si="6"/>
        <v>126.11781</v>
      </c>
      <c r="H81" s="184">
        <f t="shared" si="7"/>
        <v>100.894248</v>
      </c>
      <c r="I81" s="183">
        <v>1.0</v>
      </c>
      <c r="J81" s="194">
        <f t="shared" si="8"/>
        <v>100.894248</v>
      </c>
      <c r="K81" s="139"/>
      <c r="L81" s="197"/>
      <c r="M81" s="198"/>
      <c r="N81" s="198"/>
      <c r="O81" s="139"/>
      <c r="P81" s="139"/>
      <c r="Q81" s="141">
        <v>29.5</v>
      </c>
      <c r="R81" s="187">
        <f t="shared" si="9"/>
        <v>2.34</v>
      </c>
      <c r="S81" s="181">
        <f t="shared" si="10"/>
        <v>1</v>
      </c>
      <c r="T81" s="181">
        <f t="shared" si="11"/>
        <v>2.34</v>
      </c>
      <c r="U81" s="186">
        <f t="shared" si="12"/>
        <v>126.11781</v>
      </c>
      <c r="V81" s="187">
        <f t="shared" ref="V81:W81" si="77">C81/100</f>
        <v>0.9</v>
      </c>
      <c r="W81" s="187">
        <f t="shared" si="77"/>
        <v>2.03</v>
      </c>
      <c r="X81" s="187">
        <f t="shared" si="14"/>
        <v>2.34</v>
      </c>
      <c r="Y81" s="189">
        <f t="shared" si="15"/>
        <v>4.27518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27.0" customHeight="1">
      <c r="A82" s="181">
        <v>62.0</v>
      </c>
      <c r="B82" s="191" t="s">
        <v>55</v>
      </c>
      <c r="C82" s="191">
        <v>99.0</v>
      </c>
      <c r="D82" s="191">
        <v>203.0</v>
      </c>
      <c r="E82" s="191">
        <v>234.0</v>
      </c>
      <c r="F82" s="191">
        <f t="shared" si="5"/>
        <v>0</v>
      </c>
      <c r="G82" s="191">
        <f t="shared" si="6"/>
        <v>138.729591</v>
      </c>
      <c r="H82" s="192">
        <f t="shared" si="7"/>
        <v>138.729591</v>
      </c>
      <c r="I82" s="191">
        <v>12.0</v>
      </c>
      <c r="J82" s="194">
        <f t="shared" si="8"/>
        <v>1664.755092</v>
      </c>
      <c r="K82" s="139"/>
      <c r="L82" s="197"/>
      <c r="M82" s="198"/>
      <c r="N82" s="198"/>
      <c r="O82" s="139"/>
      <c r="P82" s="139"/>
      <c r="Q82" s="141">
        <v>29.5</v>
      </c>
      <c r="R82" s="187">
        <f t="shared" si="9"/>
        <v>2.34</v>
      </c>
      <c r="S82" s="181">
        <f t="shared" si="10"/>
        <v>12</v>
      </c>
      <c r="T82" s="181">
        <f t="shared" si="11"/>
        <v>28.08</v>
      </c>
      <c r="U82" s="186">
        <f t="shared" si="12"/>
        <v>138.729591</v>
      </c>
      <c r="V82" s="187">
        <f t="shared" ref="V82:W82" si="78">C82/100</f>
        <v>0.99</v>
      </c>
      <c r="W82" s="187">
        <f t="shared" si="78"/>
        <v>2.03</v>
      </c>
      <c r="X82" s="187">
        <f t="shared" si="14"/>
        <v>28.08</v>
      </c>
      <c r="Y82" s="189">
        <f t="shared" si="15"/>
        <v>56.432376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7.0" customHeight="1">
      <c r="A83" s="181">
        <v>63.0</v>
      </c>
      <c r="B83" s="191" t="s">
        <v>55</v>
      </c>
      <c r="C83" s="191">
        <v>99.0</v>
      </c>
      <c r="D83" s="191">
        <v>203.0</v>
      </c>
      <c r="E83" s="191">
        <v>233.0</v>
      </c>
      <c r="F83" s="191">
        <f t="shared" si="5"/>
        <v>0</v>
      </c>
      <c r="G83" s="191">
        <f t="shared" si="6"/>
        <v>138.1367295</v>
      </c>
      <c r="H83" s="192">
        <f t="shared" si="7"/>
        <v>138.1367295</v>
      </c>
      <c r="I83" s="191">
        <v>30.0</v>
      </c>
      <c r="J83" s="194">
        <f t="shared" si="8"/>
        <v>4144.101885</v>
      </c>
      <c r="K83" s="139"/>
      <c r="L83" s="197"/>
      <c r="M83" s="198"/>
      <c r="N83" s="198"/>
      <c r="O83" s="139"/>
      <c r="P83" s="139"/>
      <c r="Q83" s="141">
        <v>29.5</v>
      </c>
      <c r="R83" s="187">
        <f t="shared" si="9"/>
        <v>2.33</v>
      </c>
      <c r="S83" s="181">
        <f t="shared" si="10"/>
        <v>30</v>
      </c>
      <c r="T83" s="181">
        <f t="shared" si="11"/>
        <v>69.9</v>
      </c>
      <c r="U83" s="186">
        <f t="shared" si="12"/>
        <v>138.1367295</v>
      </c>
      <c r="V83" s="187">
        <f t="shared" ref="V83:W83" si="79">C83/100</f>
        <v>0.99</v>
      </c>
      <c r="W83" s="187">
        <f t="shared" si="79"/>
        <v>2.03</v>
      </c>
      <c r="X83" s="187">
        <f t="shared" si="14"/>
        <v>69.9</v>
      </c>
      <c r="Y83" s="189">
        <f t="shared" si="15"/>
        <v>140.47803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7.0" customHeight="1">
      <c r="A84" s="181">
        <v>64.0</v>
      </c>
      <c r="B84" s="191" t="s">
        <v>55</v>
      </c>
      <c r="C84" s="191">
        <v>98.0</v>
      </c>
      <c r="D84" s="191">
        <v>203.0</v>
      </c>
      <c r="E84" s="191">
        <v>233.0</v>
      </c>
      <c r="F84" s="191">
        <f t="shared" si="5"/>
        <v>0</v>
      </c>
      <c r="G84" s="191">
        <f t="shared" si="6"/>
        <v>136.741409</v>
      </c>
      <c r="H84" s="192">
        <f t="shared" si="7"/>
        <v>136.741409</v>
      </c>
      <c r="I84" s="191">
        <v>8.0</v>
      </c>
      <c r="J84" s="194">
        <f t="shared" si="8"/>
        <v>1093.931272</v>
      </c>
      <c r="K84" s="139"/>
      <c r="L84" s="197"/>
      <c r="M84" s="198"/>
      <c r="N84" s="198"/>
      <c r="O84" s="139"/>
      <c r="P84" s="139"/>
      <c r="Q84" s="141">
        <v>29.5</v>
      </c>
      <c r="R84" s="187">
        <f t="shared" si="9"/>
        <v>2.33</v>
      </c>
      <c r="S84" s="181">
        <f t="shared" si="10"/>
        <v>8</v>
      </c>
      <c r="T84" s="181">
        <f t="shared" si="11"/>
        <v>18.64</v>
      </c>
      <c r="U84" s="186">
        <f t="shared" si="12"/>
        <v>136.741409</v>
      </c>
      <c r="V84" s="187">
        <f t="shared" ref="V84:W84" si="80">C84/100</f>
        <v>0.98</v>
      </c>
      <c r="W84" s="187">
        <f t="shared" si="80"/>
        <v>2.03</v>
      </c>
      <c r="X84" s="187">
        <f t="shared" si="14"/>
        <v>18.64</v>
      </c>
      <c r="Y84" s="189">
        <f t="shared" si="15"/>
        <v>37.082416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7.0" customHeight="1">
      <c r="A85" s="181">
        <v>65.0</v>
      </c>
      <c r="B85" s="191" t="s">
        <v>55</v>
      </c>
      <c r="C85" s="191">
        <v>98.0</v>
      </c>
      <c r="D85" s="191">
        <v>203.0</v>
      </c>
      <c r="E85" s="191">
        <v>234.0</v>
      </c>
      <c r="F85" s="191">
        <f t="shared" si="5"/>
        <v>0</v>
      </c>
      <c r="G85" s="191">
        <f t="shared" si="6"/>
        <v>137.328282</v>
      </c>
      <c r="H85" s="192">
        <f t="shared" si="7"/>
        <v>137.328282</v>
      </c>
      <c r="I85" s="191">
        <v>12.0</v>
      </c>
      <c r="J85" s="194">
        <f t="shared" si="8"/>
        <v>1647.939384</v>
      </c>
      <c r="K85" s="139"/>
      <c r="L85" s="197"/>
      <c r="M85" s="198"/>
      <c r="N85" s="198"/>
      <c r="O85" s="139"/>
      <c r="P85" s="139"/>
      <c r="Q85" s="141">
        <v>29.5</v>
      </c>
      <c r="R85" s="187">
        <f t="shared" si="9"/>
        <v>2.34</v>
      </c>
      <c r="S85" s="181">
        <f t="shared" si="10"/>
        <v>12</v>
      </c>
      <c r="T85" s="181">
        <f t="shared" si="11"/>
        <v>28.08</v>
      </c>
      <c r="U85" s="186">
        <f t="shared" si="12"/>
        <v>137.328282</v>
      </c>
      <c r="V85" s="187">
        <f t="shared" ref="V85:W85" si="81">C85/100</f>
        <v>0.98</v>
      </c>
      <c r="W85" s="187">
        <f t="shared" si="81"/>
        <v>2.03</v>
      </c>
      <c r="X85" s="187">
        <f t="shared" si="14"/>
        <v>28.08</v>
      </c>
      <c r="Y85" s="189">
        <f t="shared" si="15"/>
        <v>55.862352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7.0" customHeight="1">
      <c r="A86" s="181">
        <v>66.0</v>
      </c>
      <c r="B86" s="191" t="s">
        <v>55</v>
      </c>
      <c r="C86" s="191">
        <v>97.0</v>
      </c>
      <c r="D86" s="191">
        <v>203.0</v>
      </c>
      <c r="E86" s="191">
        <v>233.0</v>
      </c>
      <c r="F86" s="191">
        <f t="shared" si="5"/>
        <v>0</v>
      </c>
      <c r="G86" s="191">
        <f t="shared" si="6"/>
        <v>135.3460885</v>
      </c>
      <c r="H86" s="192">
        <f t="shared" si="7"/>
        <v>135.3460885</v>
      </c>
      <c r="I86" s="191">
        <v>1.0</v>
      </c>
      <c r="J86" s="194">
        <f t="shared" si="8"/>
        <v>135.3460885</v>
      </c>
      <c r="K86" s="139"/>
      <c r="L86" s="197"/>
      <c r="M86" s="198"/>
      <c r="N86" s="198"/>
      <c r="O86" s="139"/>
      <c r="P86" s="139"/>
      <c r="Q86" s="141">
        <v>29.5</v>
      </c>
      <c r="R86" s="187">
        <f t="shared" si="9"/>
        <v>2.33</v>
      </c>
      <c r="S86" s="181">
        <f t="shared" si="10"/>
        <v>1</v>
      </c>
      <c r="T86" s="181">
        <f t="shared" si="11"/>
        <v>2.33</v>
      </c>
      <c r="U86" s="186">
        <f t="shared" si="12"/>
        <v>135.3460885</v>
      </c>
      <c r="V86" s="187">
        <f t="shared" ref="V86:W86" si="82">C86/100</f>
        <v>0.97</v>
      </c>
      <c r="W86" s="187">
        <f t="shared" si="82"/>
        <v>2.03</v>
      </c>
      <c r="X86" s="187">
        <f t="shared" si="14"/>
        <v>2.33</v>
      </c>
      <c r="Y86" s="189">
        <f t="shared" si="15"/>
        <v>4.588003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7.0" customHeight="1">
      <c r="A87" s="181">
        <v>67.0</v>
      </c>
      <c r="B87" s="191" t="s">
        <v>55</v>
      </c>
      <c r="C87" s="191">
        <v>80.0</v>
      </c>
      <c r="D87" s="191">
        <v>203.0</v>
      </c>
      <c r="E87" s="191">
        <v>232.0</v>
      </c>
      <c r="F87" s="191">
        <f t="shared" si="5"/>
        <v>0</v>
      </c>
      <c r="G87" s="191">
        <f t="shared" si="6"/>
        <v>111.14656</v>
      </c>
      <c r="H87" s="192">
        <f t="shared" si="7"/>
        <v>111.14656</v>
      </c>
      <c r="I87" s="191">
        <v>1.0</v>
      </c>
      <c r="J87" s="194">
        <f t="shared" si="8"/>
        <v>111.14656</v>
      </c>
      <c r="K87" s="139"/>
      <c r="L87" s="197"/>
      <c r="M87" s="198"/>
      <c r="N87" s="198"/>
      <c r="O87" s="139"/>
      <c r="P87" s="139"/>
      <c r="Q87" s="141">
        <v>29.5</v>
      </c>
      <c r="R87" s="187">
        <f t="shared" si="9"/>
        <v>2.32</v>
      </c>
      <c r="S87" s="181">
        <f t="shared" si="10"/>
        <v>1</v>
      </c>
      <c r="T87" s="181">
        <f t="shared" si="11"/>
        <v>2.32</v>
      </c>
      <c r="U87" s="186">
        <f t="shared" si="12"/>
        <v>111.14656</v>
      </c>
      <c r="V87" s="187">
        <f t="shared" ref="V87:W87" si="83">C87/100</f>
        <v>0.8</v>
      </c>
      <c r="W87" s="187">
        <f t="shared" si="83"/>
        <v>2.03</v>
      </c>
      <c r="X87" s="187">
        <f t="shared" si="14"/>
        <v>2.32</v>
      </c>
      <c r="Y87" s="189">
        <f t="shared" si="15"/>
        <v>3.76768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27.0" customHeight="1">
      <c r="A88" s="181">
        <v>68.0</v>
      </c>
      <c r="B88" s="191" t="s">
        <v>55</v>
      </c>
      <c r="C88" s="191">
        <v>97.0</v>
      </c>
      <c r="D88" s="191">
        <v>203.0</v>
      </c>
      <c r="E88" s="191">
        <v>232.0</v>
      </c>
      <c r="F88" s="191">
        <f t="shared" si="5"/>
        <v>0</v>
      </c>
      <c r="G88" s="191">
        <f t="shared" si="6"/>
        <v>134.765204</v>
      </c>
      <c r="H88" s="192">
        <f t="shared" si="7"/>
        <v>134.765204</v>
      </c>
      <c r="I88" s="191">
        <v>2.0</v>
      </c>
      <c r="J88" s="194">
        <f t="shared" si="8"/>
        <v>269.530408</v>
      </c>
      <c r="K88" s="139"/>
      <c r="L88" s="197"/>
      <c r="M88" s="198"/>
      <c r="N88" s="198"/>
      <c r="O88" s="139"/>
      <c r="P88" s="139"/>
      <c r="Q88" s="141">
        <v>29.5</v>
      </c>
      <c r="R88" s="187">
        <f t="shared" si="9"/>
        <v>2.32</v>
      </c>
      <c r="S88" s="181">
        <f t="shared" si="10"/>
        <v>2</v>
      </c>
      <c r="T88" s="181">
        <f t="shared" si="11"/>
        <v>4.64</v>
      </c>
      <c r="U88" s="186">
        <f t="shared" si="12"/>
        <v>134.765204</v>
      </c>
      <c r="V88" s="187">
        <f t="shared" ref="V88:W88" si="84">C88/100</f>
        <v>0.97</v>
      </c>
      <c r="W88" s="187">
        <f t="shared" si="84"/>
        <v>2.03</v>
      </c>
      <c r="X88" s="187">
        <f t="shared" si="14"/>
        <v>4.64</v>
      </c>
      <c r="Y88" s="189">
        <f t="shared" si="15"/>
        <v>9.136624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27.0" customHeight="1">
      <c r="A89" s="181">
        <v>69.0</v>
      </c>
      <c r="B89" s="191" t="s">
        <v>55</v>
      </c>
      <c r="C89" s="191">
        <v>99.0</v>
      </c>
      <c r="D89" s="191">
        <v>203.0</v>
      </c>
      <c r="E89" s="191">
        <v>232.0</v>
      </c>
      <c r="F89" s="191">
        <f t="shared" si="5"/>
        <v>0</v>
      </c>
      <c r="G89" s="191">
        <f t="shared" si="6"/>
        <v>137.543868</v>
      </c>
      <c r="H89" s="192">
        <f t="shared" si="7"/>
        <v>137.543868</v>
      </c>
      <c r="I89" s="191">
        <v>2.0</v>
      </c>
      <c r="J89" s="194">
        <f t="shared" si="8"/>
        <v>275.087736</v>
      </c>
      <c r="K89" s="139"/>
      <c r="L89" s="197"/>
      <c r="M89" s="198"/>
      <c r="N89" s="198"/>
      <c r="O89" s="139"/>
      <c r="P89" s="139"/>
      <c r="Q89" s="141">
        <v>29.5</v>
      </c>
      <c r="R89" s="187">
        <f t="shared" si="9"/>
        <v>2.32</v>
      </c>
      <c r="S89" s="181">
        <f t="shared" si="10"/>
        <v>2</v>
      </c>
      <c r="T89" s="181">
        <f t="shared" si="11"/>
        <v>4.64</v>
      </c>
      <c r="U89" s="186">
        <f t="shared" si="12"/>
        <v>137.543868</v>
      </c>
      <c r="V89" s="187">
        <f t="shared" ref="V89:W89" si="85">C89/100</f>
        <v>0.99</v>
      </c>
      <c r="W89" s="187">
        <f t="shared" si="85"/>
        <v>2.03</v>
      </c>
      <c r="X89" s="187">
        <f t="shared" si="14"/>
        <v>4.64</v>
      </c>
      <c r="Y89" s="189">
        <f t="shared" si="15"/>
        <v>9.325008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27.0" customHeight="1">
      <c r="A90" s="181">
        <v>70.0</v>
      </c>
      <c r="B90" s="191" t="s">
        <v>55</v>
      </c>
      <c r="C90" s="191">
        <v>98.0</v>
      </c>
      <c r="D90" s="191">
        <v>203.0</v>
      </c>
      <c r="E90" s="191">
        <v>232.0</v>
      </c>
      <c r="F90" s="191">
        <f t="shared" si="5"/>
        <v>0</v>
      </c>
      <c r="G90" s="191">
        <f t="shared" si="6"/>
        <v>136.154536</v>
      </c>
      <c r="H90" s="192">
        <f t="shared" si="7"/>
        <v>136.154536</v>
      </c>
      <c r="I90" s="191">
        <v>3.0</v>
      </c>
      <c r="J90" s="194">
        <f t="shared" si="8"/>
        <v>408.463608</v>
      </c>
      <c r="K90" s="139"/>
      <c r="L90" s="197"/>
      <c r="M90" s="198"/>
      <c r="N90" s="198"/>
      <c r="O90" s="139"/>
      <c r="P90" s="139"/>
      <c r="Q90" s="141">
        <v>29.5</v>
      </c>
      <c r="R90" s="187">
        <f t="shared" si="9"/>
        <v>2.32</v>
      </c>
      <c r="S90" s="181">
        <f t="shared" si="10"/>
        <v>3</v>
      </c>
      <c r="T90" s="181">
        <f t="shared" si="11"/>
        <v>6.96</v>
      </c>
      <c r="U90" s="186">
        <f t="shared" si="12"/>
        <v>136.154536</v>
      </c>
      <c r="V90" s="187">
        <f t="shared" ref="V90:W90" si="86">C90/100</f>
        <v>0.98</v>
      </c>
      <c r="W90" s="187">
        <f t="shared" si="86"/>
        <v>2.03</v>
      </c>
      <c r="X90" s="187">
        <f t="shared" si="14"/>
        <v>6.96</v>
      </c>
      <c r="Y90" s="189">
        <f t="shared" si="15"/>
        <v>13.846224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27.0" customHeight="1">
      <c r="A91" s="181">
        <v>71.0</v>
      </c>
      <c r="B91" s="191" t="s">
        <v>55</v>
      </c>
      <c r="C91" s="191">
        <v>101.0</v>
      </c>
      <c r="D91" s="191">
        <v>203.0</v>
      </c>
      <c r="E91" s="191">
        <v>232.0</v>
      </c>
      <c r="F91" s="191">
        <f t="shared" si="5"/>
        <v>0</v>
      </c>
      <c r="G91" s="191">
        <f t="shared" si="6"/>
        <v>140.322532</v>
      </c>
      <c r="H91" s="192">
        <f t="shared" si="7"/>
        <v>140.322532</v>
      </c>
      <c r="I91" s="191">
        <v>1.0</v>
      </c>
      <c r="J91" s="194">
        <f t="shared" si="8"/>
        <v>140.322532</v>
      </c>
      <c r="K91" s="139"/>
      <c r="L91" s="197"/>
      <c r="M91" s="198"/>
      <c r="N91" s="198"/>
      <c r="O91" s="139"/>
      <c r="P91" s="139"/>
      <c r="Q91" s="141">
        <v>29.5</v>
      </c>
      <c r="R91" s="187">
        <f t="shared" si="9"/>
        <v>2.32</v>
      </c>
      <c r="S91" s="181">
        <f t="shared" si="10"/>
        <v>1</v>
      </c>
      <c r="T91" s="181">
        <f t="shared" si="11"/>
        <v>2.32</v>
      </c>
      <c r="U91" s="186">
        <f t="shared" si="12"/>
        <v>140.322532</v>
      </c>
      <c r="V91" s="187">
        <f t="shared" ref="V91:W91" si="87">C91/100</f>
        <v>1.01</v>
      </c>
      <c r="W91" s="187">
        <f t="shared" si="87"/>
        <v>2.03</v>
      </c>
      <c r="X91" s="187">
        <f t="shared" si="14"/>
        <v>2.32</v>
      </c>
      <c r="Y91" s="189">
        <f t="shared" si="15"/>
        <v>4.756696</v>
      </c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ht="27.0" customHeight="1">
      <c r="A92" s="181">
        <v>72.0</v>
      </c>
      <c r="B92" s="191" t="s">
        <v>55</v>
      </c>
      <c r="C92" s="191">
        <v>100.0</v>
      </c>
      <c r="D92" s="191">
        <v>203.0</v>
      </c>
      <c r="E92" s="191">
        <v>233.0</v>
      </c>
      <c r="F92" s="191">
        <f t="shared" si="5"/>
        <v>0</v>
      </c>
      <c r="G92" s="191">
        <f t="shared" si="6"/>
        <v>139.53205</v>
      </c>
      <c r="H92" s="192">
        <f t="shared" si="7"/>
        <v>139.53205</v>
      </c>
      <c r="I92" s="191">
        <v>2.0</v>
      </c>
      <c r="J92" s="194">
        <f t="shared" si="8"/>
        <v>279.0641</v>
      </c>
      <c r="K92" s="139"/>
      <c r="L92" s="197"/>
      <c r="M92" s="198"/>
      <c r="N92" s="198"/>
      <c r="O92" s="139"/>
      <c r="P92" s="139"/>
      <c r="Q92" s="141">
        <v>29.5</v>
      </c>
      <c r="R92" s="187">
        <f t="shared" si="9"/>
        <v>2.33</v>
      </c>
      <c r="S92" s="181">
        <f t="shared" si="10"/>
        <v>2</v>
      </c>
      <c r="T92" s="181">
        <f t="shared" si="11"/>
        <v>4.66</v>
      </c>
      <c r="U92" s="186">
        <f t="shared" si="12"/>
        <v>139.53205</v>
      </c>
      <c r="V92" s="187">
        <f t="shared" ref="V92:W92" si="88">C92/100</f>
        <v>1</v>
      </c>
      <c r="W92" s="187">
        <f t="shared" si="88"/>
        <v>2.03</v>
      </c>
      <c r="X92" s="187">
        <f t="shared" si="14"/>
        <v>4.66</v>
      </c>
      <c r="Y92" s="189">
        <f t="shared" si="15"/>
        <v>9.4598</v>
      </c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27.0" customHeight="1">
      <c r="A93" s="181">
        <v>73.0</v>
      </c>
      <c r="B93" s="191" t="s">
        <v>55</v>
      </c>
      <c r="C93" s="191">
        <v>94.0</v>
      </c>
      <c r="D93" s="191">
        <v>203.0</v>
      </c>
      <c r="E93" s="191">
        <v>233.0</v>
      </c>
      <c r="F93" s="191">
        <f t="shared" si="5"/>
        <v>0</v>
      </c>
      <c r="G93" s="191">
        <f t="shared" si="6"/>
        <v>131.160127</v>
      </c>
      <c r="H93" s="192">
        <f t="shared" si="7"/>
        <v>131.160127</v>
      </c>
      <c r="I93" s="191">
        <v>1.0</v>
      </c>
      <c r="J93" s="194">
        <f t="shared" si="8"/>
        <v>131.160127</v>
      </c>
      <c r="K93" s="139"/>
      <c r="L93" s="197"/>
      <c r="M93" s="198"/>
      <c r="N93" s="198"/>
      <c r="O93" s="139"/>
      <c r="P93" s="139"/>
      <c r="Q93" s="141">
        <v>29.5</v>
      </c>
      <c r="R93" s="187">
        <f t="shared" si="9"/>
        <v>2.33</v>
      </c>
      <c r="S93" s="181">
        <f t="shared" si="10"/>
        <v>1</v>
      </c>
      <c r="T93" s="181">
        <f t="shared" si="11"/>
        <v>2.33</v>
      </c>
      <c r="U93" s="186">
        <f t="shared" si="12"/>
        <v>131.160127</v>
      </c>
      <c r="V93" s="187">
        <f t="shared" ref="V93:W93" si="89">C93/100</f>
        <v>0.94</v>
      </c>
      <c r="W93" s="187">
        <f t="shared" si="89"/>
        <v>2.03</v>
      </c>
      <c r="X93" s="187">
        <f t="shared" si="14"/>
        <v>2.33</v>
      </c>
      <c r="Y93" s="189">
        <f t="shared" si="15"/>
        <v>4.446106</v>
      </c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27.0" customHeight="1">
      <c r="A94" s="181">
        <v>74.0</v>
      </c>
      <c r="B94" s="191" t="s">
        <v>55</v>
      </c>
      <c r="C94" s="191">
        <v>95.0</v>
      </c>
      <c r="D94" s="191">
        <v>203.0</v>
      </c>
      <c r="E94" s="191">
        <v>232.0</v>
      </c>
      <c r="F94" s="191">
        <f t="shared" si="5"/>
        <v>0</v>
      </c>
      <c r="G94" s="191">
        <f t="shared" si="6"/>
        <v>131.98654</v>
      </c>
      <c r="H94" s="192">
        <f t="shared" si="7"/>
        <v>131.98654</v>
      </c>
      <c r="I94" s="191">
        <v>1.0</v>
      </c>
      <c r="J94" s="194">
        <f t="shared" si="8"/>
        <v>131.98654</v>
      </c>
      <c r="K94" s="139"/>
      <c r="L94" s="197"/>
      <c r="M94" s="198"/>
      <c r="N94" s="198"/>
      <c r="O94" s="139"/>
      <c r="P94" s="139"/>
      <c r="Q94" s="141">
        <v>29.5</v>
      </c>
      <c r="R94" s="187">
        <f t="shared" si="9"/>
        <v>2.32</v>
      </c>
      <c r="S94" s="181">
        <f t="shared" si="10"/>
        <v>1</v>
      </c>
      <c r="T94" s="181">
        <f t="shared" si="11"/>
        <v>2.32</v>
      </c>
      <c r="U94" s="186">
        <f t="shared" si="12"/>
        <v>131.98654</v>
      </c>
      <c r="V94" s="187">
        <f t="shared" ref="V94:W94" si="90">C94/100</f>
        <v>0.95</v>
      </c>
      <c r="W94" s="187">
        <f t="shared" si="90"/>
        <v>2.03</v>
      </c>
      <c r="X94" s="187">
        <f t="shared" si="14"/>
        <v>2.32</v>
      </c>
      <c r="Y94" s="189">
        <f t="shared" si="15"/>
        <v>4.47412</v>
      </c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27.0" customHeight="1">
      <c r="A95" s="181">
        <v>75.0</v>
      </c>
      <c r="B95" s="191" t="s">
        <v>55</v>
      </c>
      <c r="C95" s="191">
        <v>97.0</v>
      </c>
      <c r="D95" s="191">
        <v>203.0</v>
      </c>
      <c r="E95" s="191">
        <v>234.0</v>
      </c>
      <c r="F95" s="191">
        <f t="shared" si="5"/>
        <v>0</v>
      </c>
      <c r="G95" s="191">
        <f t="shared" si="6"/>
        <v>135.926973</v>
      </c>
      <c r="H95" s="192">
        <f t="shared" si="7"/>
        <v>135.926973</v>
      </c>
      <c r="I95" s="191">
        <v>1.0</v>
      </c>
      <c r="J95" s="194">
        <f t="shared" si="8"/>
        <v>135.926973</v>
      </c>
      <c r="K95" s="139"/>
      <c r="L95" s="197"/>
      <c r="M95" s="198"/>
      <c r="N95" s="198"/>
      <c r="O95" s="139"/>
      <c r="P95" s="139"/>
      <c r="Q95" s="141">
        <v>29.5</v>
      </c>
      <c r="R95" s="187">
        <f t="shared" si="9"/>
        <v>2.34</v>
      </c>
      <c r="S95" s="181">
        <f t="shared" si="10"/>
        <v>1</v>
      </c>
      <c r="T95" s="181">
        <f t="shared" si="11"/>
        <v>2.34</v>
      </c>
      <c r="U95" s="186">
        <f t="shared" si="12"/>
        <v>135.926973</v>
      </c>
      <c r="V95" s="187">
        <f t="shared" ref="V95:W95" si="91">C95/100</f>
        <v>0.97</v>
      </c>
      <c r="W95" s="187">
        <f t="shared" si="91"/>
        <v>2.03</v>
      </c>
      <c r="X95" s="187">
        <f t="shared" si="14"/>
        <v>2.34</v>
      </c>
      <c r="Y95" s="189">
        <f t="shared" si="15"/>
        <v>4.607694</v>
      </c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27.0" customHeight="1">
      <c r="A96" s="181">
        <v>76.0</v>
      </c>
      <c r="B96" s="191" t="s">
        <v>55</v>
      </c>
      <c r="C96" s="191">
        <v>97.0</v>
      </c>
      <c r="D96" s="191">
        <v>203.0</v>
      </c>
      <c r="E96" s="191">
        <v>246.0</v>
      </c>
      <c r="F96" s="191">
        <f t="shared" si="5"/>
        <v>0</v>
      </c>
      <c r="G96" s="191">
        <f t="shared" si="6"/>
        <v>142.897587</v>
      </c>
      <c r="H96" s="192">
        <f t="shared" si="7"/>
        <v>142.897587</v>
      </c>
      <c r="I96" s="191">
        <v>1.0</v>
      </c>
      <c r="J96" s="194">
        <f t="shared" si="8"/>
        <v>142.897587</v>
      </c>
      <c r="K96" s="139"/>
      <c r="L96" s="197"/>
      <c r="M96" s="198"/>
      <c r="N96" s="198"/>
      <c r="O96" s="139"/>
      <c r="P96" s="139"/>
      <c r="Q96" s="141">
        <v>29.5</v>
      </c>
      <c r="R96" s="187">
        <f t="shared" si="9"/>
        <v>2.46</v>
      </c>
      <c r="S96" s="181">
        <f t="shared" si="10"/>
        <v>1</v>
      </c>
      <c r="T96" s="181">
        <f t="shared" si="11"/>
        <v>2.46</v>
      </c>
      <c r="U96" s="186">
        <f t="shared" si="12"/>
        <v>142.897587</v>
      </c>
      <c r="V96" s="187">
        <f t="shared" ref="V96:W96" si="92">C96/100</f>
        <v>0.97</v>
      </c>
      <c r="W96" s="187">
        <f t="shared" si="92"/>
        <v>2.03</v>
      </c>
      <c r="X96" s="187">
        <f t="shared" si="14"/>
        <v>2.46</v>
      </c>
      <c r="Y96" s="189">
        <f t="shared" si="15"/>
        <v>4.843986</v>
      </c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27.0" customHeight="1">
      <c r="A97" s="181">
        <v>77.0</v>
      </c>
      <c r="B97" s="191" t="s">
        <v>55</v>
      </c>
      <c r="C97" s="191">
        <v>102.0</v>
      </c>
      <c r="D97" s="191">
        <v>203.0</v>
      </c>
      <c r="E97" s="191">
        <v>234.0</v>
      </c>
      <c r="F97" s="191">
        <f t="shared" si="5"/>
        <v>0</v>
      </c>
      <c r="G97" s="191">
        <f t="shared" si="6"/>
        <v>142.933518</v>
      </c>
      <c r="H97" s="192">
        <f t="shared" si="7"/>
        <v>142.933518</v>
      </c>
      <c r="I97" s="191">
        <v>1.0</v>
      </c>
      <c r="J97" s="194">
        <f t="shared" si="8"/>
        <v>142.933518</v>
      </c>
      <c r="K97" s="139"/>
      <c r="L97" s="197"/>
      <c r="M97" s="198"/>
      <c r="N97" s="198"/>
      <c r="O97" s="139"/>
      <c r="P97" s="139"/>
      <c r="Q97" s="141">
        <v>29.5</v>
      </c>
      <c r="R97" s="187">
        <f t="shared" si="9"/>
        <v>2.34</v>
      </c>
      <c r="S97" s="181">
        <f t="shared" si="10"/>
        <v>1</v>
      </c>
      <c r="T97" s="181">
        <f t="shared" si="11"/>
        <v>2.34</v>
      </c>
      <c r="U97" s="186">
        <f t="shared" si="12"/>
        <v>142.933518</v>
      </c>
      <c r="V97" s="187">
        <f t="shared" ref="V97:W97" si="93">C97/100</f>
        <v>1.02</v>
      </c>
      <c r="W97" s="187">
        <f t="shared" si="93"/>
        <v>2.03</v>
      </c>
      <c r="X97" s="187">
        <f t="shared" si="14"/>
        <v>2.34</v>
      </c>
      <c r="Y97" s="189">
        <f t="shared" si="15"/>
        <v>4.845204</v>
      </c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27.0" customHeight="1">
      <c r="A98" s="181">
        <v>78.0</v>
      </c>
      <c r="B98" s="191" t="s">
        <v>55</v>
      </c>
      <c r="C98" s="191">
        <v>100.0</v>
      </c>
      <c r="D98" s="191">
        <v>203.0</v>
      </c>
      <c r="E98" s="191">
        <v>234.0</v>
      </c>
      <c r="F98" s="191">
        <f t="shared" si="5"/>
        <v>0</v>
      </c>
      <c r="G98" s="191">
        <f t="shared" si="6"/>
        <v>140.1309</v>
      </c>
      <c r="H98" s="192">
        <f t="shared" si="7"/>
        <v>140.1309</v>
      </c>
      <c r="I98" s="191">
        <v>2.0</v>
      </c>
      <c r="J98" s="194">
        <f t="shared" si="8"/>
        <v>280.2618</v>
      </c>
      <c r="K98" s="139"/>
      <c r="L98" s="197"/>
      <c r="M98" s="198"/>
      <c r="N98" s="198"/>
      <c r="O98" s="139"/>
      <c r="P98" s="139"/>
      <c r="Q98" s="141">
        <v>29.5</v>
      </c>
      <c r="R98" s="187">
        <f t="shared" si="9"/>
        <v>2.34</v>
      </c>
      <c r="S98" s="181">
        <f t="shared" si="10"/>
        <v>2</v>
      </c>
      <c r="T98" s="181">
        <f t="shared" si="11"/>
        <v>4.68</v>
      </c>
      <c r="U98" s="186">
        <f t="shared" si="12"/>
        <v>140.1309</v>
      </c>
      <c r="V98" s="187">
        <f t="shared" ref="V98:W98" si="94">C98/100</f>
        <v>1</v>
      </c>
      <c r="W98" s="187">
        <f t="shared" si="94"/>
        <v>2.03</v>
      </c>
      <c r="X98" s="187">
        <f t="shared" si="14"/>
        <v>4.68</v>
      </c>
      <c r="Y98" s="189">
        <f t="shared" si="15"/>
        <v>9.5004</v>
      </c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27.0" customHeight="1">
      <c r="A99" s="181">
        <v>79.0</v>
      </c>
      <c r="B99" s="182" t="s">
        <v>64</v>
      </c>
      <c r="C99" s="183">
        <v>80.0</v>
      </c>
      <c r="D99" s="183">
        <v>203.0</v>
      </c>
      <c r="E99" s="183">
        <v>232.0</v>
      </c>
      <c r="F99" s="183">
        <f t="shared" si="5"/>
        <v>0.8</v>
      </c>
      <c r="G99" s="183">
        <f t="shared" si="6"/>
        <v>111.14656</v>
      </c>
      <c r="H99" s="184">
        <f t="shared" si="7"/>
        <v>88.917248</v>
      </c>
      <c r="I99" s="183">
        <v>1.0</v>
      </c>
      <c r="J99" s="194">
        <f t="shared" si="8"/>
        <v>88.917248</v>
      </c>
      <c r="K99" s="139"/>
      <c r="L99" s="197"/>
      <c r="M99" s="198"/>
      <c r="N99" s="198"/>
      <c r="O99" s="139"/>
      <c r="P99" s="139"/>
      <c r="Q99" s="141">
        <v>29.5</v>
      </c>
      <c r="R99" s="187">
        <f t="shared" si="9"/>
        <v>2.32</v>
      </c>
      <c r="S99" s="181">
        <f t="shared" si="10"/>
        <v>1</v>
      </c>
      <c r="T99" s="181">
        <f t="shared" si="11"/>
        <v>2.32</v>
      </c>
      <c r="U99" s="186">
        <f t="shared" si="12"/>
        <v>111.14656</v>
      </c>
      <c r="V99" s="187">
        <f t="shared" ref="V99:W99" si="95">C99/100</f>
        <v>0.8</v>
      </c>
      <c r="W99" s="187">
        <f t="shared" si="95"/>
        <v>2.03</v>
      </c>
      <c r="X99" s="187">
        <f t="shared" si="14"/>
        <v>2.32</v>
      </c>
      <c r="Y99" s="189">
        <f t="shared" si="15"/>
        <v>3.76768</v>
      </c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27.0" customHeight="1">
      <c r="A100" s="181">
        <v>80.0</v>
      </c>
      <c r="B100" s="191" t="s">
        <v>55</v>
      </c>
      <c r="C100" s="191">
        <v>92.0</v>
      </c>
      <c r="D100" s="191">
        <v>203.0</v>
      </c>
      <c r="E100" s="191">
        <v>252.0</v>
      </c>
      <c r="F100" s="191">
        <f t="shared" si="5"/>
        <v>0</v>
      </c>
      <c r="G100" s="191">
        <f t="shared" si="6"/>
        <v>138.837384</v>
      </c>
      <c r="H100" s="192">
        <f t="shared" si="7"/>
        <v>138.837384</v>
      </c>
      <c r="I100" s="191">
        <v>2.0</v>
      </c>
      <c r="J100" s="194">
        <f t="shared" si="8"/>
        <v>277.674768</v>
      </c>
      <c r="K100" s="139"/>
      <c r="L100" s="197"/>
      <c r="M100" s="198"/>
      <c r="N100" s="198"/>
      <c r="O100" s="139"/>
      <c r="P100" s="139"/>
      <c r="Q100" s="141">
        <v>29.5</v>
      </c>
      <c r="R100" s="187">
        <f t="shared" si="9"/>
        <v>2.52</v>
      </c>
      <c r="S100" s="181">
        <f t="shared" si="10"/>
        <v>2</v>
      </c>
      <c r="T100" s="181">
        <f t="shared" si="11"/>
        <v>5.04</v>
      </c>
      <c r="U100" s="186">
        <f t="shared" si="12"/>
        <v>138.837384</v>
      </c>
      <c r="V100" s="187">
        <f t="shared" ref="V100:W100" si="96">C100/100</f>
        <v>0.92</v>
      </c>
      <c r="W100" s="187">
        <f t="shared" si="96"/>
        <v>2.03</v>
      </c>
      <c r="X100" s="187">
        <f t="shared" si="14"/>
        <v>5.04</v>
      </c>
      <c r="Y100" s="189">
        <f t="shared" si="15"/>
        <v>9.412704</v>
      </c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27.0" customHeight="1">
      <c r="A101" s="181">
        <v>81.0</v>
      </c>
      <c r="B101" s="191" t="s">
        <v>55</v>
      </c>
      <c r="C101" s="191">
        <v>92.0</v>
      </c>
      <c r="D101" s="191">
        <v>203.0</v>
      </c>
      <c r="E101" s="191">
        <v>253.0</v>
      </c>
      <c r="F101" s="191">
        <f t="shared" si="5"/>
        <v>0</v>
      </c>
      <c r="G101" s="191">
        <f t="shared" si="6"/>
        <v>139.388326</v>
      </c>
      <c r="H101" s="192">
        <f t="shared" si="7"/>
        <v>139.388326</v>
      </c>
      <c r="I101" s="191">
        <v>2.0</v>
      </c>
      <c r="J101" s="194">
        <f t="shared" si="8"/>
        <v>278.776652</v>
      </c>
      <c r="K101" s="139"/>
      <c r="L101" s="197"/>
      <c r="M101" s="198"/>
      <c r="N101" s="198"/>
      <c r="O101" s="139"/>
      <c r="P101" s="139"/>
      <c r="Q101" s="141">
        <v>29.5</v>
      </c>
      <c r="R101" s="187">
        <f t="shared" si="9"/>
        <v>2.53</v>
      </c>
      <c r="S101" s="181">
        <f t="shared" si="10"/>
        <v>2</v>
      </c>
      <c r="T101" s="181">
        <f t="shared" si="11"/>
        <v>5.06</v>
      </c>
      <c r="U101" s="186">
        <f t="shared" si="12"/>
        <v>139.388326</v>
      </c>
      <c r="V101" s="187">
        <f t="shared" ref="V101:W101" si="97">C101/100</f>
        <v>0.92</v>
      </c>
      <c r="W101" s="187">
        <f t="shared" si="97"/>
        <v>2.03</v>
      </c>
      <c r="X101" s="187">
        <f t="shared" si="14"/>
        <v>5.06</v>
      </c>
      <c r="Y101" s="189">
        <f t="shared" si="15"/>
        <v>9.450056</v>
      </c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27.0" customHeight="1">
      <c r="A102" s="181">
        <v>82.0</v>
      </c>
      <c r="B102" s="191" t="s">
        <v>55</v>
      </c>
      <c r="C102" s="191">
        <v>94.0</v>
      </c>
      <c r="D102" s="191">
        <v>203.0</v>
      </c>
      <c r="E102" s="191">
        <v>251.0</v>
      </c>
      <c r="F102" s="191">
        <f t="shared" si="5"/>
        <v>0</v>
      </c>
      <c r="G102" s="191">
        <f t="shared" si="6"/>
        <v>141.292669</v>
      </c>
      <c r="H102" s="192">
        <f t="shared" si="7"/>
        <v>141.292669</v>
      </c>
      <c r="I102" s="191">
        <v>1.0</v>
      </c>
      <c r="J102" s="194">
        <f t="shared" si="8"/>
        <v>141.292669</v>
      </c>
      <c r="K102" s="139"/>
      <c r="L102" s="197"/>
      <c r="M102" s="198"/>
      <c r="N102" s="198"/>
      <c r="O102" s="139"/>
      <c r="P102" s="139"/>
      <c r="Q102" s="141">
        <v>29.5</v>
      </c>
      <c r="R102" s="187">
        <f t="shared" si="9"/>
        <v>2.51</v>
      </c>
      <c r="S102" s="181">
        <f t="shared" si="10"/>
        <v>1</v>
      </c>
      <c r="T102" s="181">
        <f t="shared" si="11"/>
        <v>2.51</v>
      </c>
      <c r="U102" s="186">
        <f t="shared" si="12"/>
        <v>141.292669</v>
      </c>
      <c r="V102" s="187">
        <f t="shared" ref="V102:W102" si="98">C102/100</f>
        <v>0.94</v>
      </c>
      <c r="W102" s="187">
        <f t="shared" si="98"/>
        <v>2.03</v>
      </c>
      <c r="X102" s="187">
        <f t="shared" si="14"/>
        <v>2.51</v>
      </c>
      <c r="Y102" s="189">
        <f t="shared" si="15"/>
        <v>4.789582</v>
      </c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27.0" customHeight="1">
      <c r="A103" s="181">
        <v>83.0</v>
      </c>
      <c r="B103" s="191" t="s">
        <v>55</v>
      </c>
      <c r="C103" s="191">
        <v>94.0</v>
      </c>
      <c r="D103" s="191">
        <v>203.0</v>
      </c>
      <c r="E103" s="191">
        <v>202.0</v>
      </c>
      <c r="F103" s="191">
        <f t="shared" si="5"/>
        <v>0</v>
      </c>
      <c r="G103" s="191">
        <f t="shared" si="6"/>
        <v>113.709638</v>
      </c>
      <c r="H103" s="192">
        <f t="shared" si="7"/>
        <v>113.709638</v>
      </c>
      <c r="I103" s="191">
        <v>9.0</v>
      </c>
      <c r="J103" s="194">
        <f t="shared" si="8"/>
        <v>1023.386742</v>
      </c>
      <c r="K103" s="139"/>
      <c r="L103" s="197"/>
      <c r="M103" s="198"/>
      <c r="N103" s="198"/>
      <c r="O103" s="139"/>
      <c r="P103" s="139"/>
      <c r="Q103" s="141">
        <v>29.5</v>
      </c>
      <c r="R103" s="187">
        <f t="shared" si="9"/>
        <v>2.02</v>
      </c>
      <c r="S103" s="181">
        <f t="shared" si="10"/>
        <v>9</v>
      </c>
      <c r="T103" s="181">
        <f t="shared" si="11"/>
        <v>18.18</v>
      </c>
      <c r="U103" s="186">
        <f t="shared" si="12"/>
        <v>113.709638</v>
      </c>
      <c r="V103" s="187">
        <f t="shared" ref="V103:W103" si="99">C103/100</f>
        <v>0.94</v>
      </c>
      <c r="W103" s="187">
        <f t="shared" si="99"/>
        <v>2.03</v>
      </c>
      <c r="X103" s="187">
        <f t="shared" si="14"/>
        <v>18.18</v>
      </c>
      <c r="Y103" s="189">
        <f t="shared" si="15"/>
        <v>34.691076</v>
      </c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27.0" customHeight="1">
      <c r="A104" s="181">
        <v>84.0</v>
      </c>
      <c r="B104" s="191" t="s">
        <v>55</v>
      </c>
      <c r="C104" s="191">
        <v>95.0</v>
      </c>
      <c r="D104" s="191">
        <v>203.0</v>
      </c>
      <c r="E104" s="191">
        <v>202.0</v>
      </c>
      <c r="F104" s="191">
        <f t="shared" si="5"/>
        <v>0</v>
      </c>
      <c r="G104" s="191">
        <f t="shared" si="6"/>
        <v>114.919315</v>
      </c>
      <c r="H104" s="192">
        <f t="shared" si="7"/>
        <v>114.919315</v>
      </c>
      <c r="I104" s="191">
        <v>10.0</v>
      </c>
      <c r="J104" s="194">
        <f t="shared" si="8"/>
        <v>1149.19315</v>
      </c>
      <c r="K104" s="139"/>
      <c r="L104" s="197"/>
      <c r="M104" s="198"/>
      <c r="N104" s="198"/>
      <c r="O104" s="139"/>
      <c r="P104" s="139"/>
      <c r="Q104" s="141">
        <v>29.5</v>
      </c>
      <c r="R104" s="187">
        <f t="shared" si="9"/>
        <v>2.02</v>
      </c>
      <c r="S104" s="181">
        <f t="shared" si="10"/>
        <v>10</v>
      </c>
      <c r="T104" s="181">
        <f t="shared" si="11"/>
        <v>20.2</v>
      </c>
      <c r="U104" s="186">
        <f t="shared" si="12"/>
        <v>114.919315</v>
      </c>
      <c r="V104" s="187">
        <f t="shared" ref="V104:W104" si="100">C104/100</f>
        <v>0.95</v>
      </c>
      <c r="W104" s="187">
        <f t="shared" si="100"/>
        <v>2.03</v>
      </c>
      <c r="X104" s="187">
        <f t="shared" si="14"/>
        <v>20.2</v>
      </c>
      <c r="Y104" s="189">
        <f t="shared" si="15"/>
        <v>38.9557</v>
      </c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27.0" customHeight="1">
      <c r="A105" s="181">
        <v>85.0</v>
      </c>
      <c r="B105" s="191" t="s">
        <v>55</v>
      </c>
      <c r="C105" s="191">
        <v>96.0</v>
      </c>
      <c r="D105" s="191">
        <v>203.0</v>
      </c>
      <c r="E105" s="191">
        <v>202.0</v>
      </c>
      <c r="F105" s="191">
        <f t="shared" si="5"/>
        <v>0</v>
      </c>
      <c r="G105" s="191">
        <f t="shared" si="6"/>
        <v>116.128992</v>
      </c>
      <c r="H105" s="192">
        <f t="shared" si="7"/>
        <v>116.128992</v>
      </c>
      <c r="I105" s="191">
        <v>11.0</v>
      </c>
      <c r="J105" s="194">
        <f t="shared" si="8"/>
        <v>1277.418912</v>
      </c>
      <c r="K105" s="139"/>
      <c r="L105" s="197"/>
      <c r="M105" s="198"/>
      <c r="N105" s="198"/>
      <c r="O105" s="139"/>
      <c r="P105" s="139"/>
      <c r="Q105" s="141">
        <v>29.5</v>
      </c>
      <c r="R105" s="187">
        <f t="shared" si="9"/>
        <v>2.02</v>
      </c>
      <c r="S105" s="181">
        <f t="shared" si="10"/>
        <v>11</v>
      </c>
      <c r="T105" s="181">
        <f t="shared" si="11"/>
        <v>22.22</v>
      </c>
      <c r="U105" s="186">
        <f t="shared" si="12"/>
        <v>116.128992</v>
      </c>
      <c r="V105" s="187">
        <f t="shared" ref="V105:W105" si="101">C105/100</f>
        <v>0.96</v>
      </c>
      <c r="W105" s="187">
        <f t="shared" si="101"/>
        <v>2.03</v>
      </c>
      <c r="X105" s="187">
        <f t="shared" si="14"/>
        <v>22.22</v>
      </c>
      <c r="Y105" s="189">
        <f t="shared" si="15"/>
        <v>43.302336</v>
      </c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27.0" customHeight="1">
      <c r="A106" s="181">
        <v>86.0</v>
      </c>
      <c r="B106" s="191" t="s">
        <v>55</v>
      </c>
      <c r="C106" s="191">
        <v>96.0</v>
      </c>
      <c r="D106" s="191">
        <v>203.0</v>
      </c>
      <c r="E106" s="191">
        <v>203.0</v>
      </c>
      <c r="F106" s="191">
        <f t="shared" si="5"/>
        <v>0</v>
      </c>
      <c r="G106" s="191">
        <f t="shared" si="6"/>
        <v>116.703888</v>
      </c>
      <c r="H106" s="192">
        <f t="shared" si="7"/>
        <v>116.703888</v>
      </c>
      <c r="I106" s="191">
        <v>8.0</v>
      </c>
      <c r="J106" s="194">
        <f t="shared" si="8"/>
        <v>933.631104</v>
      </c>
      <c r="K106" s="139"/>
      <c r="L106" s="197"/>
      <c r="M106" s="198"/>
      <c r="N106" s="198"/>
      <c r="O106" s="139"/>
      <c r="P106" s="139"/>
      <c r="Q106" s="141">
        <v>29.5</v>
      </c>
      <c r="R106" s="187">
        <f t="shared" si="9"/>
        <v>2.03</v>
      </c>
      <c r="S106" s="181">
        <f t="shared" si="10"/>
        <v>8</v>
      </c>
      <c r="T106" s="181">
        <f t="shared" si="11"/>
        <v>16.24</v>
      </c>
      <c r="U106" s="186">
        <f t="shared" si="12"/>
        <v>116.703888</v>
      </c>
      <c r="V106" s="187">
        <f t="shared" ref="V106:W106" si="102">C106/100</f>
        <v>0.96</v>
      </c>
      <c r="W106" s="187">
        <f t="shared" si="102"/>
        <v>2.03</v>
      </c>
      <c r="X106" s="187">
        <f t="shared" si="14"/>
        <v>16.24</v>
      </c>
      <c r="Y106" s="189">
        <f t="shared" si="15"/>
        <v>31.648512</v>
      </c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27.0" customHeight="1">
      <c r="A107" s="181">
        <v>87.0</v>
      </c>
      <c r="B107" s="191" t="s">
        <v>55</v>
      </c>
      <c r="C107" s="191">
        <v>95.0</v>
      </c>
      <c r="D107" s="191">
        <v>203.0</v>
      </c>
      <c r="E107" s="191">
        <v>203.0</v>
      </c>
      <c r="F107" s="191">
        <f t="shared" si="5"/>
        <v>0</v>
      </c>
      <c r="G107" s="191">
        <f t="shared" si="6"/>
        <v>115.4882225</v>
      </c>
      <c r="H107" s="192">
        <f t="shared" si="7"/>
        <v>115.4882225</v>
      </c>
      <c r="I107" s="191">
        <v>8.0</v>
      </c>
      <c r="J107" s="194">
        <f t="shared" si="8"/>
        <v>923.90578</v>
      </c>
      <c r="K107" s="139"/>
      <c r="L107" s="197"/>
      <c r="M107" s="198"/>
      <c r="N107" s="198"/>
      <c r="O107" s="139"/>
      <c r="P107" s="139"/>
      <c r="Q107" s="141">
        <v>29.5</v>
      </c>
      <c r="R107" s="187">
        <f t="shared" si="9"/>
        <v>2.03</v>
      </c>
      <c r="S107" s="181">
        <f t="shared" si="10"/>
        <v>8</v>
      </c>
      <c r="T107" s="181">
        <f t="shared" si="11"/>
        <v>16.24</v>
      </c>
      <c r="U107" s="186">
        <f t="shared" si="12"/>
        <v>115.4882225</v>
      </c>
      <c r="V107" s="187">
        <f t="shared" ref="V107:W107" si="103">C107/100</f>
        <v>0.95</v>
      </c>
      <c r="W107" s="187">
        <f t="shared" si="103"/>
        <v>2.03</v>
      </c>
      <c r="X107" s="187">
        <f t="shared" si="14"/>
        <v>16.24</v>
      </c>
      <c r="Y107" s="189">
        <f t="shared" si="15"/>
        <v>31.31884</v>
      </c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27.0" customHeight="1">
      <c r="A108" s="181">
        <v>88.0</v>
      </c>
      <c r="B108" s="191" t="s">
        <v>55</v>
      </c>
      <c r="C108" s="191">
        <v>97.0</v>
      </c>
      <c r="D108" s="191">
        <v>203.0</v>
      </c>
      <c r="E108" s="191">
        <v>202.0</v>
      </c>
      <c r="F108" s="191">
        <f t="shared" si="5"/>
        <v>0</v>
      </c>
      <c r="G108" s="191">
        <f t="shared" si="6"/>
        <v>117.338669</v>
      </c>
      <c r="H108" s="192">
        <f t="shared" si="7"/>
        <v>117.338669</v>
      </c>
      <c r="I108" s="191">
        <v>1.0</v>
      </c>
      <c r="J108" s="194">
        <f t="shared" si="8"/>
        <v>117.338669</v>
      </c>
      <c r="K108" s="139"/>
      <c r="L108" s="197"/>
      <c r="M108" s="198"/>
      <c r="N108" s="198"/>
      <c r="O108" s="139"/>
      <c r="P108" s="139"/>
      <c r="Q108" s="141">
        <v>29.5</v>
      </c>
      <c r="R108" s="187">
        <f t="shared" si="9"/>
        <v>2.02</v>
      </c>
      <c r="S108" s="181">
        <f t="shared" si="10"/>
        <v>1</v>
      </c>
      <c r="T108" s="181">
        <f t="shared" si="11"/>
        <v>2.02</v>
      </c>
      <c r="U108" s="186">
        <f t="shared" si="12"/>
        <v>117.338669</v>
      </c>
      <c r="V108" s="187">
        <f t="shared" ref="V108:W108" si="104">C108/100</f>
        <v>0.97</v>
      </c>
      <c r="W108" s="187">
        <f t="shared" si="104"/>
        <v>2.03</v>
      </c>
      <c r="X108" s="187">
        <f t="shared" si="14"/>
        <v>2.02</v>
      </c>
      <c r="Y108" s="189">
        <f t="shared" si="15"/>
        <v>3.977582</v>
      </c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</row>
    <row r="109" ht="27.0" customHeight="1">
      <c r="A109" s="181">
        <v>89.0</v>
      </c>
      <c r="B109" s="191" t="s">
        <v>55</v>
      </c>
      <c r="C109" s="191">
        <v>94.0</v>
      </c>
      <c r="D109" s="191">
        <v>203.0</v>
      </c>
      <c r="E109" s="191">
        <v>203.0</v>
      </c>
      <c r="F109" s="191">
        <f t="shared" si="5"/>
        <v>0</v>
      </c>
      <c r="G109" s="191">
        <f t="shared" si="6"/>
        <v>114.272557</v>
      </c>
      <c r="H109" s="192">
        <f t="shared" si="7"/>
        <v>114.272557</v>
      </c>
      <c r="I109" s="191">
        <v>1.0</v>
      </c>
      <c r="J109" s="194">
        <f t="shared" si="8"/>
        <v>114.272557</v>
      </c>
      <c r="K109" s="139"/>
      <c r="L109" s="197"/>
      <c r="M109" s="198"/>
      <c r="N109" s="198"/>
      <c r="O109" s="139"/>
      <c r="P109" s="139"/>
      <c r="Q109" s="141">
        <v>29.5</v>
      </c>
      <c r="R109" s="187">
        <f t="shared" si="9"/>
        <v>2.03</v>
      </c>
      <c r="S109" s="181">
        <f t="shared" si="10"/>
        <v>1</v>
      </c>
      <c r="T109" s="181">
        <f t="shared" si="11"/>
        <v>2.03</v>
      </c>
      <c r="U109" s="186">
        <f t="shared" si="12"/>
        <v>114.272557</v>
      </c>
      <c r="V109" s="187">
        <f t="shared" ref="V109:W109" si="105">C109/100</f>
        <v>0.94</v>
      </c>
      <c r="W109" s="187">
        <f t="shared" si="105"/>
        <v>2.03</v>
      </c>
      <c r="X109" s="187">
        <f t="shared" si="14"/>
        <v>2.03</v>
      </c>
      <c r="Y109" s="189">
        <f t="shared" si="15"/>
        <v>3.873646</v>
      </c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</row>
    <row r="110" ht="27.0" customHeight="1">
      <c r="A110" s="181">
        <v>90.0</v>
      </c>
      <c r="B110" s="191" t="s">
        <v>55</v>
      </c>
      <c r="C110" s="191">
        <v>93.0</v>
      </c>
      <c r="D110" s="191">
        <v>203.0</v>
      </c>
      <c r="E110" s="191">
        <v>253.0</v>
      </c>
      <c r="F110" s="191">
        <f t="shared" si="5"/>
        <v>0</v>
      </c>
      <c r="G110" s="191">
        <f t="shared" si="6"/>
        <v>140.9034165</v>
      </c>
      <c r="H110" s="192">
        <f t="shared" si="7"/>
        <v>140.9034165</v>
      </c>
      <c r="I110" s="191">
        <v>1.0</v>
      </c>
      <c r="J110" s="194">
        <f t="shared" si="8"/>
        <v>140.9034165</v>
      </c>
      <c r="K110" s="139"/>
      <c r="L110" s="197"/>
      <c r="M110" s="198"/>
      <c r="N110" s="198"/>
      <c r="O110" s="139"/>
      <c r="P110" s="139"/>
      <c r="Q110" s="141">
        <v>29.5</v>
      </c>
      <c r="R110" s="187">
        <f t="shared" si="9"/>
        <v>2.53</v>
      </c>
      <c r="S110" s="181">
        <f t="shared" si="10"/>
        <v>1</v>
      </c>
      <c r="T110" s="181">
        <f t="shared" si="11"/>
        <v>2.53</v>
      </c>
      <c r="U110" s="186">
        <f t="shared" si="12"/>
        <v>140.9034165</v>
      </c>
      <c r="V110" s="187">
        <f t="shared" ref="V110:W110" si="106">C110/100</f>
        <v>0.93</v>
      </c>
      <c r="W110" s="187">
        <f t="shared" si="106"/>
        <v>2.03</v>
      </c>
      <c r="X110" s="187">
        <f t="shared" si="14"/>
        <v>2.53</v>
      </c>
      <c r="Y110" s="189">
        <f t="shared" si="15"/>
        <v>4.776387</v>
      </c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</row>
    <row r="111" ht="27.0" customHeight="1">
      <c r="A111" s="181">
        <v>91.0</v>
      </c>
      <c r="B111" s="191" t="s">
        <v>55</v>
      </c>
      <c r="C111" s="191">
        <v>90.0</v>
      </c>
      <c r="D111" s="191">
        <v>203.0</v>
      </c>
      <c r="E111" s="191">
        <v>253.0</v>
      </c>
      <c r="F111" s="191">
        <f t="shared" si="5"/>
        <v>0</v>
      </c>
      <c r="G111" s="191">
        <f t="shared" si="6"/>
        <v>136.358145</v>
      </c>
      <c r="H111" s="192">
        <f t="shared" si="7"/>
        <v>136.358145</v>
      </c>
      <c r="I111" s="191">
        <v>1.0</v>
      </c>
      <c r="J111" s="194">
        <f t="shared" si="8"/>
        <v>136.358145</v>
      </c>
      <c r="K111" s="139"/>
      <c r="L111" s="197"/>
      <c r="M111" s="198"/>
      <c r="N111" s="198"/>
      <c r="O111" s="139"/>
      <c r="P111" s="139"/>
      <c r="Q111" s="141">
        <v>29.5</v>
      </c>
      <c r="R111" s="187">
        <f t="shared" si="9"/>
        <v>2.53</v>
      </c>
      <c r="S111" s="181">
        <f t="shared" si="10"/>
        <v>1</v>
      </c>
      <c r="T111" s="181">
        <f t="shared" si="11"/>
        <v>2.53</v>
      </c>
      <c r="U111" s="186">
        <f t="shared" si="12"/>
        <v>136.358145</v>
      </c>
      <c r="V111" s="187">
        <f t="shared" ref="V111:W111" si="107">C111/100</f>
        <v>0.9</v>
      </c>
      <c r="W111" s="187">
        <f t="shared" si="107"/>
        <v>2.03</v>
      </c>
      <c r="X111" s="187">
        <f t="shared" si="14"/>
        <v>2.53</v>
      </c>
      <c r="Y111" s="189">
        <f t="shared" si="15"/>
        <v>4.62231</v>
      </c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</row>
    <row r="112" ht="27.0" customHeight="1">
      <c r="A112" s="181">
        <v>92.0</v>
      </c>
      <c r="B112" s="191" t="s">
        <v>55</v>
      </c>
      <c r="C112" s="191">
        <v>92.0</v>
      </c>
      <c r="D112" s="191">
        <v>203.0</v>
      </c>
      <c r="E112" s="191">
        <v>251.0</v>
      </c>
      <c r="F112" s="191">
        <f t="shared" si="5"/>
        <v>0</v>
      </c>
      <c r="G112" s="191">
        <f t="shared" si="6"/>
        <v>138.286442</v>
      </c>
      <c r="H112" s="192">
        <f t="shared" si="7"/>
        <v>138.286442</v>
      </c>
      <c r="I112" s="191">
        <v>1.0</v>
      </c>
      <c r="J112" s="194">
        <f t="shared" si="8"/>
        <v>138.286442</v>
      </c>
      <c r="K112" s="139"/>
      <c r="L112" s="197"/>
      <c r="M112" s="198"/>
      <c r="N112" s="198"/>
      <c r="O112" s="139"/>
      <c r="P112" s="139"/>
      <c r="Q112" s="141">
        <v>29.5</v>
      </c>
      <c r="R112" s="187">
        <f t="shared" si="9"/>
        <v>2.51</v>
      </c>
      <c r="S112" s="181">
        <f t="shared" si="10"/>
        <v>1</v>
      </c>
      <c r="T112" s="181">
        <f t="shared" si="11"/>
        <v>2.51</v>
      </c>
      <c r="U112" s="186">
        <f t="shared" si="12"/>
        <v>138.286442</v>
      </c>
      <c r="V112" s="187">
        <f t="shared" ref="V112:W112" si="108">C112/100</f>
        <v>0.92</v>
      </c>
      <c r="W112" s="187">
        <f t="shared" si="108"/>
        <v>2.03</v>
      </c>
      <c r="X112" s="187">
        <f t="shared" si="14"/>
        <v>2.51</v>
      </c>
      <c r="Y112" s="189">
        <f t="shared" si="15"/>
        <v>4.687676</v>
      </c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</row>
    <row r="113" ht="27.0" customHeight="1">
      <c r="A113" s="181">
        <v>93.0</v>
      </c>
      <c r="B113" s="191" t="s">
        <v>55</v>
      </c>
      <c r="C113" s="191">
        <v>98.0</v>
      </c>
      <c r="D113" s="191">
        <v>203.0</v>
      </c>
      <c r="E113" s="191">
        <v>202.0</v>
      </c>
      <c r="F113" s="191">
        <f t="shared" si="5"/>
        <v>0</v>
      </c>
      <c r="G113" s="191">
        <f t="shared" si="6"/>
        <v>118.548346</v>
      </c>
      <c r="H113" s="192">
        <f t="shared" si="7"/>
        <v>118.548346</v>
      </c>
      <c r="I113" s="191">
        <v>1.0</v>
      </c>
      <c r="J113" s="194">
        <f t="shared" si="8"/>
        <v>118.548346</v>
      </c>
      <c r="K113" s="139"/>
      <c r="L113" s="197"/>
      <c r="M113" s="198"/>
      <c r="N113" s="198"/>
      <c r="O113" s="139"/>
      <c r="P113" s="139"/>
      <c r="Q113" s="141">
        <v>29.5</v>
      </c>
      <c r="R113" s="187">
        <f t="shared" si="9"/>
        <v>2.02</v>
      </c>
      <c r="S113" s="181">
        <f t="shared" si="10"/>
        <v>1</v>
      </c>
      <c r="T113" s="181">
        <f t="shared" si="11"/>
        <v>2.02</v>
      </c>
      <c r="U113" s="186">
        <f t="shared" si="12"/>
        <v>118.548346</v>
      </c>
      <c r="V113" s="187">
        <f t="shared" ref="V113:W113" si="109">C113/100</f>
        <v>0.98</v>
      </c>
      <c r="W113" s="187">
        <f t="shared" si="109"/>
        <v>2.03</v>
      </c>
      <c r="X113" s="187">
        <f t="shared" si="14"/>
        <v>2.02</v>
      </c>
      <c r="Y113" s="189">
        <f t="shared" si="15"/>
        <v>4.018588</v>
      </c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</row>
    <row r="114" ht="27.0" customHeight="1">
      <c r="A114" s="181">
        <v>94.0</v>
      </c>
      <c r="B114" s="191" t="s">
        <v>55</v>
      </c>
      <c r="C114" s="191">
        <v>96.0</v>
      </c>
      <c r="D114" s="191">
        <v>203.0</v>
      </c>
      <c r="E114" s="191">
        <v>232.0</v>
      </c>
      <c r="F114" s="191">
        <f t="shared" si="5"/>
        <v>0</v>
      </c>
      <c r="G114" s="191">
        <f t="shared" si="6"/>
        <v>133.375872</v>
      </c>
      <c r="H114" s="192">
        <f t="shared" si="7"/>
        <v>133.375872</v>
      </c>
      <c r="I114" s="191">
        <v>1.0</v>
      </c>
      <c r="J114" s="194">
        <f t="shared" si="8"/>
        <v>133.375872</v>
      </c>
      <c r="K114" s="139"/>
      <c r="L114" s="197"/>
      <c r="M114" s="198"/>
      <c r="N114" s="198"/>
      <c r="O114" s="139"/>
      <c r="P114" s="139"/>
      <c r="Q114" s="141">
        <v>29.5</v>
      </c>
      <c r="R114" s="187">
        <f t="shared" si="9"/>
        <v>2.32</v>
      </c>
      <c r="S114" s="181">
        <f t="shared" si="10"/>
        <v>1</v>
      </c>
      <c r="T114" s="181">
        <f t="shared" si="11"/>
        <v>2.32</v>
      </c>
      <c r="U114" s="186">
        <f t="shared" si="12"/>
        <v>133.375872</v>
      </c>
      <c r="V114" s="187">
        <f t="shared" ref="V114:W114" si="110">C114/100</f>
        <v>0.96</v>
      </c>
      <c r="W114" s="187">
        <f t="shared" si="110"/>
        <v>2.03</v>
      </c>
      <c r="X114" s="187">
        <f t="shared" si="14"/>
        <v>2.32</v>
      </c>
      <c r="Y114" s="189">
        <f t="shared" si="15"/>
        <v>4.521216</v>
      </c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</row>
    <row r="115" ht="27.0" customHeight="1">
      <c r="A115" s="181">
        <v>95.0</v>
      </c>
      <c r="B115" s="191" t="s">
        <v>55</v>
      </c>
      <c r="C115" s="191">
        <v>93.0</v>
      </c>
      <c r="D115" s="191">
        <v>203.0</v>
      </c>
      <c r="E115" s="191">
        <v>202.0</v>
      </c>
      <c r="F115" s="191">
        <f t="shared" si="5"/>
        <v>0</v>
      </c>
      <c r="G115" s="191">
        <f t="shared" si="6"/>
        <v>112.499961</v>
      </c>
      <c r="H115" s="192">
        <f t="shared" si="7"/>
        <v>112.499961</v>
      </c>
      <c r="I115" s="191">
        <v>1.0</v>
      </c>
      <c r="J115" s="194">
        <f t="shared" si="8"/>
        <v>112.499961</v>
      </c>
      <c r="K115" s="139"/>
      <c r="L115" s="197"/>
      <c r="M115" s="198"/>
      <c r="N115" s="198"/>
      <c r="O115" s="139"/>
      <c r="P115" s="139"/>
      <c r="Q115" s="141">
        <v>29.5</v>
      </c>
      <c r="R115" s="187">
        <f t="shared" si="9"/>
        <v>2.02</v>
      </c>
      <c r="S115" s="181">
        <f t="shared" si="10"/>
        <v>1</v>
      </c>
      <c r="T115" s="181">
        <f t="shared" si="11"/>
        <v>2.02</v>
      </c>
      <c r="U115" s="186">
        <f t="shared" si="12"/>
        <v>112.499961</v>
      </c>
      <c r="V115" s="187">
        <f t="shared" ref="V115:W115" si="111">C115/100</f>
        <v>0.93</v>
      </c>
      <c r="W115" s="187">
        <f t="shared" si="111"/>
        <v>2.03</v>
      </c>
      <c r="X115" s="187">
        <f t="shared" si="14"/>
        <v>2.02</v>
      </c>
      <c r="Y115" s="189">
        <f t="shared" si="15"/>
        <v>3.813558</v>
      </c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</row>
    <row r="116" ht="27.0" customHeight="1">
      <c r="A116" s="181">
        <v>96.0</v>
      </c>
      <c r="B116" s="191" t="s">
        <v>55</v>
      </c>
      <c r="C116" s="191">
        <v>91.0</v>
      </c>
      <c r="D116" s="191">
        <v>203.0</v>
      </c>
      <c r="E116" s="191">
        <v>253.0</v>
      </c>
      <c r="F116" s="191">
        <f t="shared" si="5"/>
        <v>0</v>
      </c>
      <c r="G116" s="191">
        <f t="shared" si="6"/>
        <v>137.8732355</v>
      </c>
      <c r="H116" s="192">
        <f t="shared" si="7"/>
        <v>137.8732355</v>
      </c>
      <c r="I116" s="191">
        <v>1.0</v>
      </c>
      <c r="J116" s="194">
        <f t="shared" si="8"/>
        <v>137.8732355</v>
      </c>
      <c r="K116" s="139"/>
      <c r="L116" s="197"/>
      <c r="M116" s="198"/>
      <c r="N116" s="198"/>
      <c r="O116" s="139"/>
      <c r="P116" s="139"/>
      <c r="Q116" s="141">
        <v>29.5</v>
      </c>
      <c r="R116" s="187">
        <f t="shared" si="9"/>
        <v>2.53</v>
      </c>
      <c r="S116" s="181">
        <f t="shared" si="10"/>
        <v>1</v>
      </c>
      <c r="T116" s="181">
        <f t="shared" si="11"/>
        <v>2.53</v>
      </c>
      <c r="U116" s="186">
        <f t="shared" si="12"/>
        <v>137.8732355</v>
      </c>
      <c r="V116" s="187">
        <f t="shared" ref="V116:W116" si="112">C116/100</f>
        <v>0.91</v>
      </c>
      <c r="W116" s="187">
        <f t="shared" si="112"/>
        <v>2.03</v>
      </c>
      <c r="X116" s="187">
        <f t="shared" si="14"/>
        <v>2.53</v>
      </c>
      <c r="Y116" s="189">
        <f t="shared" si="15"/>
        <v>4.673669</v>
      </c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ht="27.0" customHeight="1">
      <c r="A117" s="181">
        <v>97.0</v>
      </c>
      <c r="B117" s="191" t="s">
        <v>55</v>
      </c>
      <c r="C117" s="191">
        <v>64.0</v>
      </c>
      <c r="D117" s="191">
        <v>203.0</v>
      </c>
      <c r="E117" s="191">
        <v>234.0</v>
      </c>
      <c r="F117" s="191">
        <f t="shared" si="5"/>
        <v>0</v>
      </c>
      <c r="G117" s="191">
        <f t="shared" si="6"/>
        <v>89.683776</v>
      </c>
      <c r="H117" s="192">
        <f t="shared" si="7"/>
        <v>89.683776</v>
      </c>
      <c r="I117" s="191">
        <v>1.0</v>
      </c>
      <c r="J117" s="194">
        <f t="shared" si="8"/>
        <v>89.683776</v>
      </c>
      <c r="K117" s="139"/>
      <c r="L117" s="197"/>
      <c r="M117" s="198"/>
      <c r="N117" s="198"/>
      <c r="O117" s="139"/>
      <c r="P117" s="139"/>
      <c r="Q117" s="141">
        <v>29.5</v>
      </c>
      <c r="R117" s="187">
        <f t="shared" si="9"/>
        <v>2.34</v>
      </c>
      <c r="S117" s="181">
        <f t="shared" si="10"/>
        <v>1</v>
      </c>
      <c r="T117" s="181">
        <f t="shared" si="11"/>
        <v>2.34</v>
      </c>
      <c r="U117" s="186">
        <f t="shared" si="12"/>
        <v>89.683776</v>
      </c>
      <c r="V117" s="187">
        <f t="shared" ref="V117:W117" si="113">C117/100</f>
        <v>0.64</v>
      </c>
      <c r="W117" s="187">
        <f t="shared" si="113"/>
        <v>2.03</v>
      </c>
      <c r="X117" s="187">
        <f t="shared" si="14"/>
        <v>2.34</v>
      </c>
      <c r="Y117" s="189">
        <f t="shared" si="15"/>
        <v>3.040128</v>
      </c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</row>
    <row r="118" ht="27.0" customHeight="1">
      <c r="A118" s="160"/>
      <c r="B118" s="176"/>
      <c r="C118" s="176"/>
      <c r="D118" s="176"/>
      <c r="E118" s="176"/>
      <c r="F118" s="176"/>
      <c r="G118" s="176"/>
      <c r="H118" s="179"/>
      <c r="I118" s="160"/>
      <c r="J118" s="203">
        <f>+Q152</f>
        <v>174.8</v>
      </c>
      <c r="K118" s="139"/>
      <c r="L118" s="139"/>
      <c r="M118" s="139"/>
      <c r="N118" s="139"/>
      <c r="O118" s="139"/>
      <c r="P118" s="139"/>
      <c r="Q118" s="204"/>
      <c r="R118" s="187">
        <f t="shared" si="9"/>
        <v>0</v>
      </c>
      <c r="S118" s="181" t="str">
        <f t="shared" si="10"/>
        <v/>
      </c>
      <c r="T118" s="181">
        <f t="shared" si="11"/>
        <v>0</v>
      </c>
      <c r="U118" s="186"/>
      <c r="V118" s="187">
        <f t="shared" ref="V118:W118" si="114">C118/100</f>
        <v>0</v>
      </c>
      <c r="W118" s="187">
        <f t="shared" si="114"/>
        <v>0</v>
      </c>
      <c r="X118" s="187">
        <f t="shared" si="14"/>
        <v>0</v>
      </c>
      <c r="Y118" s="189">
        <f t="shared" si="15"/>
        <v>0</v>
      </c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</row>
    <row r="119" ht="27.0" customHeight="1">
      <c r="A119" s="160"/>
      <c r="B119" s="205"/>
      <c r="C119" s="205"/>
      <c r="D119" s="205"/>
      <c r="E119" s="205"/>
      <c r="F119" s="205"/>
      <c r="G119" s="205"/>
      <c r="H119" s="206"/>
      <c r="I119" s="207">
        <f>SUM(I21:I117)</f>
        <v>295</v>
      </c>
      <c r="J119" s="208">
        <f>SUM(J21:J118)</f>
        <v>33457.34203</v>
      </c>
      <c r="K119" s="209"/>
      <c r="L119" s="209"/>
      <c r="M119" s="209"/>
      <c r="N119" s="209"/>
      <c r="O119" s="209"/>
      <c r="P119" s="209"/>
      <c r="Q119" s="141"/>
      <c r="R119" s="209">
        <f>SUMIFS($S$21:$S$117,$R$21:$R$117,"&gt;=3")</f>
        <v>0</v>
      </c>
      <c r="S119" s="209">
        <f t="shared" ref="S119:T119" si="115">SUM(S21:S117)</f>
        <v>295</v>
      </c>
      <c r="T119" s="209">
        <f t="shared" si="115"/>
        <v>633.92</v>
      </c>
      <c r="U119" s="209"/>
      <c r="V119" s="209"/>
      <c r="W119" s="209"/>
      <c r="X119" s="209"/>
      <c r="Y119" s="210">
        <f>SUM(Y21:Y118)</f>
        <v>1260.492353</v>
      </c>
      <c r="Z119" s="209"/>
      <c r="AA119" s="209"/>
      <c r="AB119" s="209"/>
      <c r="AC119" s="209"/>
      <c r="AD119" s="209"/>
      <c r="AE119" s="209"/>
      <c r="AF119" s="209"/>
      <c r="AG119" s="209"/>
      <c r="AH119" s="209"/>
      <c r="AI119" s="209"/>
      <c r="AJ119" s="209"/>
      <c r="AK119" s="209"/>
      <c r="AL119" s="209"/>
      <c r="AM119" s="209"/>
      <c r="AN119" s="209"/>
      <c r="AO119" s="209"/>
      <c r="AP119" s="209"/>
      <c r="AQ119" s="209"/>
      <c r="AR119" s="209"/>
      <c r="AS119" s="209"/>
    </row>
    <row r="120" ht="29.25" customHeight="1">
      <c r="A120" s="139"/>
      <c r="B120" s="139"/>
      <c r="C120" s="139"/>
      <c r="D120" s="139"/>
      <c r="E120" s="139"/>
      <c r="F120" s="139"/>
      <c r="G120" s="139"/>
      <c r="H120" s="140"/>
      <c r="I120" s="139"/>
      <c r="J120" s="139"/>
      <c r="K120" s="139"/>
      <c r="L120" s="139"/>
      <c r="M120" s="139"/>
      <c r="N120" s="139"/>
      <c r="O120" s="139"/>
      <c r="P120" s="139"/>
      <c r="Q120" s="141"/>
      <c r="R120" s="186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</row>
    <row r="121" ht="29.25" customHeight="1">
      <c r="A121" s="139"/>
      <c r="B121" s="139"/>
      <c r="C121" s="139"/>
      <c r="D121" s="139"/>
      <c r="E121" s="139"/>
      <c r="F121" s="139"/>
      <c r="G121" s="139"/>
      <c r="H121" s="140"/>
      <c r="I121" s="139"/>
      <c r="J121" s="139"/>
      <c r="K121" s="139"/>
      <c r="L121" s="139"/>
      <c r="M121" s="139"/>
      <c r="N121" s="139"/>
      <c r="O121" s="139"/>
      <c r="P121" s="139"/>
      <c r="Q121" s="204"/>
      <c r="R121" s="139"/>
      <c r="S121" s="139" t="s">
        <v>48</v>
      </c>
      <c r="T121" s="139" t="s">
        <v>72</v>
      </c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</row>
    <row r="122" ht="29.25" customHeight="1">
      <c r="A122" s="139"/>
      <c r="B122" s="139"/>
      <c r="C122" s="139"/>
      <c r="D122" s="139"/>
      <c r="E122" s="139"/>
      <c r="F122" s="139"/>
      <c r="G122" s="139"/>
      <c r="H122" s="140"/>
      <c r="I122" s="139"/>
      <c r="J122" s="139"/>
      <c r="K122" s="139"/>
      <c r="L122" s="139"/>
      <c r="M122" s="139"/>
      <c r="N122" s="139"/>
      <c r="O122" s="139"/>
      <c r="P122" s="139"/>
      <c r="Q122" s="141"/>
      <c r="R122" s="139" t="s">
        <v>31</v>
      </c>
      <c r="S122" s="211">
        <f>SUMIFS($J$21:$J$117,$R$21:$R$117,"&gt;=3")</f>
        <v>0</v>
      </c>
      <c r="T122" s="212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</row>
    <row r="123" ht="29.25" customHeight="1">
      <c r="A123" s="139" t="s">
        <v>32</v>
      </c>
      <c r="B123" s="139"/>
      <c r="C123" s="139"/>
      <c r="D123" s="139" t="s">
        <v>33</v>
      </c>
      <c r="E123" s="139"/>
      <c r="F123" s="139"/>
      <c r="G123" s="139"/>
      <c r="H123" s="140"/>
      <c r="I123" s="139"/>
      <c r="J123" s="139"/>
      <c r="K123" s="139"/>
      <c r="L123" s="139"/>
      <c r="M123" s="139"/>
      <c r="N123" s="139"/>
      <c r="O123" s="139"/>
      <c r="P123" s="139"/>
      <c r="Q123" s="141"/>
      <c r="R123" s="139" t="s">
        <v>34</v>
      </c>
      <c r="S123" s="213">
        <f>J119-S122</f>
        <v>33457.34203</v>
      </c>
      <c r="T123" s="212">
        <f>+SUMIFS($T$21:$T$117,$R$21:$R$117,"&gt;=3")</f>
        <v>0</v>
      </c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</row>
    <row r="124" ht="29.25" customHeight="1">
      <c r="A124" s="139"/>
      <c r="B124" s="139"/>
      <c r="C124" s="139"/>
      <c r="D124" s="139"/>
      <c r="E124" s="139"/>
      <c r="F124" s="139"/>
      <c r="G124" s="139"/>
      <c r="H124" s="140"/>
      <c r="I124" s="139"/>
      <c r="J124" s="139"/>
      <c r="K124" s="139"/>
      <c r="L124" s="139"/>
      <c r="M124" s="139"/>
      <c r="N124" s="139"/>
      <c r="O124" s="139"/>
      <c r="P124" s="139"/>
      <c r="Q124" s="204"/>
      <c r="R124" s="139"/>
      <c r="S124" s="214">
        <f>+I119</f>
        <v>295</v>
      </c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</row>
    <row r="125" ht="39.0" customHeight="1">
      <c r="A125" s="176"/>
      <c r="B125" s="160" t="s">
        <v>12</v>
      </c>
      <c r="C125" s="177" t="s">
        <v>73</v>
      </c>
      <c r="D125" s="52"/>
      <c r="E125" s="53"/>
      <c r="F125" s="178"/>
      <c r="G125" s="178"/>
      <c r="H125" s="179" t="s">
        <v>14</v>
      </c>
      <c r="I125" s="160" t="s">
        <v>15</v>
      </c>
      <c r="J125" s="160" t="s">
        <v>16</v>
      </c>
      <c r="K125" s="139"/>
      <c r="L125" s="139"/>
      <c r="M125" s="139"/>
      <c r="N125" s="139"/>
      <c r="O125" s="139"/>
      <c r="P125" s="139"/>
      <c r="Q125" s="141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</row>
    <row r="126" ht="27.0" customHeight="1">
      <c r="A126" s="154">
        <v>1.0</v>
      </c>
      <c r="B126" s="215" t="s">
        <v>65</v>
      </c>
      <c r="C126" s="215">
        <v>80.0</v>
      </c>
      <c r="D126" s="215">
        <v>184.0</v>
      </c>
      <c r="E126" s="215">
        <v>278.0</v>
      </c>
      <c r="F126" s="215">
        <f t="shared" ref="F126:F131" si="116">1-VALUE(IF(RIGHT(B126, 1)="%", RIGHT(B126, 3), 0))</f>
        <v>0.2</v>
      </c>
      <c r="G126" s="215">
        <f t="shared" ref="G126:G131" si="117">+Q126*C126/100*D126/100*E126/100</f>
        <v>0</v>
      </c>
      <c r="H126" s="216">
        <f t="shared" ref="H126:H131" si="118">IF(F126=0, G126, F126*G126)</f>
        <v>0</v>
      </c>
      <c r="I126" s="215">
        <v>1.0</v>
      </c>
      <c r="J126" s="217">
        <f t="shared" ref="J126:J131" si="119">+I126*H126</f>
        <v>0</v>
      </c>
      <c r="K126" s="139"/>
      <c r="L126" s="176">
        <f t="shared" ref="L126:L131" si="120">D126*25.4/1000</f>
        <v>4.6736</v>
      </c>
      <c r="M126" s="160">
        <f t="shared" ref="M126:M129" si="121">+I126</f>
        <v>1</v>
      </c>
      <c r="N126" s="160">
        <f t="shared" ref="N126:N129" si="122">M126*L126</f>
        <v>4.6736</v>
      </c>
      <c r="O126" s="139"/>
      <c r="P126" s="139"/>
      <c r="Q126" s="141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</row>
    <row r="127" ht="27.0" customHeight="1">
      <c r="A127" s="160">
        <v>2.0</v>
      </c>
      <c r="B127" s="218" t="s">
        <v>64</v>
      </c>
      <c r="C127" s="218">
        <v>92.0</v>
      </c>
      <c r="D127" s="218">
        <v>194.0</v>
      </c>
      <c r="E127" s="218">
        <v>184.0</v>
      </c>
      <c r="F127" s="218">
        <f t="shared" si="116"/>
        <v>0.2</v>
      </c>
      <c r="G127" s="218">
        <f t="shared" si="117"/>
        <v>0</v>
      </c>
      <c r="H127" s="219">
        <f t="shared" si="118"/>
        <v>0</v>
      </c>
      <c r="I127" s="218">
        <v>1.0</v>
      </c>
      <c r="J127" s="194">
        <f t="shared" si="119"/>
        <v>0</v>
      </c>
      <c r="K127" s="139"/>
      <c r="L127" s="176">
        <f t="shared" si="120"/>
        <v>4.9276</v>
      </c>
      <c r="M127" s="160">
        <f t="shared" si="121"/>
        <v>1</v>
      </c>
      <c r="N127" s="160">
        <f t="shared" si="122"/>
        <v>4.9276</v>
      </c>
      <c r="O127" s="139"/>
      <c r="P127" s="139"/>
      <c r="Q127" s="141"/>
      <c r="R127" s="139"/>
      <c r="S127" s="220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</row>
    <row r="128" ht="27.0" customHeight="1">
      <c r="A128" s="160">
        <v>3.0</v>
      </c>
      <c r="B128" s="218" t="s">
        <v>79</v>
      </c>
      <c r="C128" s="218">
        <v>82.0</v>
      </c>
      <c r="D128" s="218">
        <v>210.0</v>
      </c>
      <c r="E128" s="218">
        <v>197.0</v>
      </c>
      <c r="F128" s="218">
        <f t="shared" si="116"/>
        <v>0.2</v>
      </c>
      <c r="G128" s="218">
        <f t="shared" si="117"/>
        <v>0</v>
      </c>
      <c r="H128" s="219">
        <f t="shared" si="118"/>
        <v>0</v>
      </c>
      <c r="I128" s="218">
        <v>1.0</v>
      </c>
      <c r="J128" s="194">
        <f t="shared" si="119"/>
        <v>0</v>
      </c>
      <c r="K128" s="139"/>
      <c r="L128" s="176">
        <f t="shared" si="120"/>
        <v>5.334</v>
      </c>
      <c r="M128" s="160">
        <f t="shared" si="121"/>
        <v>1</v>
      </c>
      <c r="N128" s="160">
        <f t="shared" si="122"/>
        <v>5.334</v>
      </c>
      <c r="O128" s="139"/>
      <c r="P128" s="139"/>
      <c r="Q128" s="141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</row>
    <row r="129" ht="27.0" customHeight="1">
      <c r="A129" s="160">
        <v>4.0</v>
      </c>
      <c r="B129" s="218" t="s">
        <v>80</v>
      </c>
      <c r="C129" s="218">
        <v>94.0</v>
      </c>
      <c r="D129" s="218">
        <v>206.0</v>
      </c>
      <c r="E129" s="218">
        <v>207.0</v>
      </c>
      <c r="F129" s="218">
        <f t="shared" si="116"/>
        <v>0.2</v>
      </c>
      <c r="G129" s="218">
        <f t="shared" si="117"/>
        <v>0</v>
      </c>
      <c r="H129" s="219">
        <f t="shared" si="118"/>
        <v>0</v>
      </c>
      <c r="I129" s="218">
        <v>1.0</v>
      </c>
      <c r="J129" s="194">
        <f t="shared" si="119"/>
        <v>0</v>
      </c>
      <c r="K129" s="139"/>
      <c r="L129" s="176">
        <f t="shared" si="120"/>
        <v>5.2324</v>
      </c>
      <c r="M129" s="160">
        <f t="shared" si="121"/>
        <v>1</v>
      </c>
      <c r="N129" s="160">
        <f t="shared" si="122"/>
        <v>5.2324</v>
      </c>
      <c r="O129" s="139"/>
      <c r="P129" s="139"/>
      <c r="Q129" s="141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</row>
    <row r="130" ht="27.0" customHeight="1">
      <c r="A130" s="160">
        <v>5.0</v>
      </c>
      <c r="B130" s="218" t="s">
        <v>64</v>
      </c>
      <c r="C130" s="218">
        <v>90.0</v>
      </c>
      <c r="D130" s="218">
        <v>203.0</v>
      </c>
      <c r="E130" s="218">
        <v>234.0</v>
      </c>
      <c r="F130" s="218">
        <f t="shared" si="116"/>
        <v>0.2</v>
      </c>
      <c r="G130" s="218">
        <f t="shared" si="117"/>
        <v>0</v>
      </c>
      <c r="H130" s="219">
        <f t="shared" si="118"/>
        <v>0</v>
      </c>
      <c r="I130" s="218">
        <v>1.0</v>
      </c>
      <c r="J130" s="194">
        <f t="shared" si="119"/>
        <v>0</v>
      </c>
      <c r="K130" s="139"/>
      <c r="L130" s="139">
        <f t="shared" si="120"/>
        <v>5.1562</v>
      </c>
      <c r="M130" s="221"/>
      <c r="N130" s="221"/>
      <c r="O130" s="139"/>
      <c r="P130" s="139"/>
      <c r="Q130" s="141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</row>
    <row r="131" ht="27.0" customHeight="1">
      <c r="A131" s="160">
        <v>6.0</v>
      </c>
      <c r="B131" s="218" t="s">
        <v>64</v>
      </c>
      <c r="C131" s="218">
        <v>80.0</v>
      </c>
      <c r="D131" s="218">
        <v>203.0</v>
      </c>
      <c r="E131" s="218">
        <v>232.0</v>
      </c>
      <c r="F131" s="218">
        <f t="shared" si="116"/>
        <v>0.2</v>
      </c>
      <c r="G131" s="218">
        <f t="shared" si="117"/>
        <v>0</v>
      </c>
      <c r="H131" s="219">
        <f t="shared" si="118"/>
        <v>0</v>
      </c>
      <c r="I131" s="218">
        <v>1.0</v>
      </c>
      <c r="J131" s="194">
        <f t="shared" si="119"/>
        <v>0</v>
      </c>
      <c r="K131" s="139"/>
      <c r="L131" s="139">
        <f t="shared" si="120"/>
        <v>5.1562</v>
      </c>
      <c r="M131" s="221"/>
      <c r="N131" s="221"/>
      <c r="O131" s="139"/>
      <c r="P131" s="139"/>
      <c r="Q131" s="141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</row>
    <row r="132" ht="24.75" customHeight="1">
      <c r="A132" s="160"/>
      <c r="B132" s="197"/>
      <c r="C132" s="197"/>
      <c r="D132" s="197"/>
      <c r="E132" s="197"/>
      <c r="F132" s="197"/>
      <c r="G132" s="197"/>
      <c r="H132" s="269" t="s">
        <v>38</v>
      </c>
      <c r="I132" s="197"/>
      <c r="J132" s="226">
        <f>SUM(J126:J131)</f>
        <v>0</v>
      </c>
      <c r="K132" s="139"/>
      <c r="L132" s="139"/>
      <c r="M132" s="139"/>
      <c r="N132" s="139"/>
      <c r="O132" s="139"/>
      <c r="P132" s="139"/>
      <c r="Q132" s="141"/>
      <c r="R132" s="227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</row>
    <row r="133" ht="18.75" customHeight="1">
      <c r="A133" s="174"/>
      <c r="B133" s="144"/>
      <c r="C133" s="144"/>
      <c r="D133" s="144"/>
      <c r="E133" s="144"/>
      <c r="F133" s="144"/>
      <c r="G133" s="144"/>
      <c r="H133" s="145"/>
      <c r="I133" s="144"/>
      <c r="J133" s="175"/>
      <c r="K133" s="139"/>
      <c r="L133" s="139"/>
      <c r="M133" s="139"/>
      <c r="N133" s="139"/>
      <c r="O133" s="139"/>
      <c r="P133" s="139"/>
      <c r="Q133" s="141"/>
      <c r="R133" s="227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</row>
    <row r="134" ht="18.75" customHeight="1">
      <c r="A134" s="139"/>
      <c r="B134" s="139"/>
      <c r="C134" s="139"/>
      <c r="D134" s="139"/>
      <c r="E134" s="139"/>
      <c r="F134" s="139"/>
      <c r="G134" s="139"/>
      <c r="H134" s="140"/>
      <c r="I134" s="139"/>
      <c r="J134" s="139"/>
      <c r="K134" s="139"/>
      <c r="L134" s="139"/>
      <c r="M134" s="139"/>
      <c r="N134" s="139"/>
      <c r="O134" s="139"/>
      <c r="P134" s="139"/>
      <c r="Q134" s="141"/>
      <c r="R134" s="227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</row>
    <row r="135" ht="18.75" customHeight="1">
      <c r="A135" s="139"/>
      <c r="B135" s="139"/>
      <c r="C135" s="139"/>
      <c r="D135" s="139"/>
      <c r="E135" s="139"/>
      <c r="F135" s="139"/>
      <c r="G135" s="139"/>
      <c r="H135" s="140"/>
      <c r="I135" s="139"/>
      <c r="J135" s="139"/>
      <c r="K135" s="139"/>
      <c r="L135" s="139"/>
      <c r="M135" s="139"/>
      <c r="N135" s="139"/>
      <c r="O135" s="139"/>
      <c r="P135" s="139"/>
      <c r="Q135" s="141"/>
      <c r="R135" s="227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</row>
    <row r="136" ht="18.75" customHeight="1">
      <c r="A136" s="139" t="s">
        <v>39</v>
      </c>
      <c r="B136" s="139"/>
      <c r="C136" s="139"/>
      <c r="D136" s="139"/>
      <c r="E136" s="139"/>
      <c r="F136" s="139"/>
      <c r="G136" s="139"/>
      <c r="H136" s="140"/>
      <c r="I136" s="139"/>
      <c r="J136" s="139"/>
      <c r="K136" s="139"/>
      <c r="L136" s="139"/>
      <c r="M136" s="139"/>
      <c r="N136" s="139"/>
      <c r="O136" s="139"/>
      <c r="P136" s="139"/>
      <c r="Q136" s="141"/>
      <c r="R136" s="227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</row>
    <row r="137" ht="18.75" customHeight="1">
      <c r="A137" s="139"/>
      <c r="B137" s="139"/>
      <c r="C137" s="139"/>
      <c r="D137" s="139"/>
      <c r="E137" s="139"/>
      <c r="F137" s="139"/>
      <c r="G137" s="139"/>
      <c r="H137" s="140"/>
      <c r="I137" s="139"/>
      <c r="J137" s="139"/>
      <c r="K137" s="139"/>
      <c r="L137" s="139"/>
      <c r="M137" s="139"/>
      <c r="N137" s="139"/>
      <c r="O137" s="139"/>
      <c r="P137" s="139"/>
      <c r="Q137" s="141"/>
      <c r="R137" s="227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</row>
    <row r="138" ht="42.0" customHeight="1">
      <c r="A138" s="176"/>
      <c r="B138" s="160" t="s">
        <v>12</v>
      </c>
      <c r="C138" s="177" t="s">
        <v>74</v>
      </c>
      <c r="D138" s="52"/>
      <c r="E138" s="53"/>
      <c r="F138" s="228"/>
      <c r="G138" s="228"/>
      <c r="H138" s="179" t="s">
        <v>14</v>
      </c>
      <c r="I138" s="224" t="s">
        <v>15</v>
      </c>
      <c r="J138" s="160" t="s">
        <v>16</v>
      </c>
      <c r="K138" s="139"/>
      <c r="L138" s="139"/>
      <c r="M138" s="139"/>
      <c r="N138" s="139"/>
      <c r="O138" s="139"/>
      <c r="P138" s="139"/>
      <c r="Q138" s="141"/>
      <c r="R138" s="227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</row>
    <row r="139" ht="24.75" customHeight="1">
      <c r="A139" s="160">
        <v>1.0</v>
      </c>
      <c r="B139" s="229" t="s">
        <v>56</v>
      </c>
      <c r="C139" s="160"/>
      <c r="D139" s="160"/>
      <c r="E139" s="160"/>
      <c r="F139" s="160"/>
      <c r="G139" s="160"/>
      <c r="H139" s="230">
        <v>58.0</v>
      </c>
      <c r="I139" s="181">
        <v>1.0</v>
      </c>
      <c r="J139" s="194">
        <f t="shared" ref="J139:J150" si="123">+I139*H139</f>
        <v>58</v>
      </c>
      <c r="K139" s="176"/>
      <c r="L139" s="176"/>
      <c r="M139" s="176"/>
      <c r="N139" s="176"/>
      <c r="O139" s="176"/>
      <c r="P139" s="176"/>
      <c r="Q139" s="231"/>
      <c r="R139" s="227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</row>
    <row r="140" ht="24.75" customHeight="1">
      <c r="A140" s="160">
        <v>2.0</v>
      </c>
      <c r="B140" s="215" t="s">
        <v>56</v>
      </c>
      <c r="C140" s="160"/>
      <c r="D140" s="160"/>
      <c r="E140" s="160"/>
      <c r="F140" s="160"/>
      <c r="G140" s="160"/>
      <c r="H140" s="230">
        <v>36.0</v>
      </c>
      <c r="I140" s="181">
        <v>1.0</v>
      </c>
      <c r="J140" s="194">
        <f t="shared" si="123"/>
        <v>36</v>
      </c>
      <c r="K140" s="176"/>
      <c r="L140" s="176"/>
      <c r="M140" s="176"/>
      <c r="N140" s="176"/>
      <c r="O140" s="176"/>
      <c r="P140" s="176"/>
      <c r="Q140" s="231"/>
      <c r="R140" s="227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</row>
    <row r="141" ht="24.75" customHeight="1">
      <c r="A141" s="160">
        <v>3.0</v>
      </c>
      <c r="B141" s="182" t="s">
        <v>55</v>
      </c>
      <c r="C141" s="160"/>
      <c r="D141" s="160"/>
      <c r="E141" s="160"/>
      <c r="F141" s="160"/>
      <c r="G141" s="160"/>
      <c r="H141" s="230">
        <v>54.0</v>
      </c>
      <c r="I141" s="181">
        <v>1.0</v>
      </c>
      <c r="J141" s="194">
        <f t="shared" si="123"/>
        <v>54</v>
      </c>
      <c r="K141" s="176"/>
      <c r="L141" s="176"/>
      <c r="M141" s="176"/>
      <c r="N141" s="176"/>
      <c r="O141" s="176"/>
      <c r="P141" s="176"/>
      <c r="Q141" s="231"/>
      <c r="R141" s="227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</row>
    <row r="142" ht="24.75" customHeight="1">
      <c r="A142" s="160">
        <v>4.0</v>
      </c>
      <c r="B142" s="218" t="s">
        <v>55</v>
      </c>
      <c r="C142" s="160"/>
      <c r="D142" s="160"/>
      <c r="E142" s="160"/>
      <c r="F142" s="160"/>
      <c r="G142" s="160"/>
      <c r="H142" s="230">
        <v>33.0</v>
      </c>
      <c r="I142" s="181">
        <v>1.0</v>
      </c>
      <c r="J142" s="194">
        <f t="shared" si="123"/>
        <v>33</v>
      </c>
      <c r="K142" s="176"/>
      <c r="L142" s="176"/>
      <c r="M142" s="176"/>
      <c r="N142" s="176"/>
      <c r="O142" s="176"/>
      <c r="P142" s="176"/>
      <c r="Q142" s="231"/>
      <c r="R142" s="227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</row>
    <row r="143" ht="24.75" customHeight="1">
      <c r="A143" s="160">
        <v>5.0</v>
      </c>
      <c r="B143" s="182" t="s">
        <v>76</v>
      </c>
      <c r="C143" s="160"/>
      <c r="D143" s="160"/>
      <c r="E143" s="160"/>
      <c r="F143" s="160"/>
      <c r="G143" s="160"/>
      <c r="H143" s="230">
        <v>45.0</v>
      </c>
      <c r="I143" s="181">
        <v>1.0</v>
      </c>
      <c r="J143" s="194">
        <f t="shared" si="123"/>
        <v>45</v>
      </c>
      <c r="K143" s="176"/>
      <c r="L143" s="176"/>
      <c r="M143" s="176"/>
      <c r="N143" s="176"/>
      <c r="O143" s="176"/>
      <c r="P143" s="176"/>
      <c r="Q143" s="231"/>
      <c r="R143" s="227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</row>
    <row r="144" ht="24.75" customHeight="1">
      <c r="A144" s="160">
        <v>6.0</v>
      </c>
      <c r="B144" s="218" t="s">
        <v>76</v>
      </c>
      <c r="C144" s="160"/>
      <c r="D144" s="160"/>
      <c r="E144" s="160"/>
      <c r="F144" s="160"/>
      <c r="G144" s="160"/>
      <c r="H144" s="230">
        <v>20.0</v>
      </c>
      <c r="I144" s="181">
        <v>1.0</v>
      </c>
      <c r="J144" s="194">
        <f t="shared" si="123"/>
        <v>20</v>
      </c>
      <c r="K144" s="176"/>
      <c r="L144" s="176"/>
      <c r="M144" s="176"/>
      <c r="N144" s="176"/>
      <c r="O144" s="176"/>
      <c r="P144" s="176"/>
      <c r="Q144" s="231"/>
      <c r="R144" s="227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</row>
    <row r="145" ht="24.75" customHeight="1">
      <c r="A145" s="160">
        <v>7.0</v>
      </c>
      <c r="B145" s="182" t="s">
        <v>77</v>
      </c>
      <c r="C145" s="160"/>
      <c r="D145" s="160"/>
      <c r="E145" s="160"/>
      <c r="F145" s="160"/>
      <c r="G145" s="160"/>
      <c r="H145" s="230">
        <v>44.0</v>
      </c>
      <c r="I145" s="181">
        <v>1.0</v>
      </c>
      <c r="J145" s="194">
        <f t="shared" si="123"/>
        <v>44</v>
      </c>
      <c r="K145" s="176"/>
      <c r="L145" s="176"/>
      <c r="M145" s="176"/>
      <c r="N145" s="176"/>
      <c r="O145" s="176"/>
      <c r="P145" s="176"/>
      <c r="Q145" s="231"/>
      <c r="R145" s="227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</row>
    <row r="146" ht="24.75" customHeight="1">
      <c r="A146" s="160">
        <v>8.0</v>
      </c>
      <c r="B146" s="218" t="s">
        <v>77</v>
      </c>
      <c r="C146" s="160"/>
      <c r="D146" s="160"/>
      <c r="E146" s="160"/>
      <c r="F146" s="160"/>
      <c r="G146" s="160"/>
      <c r="H146" s="230">
        <v>14.0</v>
      </c>
      <c r="I146" s="181">
        <v>1.0</v>
      </c>
      <c r="J146" s="194">
        <f t="shared" si="123"/>
        <v>14</v>
      </c>
      <c r="K146" s="176"/>
      <c r="L146" s="176"/>
      <c r="M146" s="176"/>
      <c r="N146" s="176"/>
      <c r="O146" s="176"/>
      <c r="P146" s="176"/>
      <c r="Q146" s="231"/>
      <c r="R146" s="227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</row>
    <row r="147" ht="24.75" customHeight="1">
      <c r="A147" s="160">
        <v>9.0</v>
      </c>
      <c r="B147" s="182" t="s">
        <v>55</v>
      </c>
      <c r="C147" s="160"/>
      <c r="D147" s="160"/>
      <c r="E147" s="160"/>
      <c r="F147" s="160"/>
      <c r="G147" s="160"/>
      <c r="H147" s="230">
        <v>47.0</v>
      </c>
      <c r="I147" s="181">
        <v>1.0</v>
      </c>
      <c r="J147" s="194">
        <f t="shared" si="123"/>
        <v>47</v>
      </c>
      <c r="K147" s="176"/>
      <c r="L147" s="176"/>
      <c r="M147" s="176"/>
      <c r="N147" s="176"/>
      <c r="O147" s="176"/>
      <c r="P147" s="176"/>
      <c r="Q147" s="231"/>
      <c r="R147" s="227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</row>
    <row r="148" ht="24.75" customHeight="1">
      <c r="A148" s="160">
        <v>10.0</v>
      </c>
      <c r="B148" s="218" t="s">
        <v>55</v>
      </c>
      <c r="C148" s="160"/>
      <c r="D148" s="160"/>
      <c r="E148" s="160"/>
      <c r="F148" s="160"/>
      <c r="G148" s="160"/>
      <c r="H148" s="230">
        <v>10.0</v>
      </c>
      <c r="I148" s="181">
        <v>1.0</v>
      </c>
      <c r="J148" s="194">
        <f t="shared" si="123"/>
        <v>10</v>
      </c>
      <c r="K148" s="176"/>
      <c r="L148" s="176"/>
      <c r="M148" s="176"/>
      <c r="N148" s="176"/>
      <c r="O148" s="176"/>
      <c r="P148" s="176"/>
      <c r="Q148" s="231"/>
      <c r="R148" s="227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</row>
    <row r="149" ht="24.75" customHeight="1">
      <c r="A149" s="160">
        <v>11.0</v>
      </c>
      <c r="B149" s="182" t="s">
        <v>55</v>
      </c>
      <c r="C149" s="160"/>
      <c r="D149" s="160"/>
      <c r="E149" s="160"/>
      <c r="F149" s="160"/>
      <c r="G149" s="160"/>
      <c r="H149" s="230">
        <v>51.0</v>
      </c>
      <c r="I149" s="181">
        <v>1.0</v>
      </c>
      <c r="J149" s="194">
        <f t="shared" si="123"/>
        <v>51</v>
      </c>
      <c r="K149" s="176"/>
      <c r="L149" s="176"/>
      <c r="M149" s="176"/>
      <c r="N149" s="176"/>
      <c r="O149" s="176"/>
      <c r="P149" s="176"/>
      <c r="Q149" s="231"/>
      <c r="R149" s="227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</row>
    <row r="150" ht="24.75" customHeight="1">
      <c r="A150" s="160">
        <v>12.0</v>
      </c>
      <c r="B150" s="218" t="s">
        <v>55</v>
      </c>
      <c r="C150" s="160"/>
      <c r="D150" s="160"/>
      <c r="E150" s="160"/>
      <c r="F150" s="160"/>
      <c r="G150" s="160"/>
      <c r="H150" s="230">
        <v>25.0</v>
      </c>
      <c r="I150" s="181">
        <v>1.0</v>
      </c>
      <c r="J150" s="194">
        <f t="shared" si="123"/>
        <v>25</v>
      </c>
      <c r="K150" s="176"/>
      <c r="L150" s="176"/>
      <c r="M150" s="176"/>
      <c r="N150" s="176"/>
      <c r="O150" s="176"/>
      <c r="P150" s="176"/>
      <c r="Q150" s="231"/>
      <c r="R150" s="227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</row>
    <row r="151" ht="18.75" customHeight="1">
      <c r="A151" s="139"/>
      <c r="B151" s="139"/>
      <c r="C151" s="139"/>
      <c r="D151" s="139"/>
      <c r="E151" s="139"/>
      <c r="F151" s="139"/>
      <c r="G151" s="139"/>
      <c r="H151" s="140" t="s">
        <v>38</v>
      </c>
      <c r="I151" s="139"/>
      <c r="J151" s="235">
        <f>SUM(J139:J150)</f>
        <v>437</v>
      </c>
      <c r="K151" s="236"/>
      <c r="L151" s="236"/>
      <c r="M151" s="236"/>
      <c r="N151" s="236"/>
      <c r="O151" s="236"/>
      <c r="P151" s="236"/>
      <c r="Q151" s="237"/>
      <c r="R151" s="227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</row>
    <row r="152" ht="18.75" customHeight="1">
      <c r="A152" s="144"/>
      <c r="B152" s="144"/>
      <c r="C152" s="144"/>
      <c r="D152" s="144"/>
      <c r="E152" s="144"/>
      <c r="F152" s="144"/>
      <c r="G152" s="144"/>
      <c r="H152" s="145"/>
      <c r="I152" s="173"/>
      <c r="J152" s="205">
        <f>+J151*60%</f>
        <v>262.2</v>
      </c>
      <c r="K152" s="205"/>
      <c r="L152" s="205"/>
      <c r="M152" s="205"/>
      <c r="N152" s="205"/>
      <c r="O152" s="205"/>
      <c r="P152" s="205"/>
      <c r="Q152" s="207">
        <f>+J151*40%</f>
        <v>174.8</v>
      </c>
      <c r="R152" s="227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</row>
    <row r="153" ht="18.75" customHeight="1">
      <c r="A153" s="139"/>
      <c r="B153" s="139"/>
      <c r="C153" s="139"/>
      <c r="D153" s="139"/>
      <c r="E153" s="139"/>
      <c r="F153" s="139"/>
      <c r="G153" s="139"/>
      <c r="H153" s="140"/>
      <c r="I153" s="139"/>
      <c r="J153" s="139"/>
      <c r="K153" s="139"/>
      <c r="L153" s="139"/>
      <c r="M153" s="139"/>
      <c r="N153" s="139"/>
      <c r="O153" s="139"/>
      <c r="P153" s="139"/>
      <c r="Q153" s="141"/>
      <c r="R153" s="227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</row>
    <row r="154" ht="18.75" customHeight="1">
      <c r="A154" s="139"/>
      <c r="B154" s="139"/>
      <c r="C154" s="139"/>
      <c r="D154" s="139"/>
      <c r="E154" s="139"/>
      <c r="F154" s="139"/>
      <c r="G154" s="139"/>
      <c r="H154" s="140"/>
      <c r="I154" s="139"/>
      <c r="J154" s="139"/>
      <c r="K154" s="139"/>
      <c r="L154" s="139"/>
      <c r="M154" s="139"/>
      <c r="N154" s="139"/>
      <c r="O154" s="139"/>
      <c r="P154" s="139"/>
      <c r="Q154" s="141"/>
      <c r="R154" s="227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</row>
    <row r="155" ht="19.5" customHeight="1">
      <c r="A155" s="238" t="s">
        <v>41</v>
      </c>
      <c r="B155" s="139"/>
      <c r="C155" s="139"/>
      <c r="D155" s="139"/>
      <c r="E155" s="139"/>
      <c r="F155" s="139"/>
      <c r="G155" s="139"/>
      <c r="H155" s="140"/>
      <c r="I155" s="139"/>
      <c r="J155" s="139"/>
      <c r="K155" s="139"/>
      <c r="L155" s="139"/>
      <c r="M155" s="139"/>
      <c r="N155" s="139"/>
      <c r="O155" s="139"/>
      <c r="P155" s="139"/>
      <c r="Q155" s="141"/>
      <c r="R155" s="227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</row>
    <row r="156" ht="57.0" customHeight="1">
      <c r="A156" s="239"/>
      <c r="B156" s="240" t="s">
        <v>42</v>
      </c>
      <c r="C156" s="240" t="s">
        <v>43</v>
      </c>
      <c r="D156" s="240" t="s">
        <v>44</v>
      </c>
      <c r="E156" s="240" t="s">
        <v>45</v>
      </c>
      <c r="F156" s="240"/>
      <c r="G156" s="240"/>
      <c r="H156" s="241" t="s">
        <v>46</v>
      </c>
      <c r="I156" s="242" t="s">
        <v>47</v>
      </c>
      <c r="J156" s="139"/>
      <c r="K156" s="139"/>
      <c r="L156" s="139"/>
      <c r="M156" s="139"/>
      <c r="N156" s="139"/>
      <c r="O156" s="139"/>
      <c r="P156" s="139"/>
      <c r="Q156" s="141"/>
      <c r="R156" s="227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</row>
    <row r="157" ht="18.75" customHeight="1">
      <c r="A157" s="243" t="s">
        <v>48</v>
      </c>
      <c r="B157" s="244">
        <f>+E14</f>
        <v>38490.38187</v>
      </c>
      <c r="C157" s="245">
        <f>+J119</f>
        <v>33457.34203</v>
      </c>
      <c r="D157" s="245">
        <f>+J132</f>
        <v>0</v>
      </c>
      <c r="E157" s="246">
        <f>J152</f>
        <v>262.2</v>
      </c>
      <c r="F157" s="246"/>
      <c r="G157" s="246"/>
      <c r="H157" s="247">
        <f>+I14</f>
        <v>1602.669801</v>
      </c>
      <c r="I157" s="248">
        <f>+B157-C157-D157-E157-H157</f>
        <v>3168.170037</v>
      </c>
      <c r="J157" s="139"/>
      <c r="K157" s="139"/>
      <c r="L157" s="139"/>
      <c r="M157" s="139"/>
      <c r="N157" s="139"/>
      <c r="O157" s="139"/>
      <c r="P157" s="139"/>
      <c r="Q157" s="141"/>
      <c r="R157" s="227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</row>
    <row r="158" ht="19.5" customHeight="1">
      <c r="A158" s="249" t="s">
        <v>49</v>
      </c>
      <c r="B158" s="250"/>
      <c r="C158" s="251">
        <f>+C157/B157</f>
        <v>0.8692390256</v>
      </c>
      <c r="D158" s="251">
        <f>+D157/B157</f>
        <v>0</v>
      </c>
      <c r="E158" s="251">
        <f>+E157/B157</f>
        <v>0.006812091418</v>
      </c>
      <c r="F158" s="251"/>
      <c r="G158" s="251"/>
      <c r="H158" s="252">
        <f>+H157/B157</f>
        <v>0.04163818917</v>
      </c>
      <c r="I158" s="253">
        <f>+I157/B157</f>
        <v>0.08231069382</v>
      </c>
      <c r="J158" s="139"/>
      <c r="K158" s="139"/>
      <c r="L158" s="139"/>
      <c r="M158" s="139"/>
      <c r="N158" s="139"/>
      <c r="O158" s="139"/>
      <c r="P158" s="139"/>
      <c r="Q158" s="141"/>
      <c r="R158" s="227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</row>
    <row r="159" ht="19.5" customHeight="1">
      <c r="A159" s="163"/>
      <c r="B159" s="221"/>
      <c r="C159" s="254"/>
      <c r="D159" s="254"/>
      <c r="E159" s="254"/>
      <c r="F159" s="254"/>
      <c r="G159" s="254"/>
      <c r="H159" s="255"/>
      <c r="I159" s="256"/>
      <c r="J159" s="139"/>
      <c r="K159" s="139"/>
      <c r="L159" s="139"/>
      <c r="M159" s="139"/>
      <c r="N159" s="139"/>
      <c r="O159" s="139"/>
      <c r="P159" s="139"/>
      <c r="Q159" s="141"/>
      <c r="R159" s="227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</row>
    <row r="160" ht="18.75" customHeight="1">
      <c r="A160" s="257"/>
      <c r="B160" s="258"/>
      <c r="C160" s="258"/>
      <c r="D160" s="258" t="s">
        <v>50</v>
      </c>
      <c r="E160" s="258" t="s">
        <v>48</v>
      </c>
      <c r="F160" s="258"/>
      <c r="G160" s="258"/>
      <c r="H160" s="259">
        <f>+D157+E157+H157+I157</f>
        <v>5033.039839</v>
      </c>
      <c r="I160" s="260"/>
      <c r="J160" s="139"/>
      <c r="K160" s="139"/>
      <c r="L160" s="139"/>
      <c r="M160" s="139"/>
      <c r="N160" s="139"/>
      <c r="O160" s="139"/>
      <c r="P160" s="139"/>
      <c r="Q160" s="141"/>
      <c r="R160" s="140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</row>
    <row r="161" ht="18.75" customHeight="1">
      <c r="A161" s="261"/>
      <c r="B161" s="139"/>
      <c r="C161" s="139"/>
      <c r="D161" s="139"/>
      <c r="E161" s="139" t="s">
        <v>49</v>
      </c>
      <c r="F161" s="139"/>
      <c r="G161" s="139"/>
      <c r="H161" s="255">
        <f>+H160/B157</f>
        <v>0.1307609744</v>
      </c>
      <c r="I161" s="262"/>
      <c r="J161" s="139"/>
      <c r="K161" s="139"/>
      <c r="L161" s="139"/>
      <c r="M161" s="139"/>
      <c r="N161" s="139"/>
      <c r="O161" s="139"/>
      <c r="P161" s="139"/>
      <c r="Q161" s="141"/>
      <c r="R161" s="140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</row>
    <row r="162" ht="18.75" customHeight="1">
      <c r="A162" s="261"/>
      <c r="B162" s="139"/>
      <c r="C162" s="139" t="s">
        <v>51</v>
      </c>
      <c r="D162" s="139"/>
      <c r="E162" s="139"/>
      <c r="F162" s="139"/>
      <c r="G162" s="139"/>
      <c r="H162" s="140"/>
      <c r="I162" s="262"/>
      <c r="J162" s="139"/>
      <c r="K162" s="139"/>
      <c r="L162" s="139"/>
      <c r="M162" s="139"/>
      <c r="N162" s="139"/>
      <c r="O162" s="139"/>
      <c r="P162" s="139"/>
      <c r="Q162" s="141"/>
      <c r="R162" s="140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</row>
    <row r="163" ht="18.75" customHeight="1">
      <c r="A163" s="261"/>
      <c r="B163" s="139"/>
      <c r="C163" s="139"/>
      <c r="D163" s="139" t="s">
        <v>52</v>
      </c>
      <c r="E163" s="139"/>
      <c r="F163" s="139"/>
      <c r="G163" s="139"/>
      <c r="H163" s="140">
        <f>+H162*(H160-H157)</f>
        <v>0</v>
      </c>
      <c r="I163" s="262"/>
      <c r="J163" s="139"/>
      <c r="K163" s="139"/>
      <c r="L163" s="139"/>
      <c r="M163" s="139"/>
      <c r="N163" s="139"/>
      <c r="O163" s="139"/>
      <c r="P163" s="139"/>
      <c r="Q163" s="141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</row>
    <row r="164" ht="19.5" customHeight="1">
      <c r="A164" s="263"/>
      <c r="B164" s="264"/>
      <c r="C164" s="264"/>
      <c r="D164" s="264"/>
      <c r="E164" s="264"/>
      <c r="F164" s="264"/>
      <c r="G164" s="264"/>
      <c r="H164" s="265"/>
      <c r="I164" s="266"/>
      <c r="J164" s="139"/>
      <c r="K164" s="139"/>
      <c r="L164" s="139"/>
      <c r="M164" s="139"/>
      <c r="N164" s="139"/>
      <c r="O164" s="139"/>
      <c r="P164" s="139"/>
      <c r="Q164" s="141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</row>
    <row r="165" ht="18.75" customHeight="1">
      <c r="A165" s="139"/>
      <c r="B165" s="139"/>
      <c r="C165" s="139"/>
      <c r="D165" s="139"/>
      <c r="E165" s="139"/>
      <c r="F165" s="139"/>
      <c r="G165" s="139"/>
      <c r="H165" s="140"/>
      <c r="I165" s="139"/>
      <c r="J165" s="139"/>
      <c r="K165" s="139"/>
      <c r="L165" s="139"/>
      <c r="M165" s="139"/>
      <c r="N165" s="139"/>
      <c r="O165" s="139"/>
      <c r="P165" s="139"/>
      <c r="Q165" s="141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</row>
    <row r="166" ht="18.75" customHeight="1">
      <c r="A166" s="139"/>
      <c r="B166" s="139"/>
      <c r="C166" s="139"/>
      <c r="D166" s="139"/>
      <c r="E166" s="139"/>
      <c r="F166" s="139"/>
      <c r="G166" s="139"/>
      <c r="H166" s="140"/>
      <c r="I166" s="139"/>
      <c r="J166" s="139"/>
      <c r="K166" s="139"/>
      <c r="L166" s="139"/>
      <c r="M166" s="139"/>
      <c r="N166" s="139"/>
      <c r="O166" s="139"/>
      <c r="P166" s="139"/>
      <c r="Q166" s="141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</row>
    <row r="167" ht="18.75" customHeight="1">
      <c r="A167" s="139"/>
      <c r="B167" s="139"/>
      <c r="C167" s="139"/>
      <c r="D167" s="139"/>
      <c r="E167" s="139"/>
      <c r="F167" s="139"/>
      <c r="G167" s="139"/>
      <c r="H167" s="140"/>
      <c r="I167" s="139"/>
      <c r="J167" s="139"/>
      <c r="K167" s="139"/>
      <c r="L167" s="139"/>
      <c r="M167" s="139"/>
      <c r="N167" s="139"/>
      <c r="O167" s="139"/>
      <c r="P167" s="139"/>
      <c r="Q167" s="141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125:E125"/>
    <mergeCell ref="C138:E138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44349.0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76</v>
      </c>
      <c r="C8" s="154">
        <v>22.5</v>
      </c>
      <c r="D8" s="155">
        <v>0.1086</v>
      </c>
      <c r="E8" s="156">
        <f>216.308*18</f>
        <v>3893.544</v>
      </c>
      <c r="F8" s="156"/>
      <c r="G8" s="156"/>
      <c r="H8" s="157">
        <v>18.0</v>
      </c>
      <c r="I8" s="158">
        <f t="shared" ref="I8:I20" si="1">+D8*E8</f>
        <v>422.8388784</v>
      </c>
      <c r="J8" s="159">
        <f t="shared" ref="J8:J20" si="2">E8-I8</f>
        <v>3470.705122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60" t="s">
        <v>82</v>
      </c>
      <c r="C9" s="154">
        <v>26.5</v>
      </c>
      <c r="D9" s="161">
        <v>0.0547</v>
      </c>
      <c r="E9" s="162">
        <f>224.998*9</f>
        <v>2024.982</v>
      </c>
      <c r="F9" s="162"/>
      <c r="G9" s="162"/>
      <c r="H9" s="157">
        <v>9.0</v>
      </c>
      <c r="I9" s="158">
        <f t="shared" si="1"/>
        <v>110.7665154</v>
      </c>
      <c r="J9" s="159">
        <f t="shared" si="2"/>
        <v>1914.215485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60" t="s">
        <v>82</v>
      </c>
      <c r="C10" s="154">
        <v>26.5</v>
      </c>
      <c r="D10" s="161">
        <v>0.0547</v>
      </c>
      <c r="E10" s="162">
        <f>262.445*4</f>
        <v>1049.78</v>
      </c>
      <c r="F10" s="162"/>
      <c r="G10" s="162"/>
      <c r="H10" s="157">
        <v>4.0</v>
      </c>
      <c r="I10" s="158">
        <f t="shared" si="1"/>
        <v>57.422966</v>
      </c>
      <c r="J10" s="159">
        <f t="shared" si="2"/>
        <v>992.357034</v>
      </c>
      <c r="K10" s="153"/>
      <c r="L10" s="160"/>
      <c r="M10" s="154"/>
      <c r="N10" s="155"/>
      <c r="O10" s="156"/>
      <c r="P10" s="157"/>
      <c r="Q10" s="158"/>
      <c r="R10" s="159"/>
      <c r="S10" s="139"/>
      <c r="T10" s="139"/>
      <c r="U10" s="139"/>
      <c r="V10" s="139"/>
      <c r="W10" s="139"/>
      <c r="X10" s="139"/>
      <c r="Y10" s="141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83</v>
      </c>
      <c r="C11" s="154">
        <v>20.5</v>
      </c>
      <c r="D11" s="155">
        <v>0.0899</v>
      </c>
      <c r="E11" s="156">
        <f>213.363*8.355</f>
        <v>1782.647865</v>
      </c>
      <c r="F11" s="156"/>
      <c r="G11" s="156"/>
      <c r="H11" s="157">
        <v>8.355</v>
      </c>
      <c r="I11" s="158">
        <f t="shared" si="1"/>
        <v>160.2600431</v>
      </c>
      <c r="J11" s="159">
        <f t="shared" si="2"/>
        <v>1622.387822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57</v>
      </c>
      <c r="C12" s="154">
        <v>20.5</v>
      </c>
      <c r="D12" s="161">
        <v>0.0846</v>
      </c>
      <c r="E12" s="162">
        <f t="shared" ref="E12:E13" si="3">219.44*15.795</f>
        <v>3466.0548</v>
      </c>
      <c r="F12" s="162"/>
      <c r="G12" s="162"/>
      <c r="H12" s="157">
        <v>15.795</v>
      </c>
      <c r="I12" s="158">
        <f t="shared" si="1"/>
        <v>293.2282361</v>
      </c>
      <c r="J12" s="159">
        <f t="shared" si="2"/>
        <v>3172.826564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/>
      <c r="B13" s="160" t="s">
        <v>57</v>
      </c>
      <c r="C13" s="154">
        <v>20.5</v>
      </c>
      <c r="D13" s="161">
        <v>0.0846</v>
      </c>
      <c r="E13" s="162">
        <f t="shared" si="3"/>
        <v>3466.0548</v>
      </c>
      <c r="F13" s="162"/>
      <c r="G13" s="162"/>
      <c r="H13" s="157">
        <v>15.795</v>
      </c>
      <c r="I13" s="158">
        <f t="shared" si="1"/>
        <v>293.2282361</v>
      </c>
      <c r="J13" s="159">
        <f t="shared" si="2"/>
        <v>3172.826564</v>
      </c>
      <c r="K13" s="160"/>
      <c r="L13" s="154"/>
      <c r="M13" s="161"/>
      <c r="N13" s="162"/>
      <c r="O13" s="157"/>
      <c r="P13" s="158"/>
      <c r="Q13" s="159"/>
      <c r="R13" s="139"/>
      <c r="S13" s="139"/>
      <c r="T13" s="139"/>
      <c r="U13" s="139"/>
      <c r="V13" s="139"/>
      <c r="W13" s="139"/>
      <c r="X13" s="141"/>
      <c r="Y13" s="139"/>
      <c r="Z13" s="139"/>
      <c r="AA13" s="139"/>
      <c r="AB13" s="139"/>
      <c r="AC13" s="139"/>
      <c r="AD13" s="139"/>
    </row>
    <row r="14" ht="26.25" customHeight="1">
      <c r="A14" s="153">
        <v>6.0</v>
      </c>
      <c r="B14" s="160" t="s">
        <v>56</v>
      </c>
      <c r="C14" s="160">
        <v>29.5</v>
      </c>
      <c r="D14" s="161">
        <v>0.0147</v>
      </c>
      <c r="E14" s="162">
        <f>252.355*17.413</f>
        <v>4394.257615</v>
      </c>
      <c r="F14" s="162"/>
      <c r="G14" s="162"/>
      <c r="H14" s="157">
        <v>17.413</v>
      </c>
      <c r="I14" s="158">
        <f t="shared" si="1"/>
        <v>64.59558694</v>
      </c>
      <c r="J14" s="159">
        <f t="shared" si="2"/>
        <v>4329.662028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customHeight="1">
      <c r="A15" s="153">
        <v>7.0</v>
      </c>
      <c r="B15" s="160" t="s">
        <v>56</v>
      </c>
      <c r="C15" s="160">
        <v>29.5</v>
      </c>
      <c r="D15" s="161">
        <v>0.0147</v>
      </c>
      <c r="E15" s="162">
        <f>252.355*22.532</f>
        <v>5686.06286</v>
      </c>
      <c r="F15" s="162"/>
      <c r="G15" s="162"/>
      <c r="H15" s="157">
        <v>22.532</v>
      </c>
      <c r="I15" s="158">
        <f t="shared" si="1"/>
        <v>83.58512404</v>
      </c>
      <c r="J15" s="159">
        <f t="shared" si="2"/>
        <v>5602.477736</v>
      </c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customHeight="1">
      <c r="A16" s="153">
        <v>8.0</v>
      </c>
      <c r="B16" s="160" t="s">
        <v>84</v>
      </c>
      <c r="C16" s="160">
        <v>31.5</v>
      </c>
      <c r="D16" s="161">
        <v>0.0146</v>
      </c>
      <c r="E16" s="162">
        <f>231.223*14.558</f>
        <v>3366.144434</v>
      </c>
      <c r="F16" s="162"/>
      <c r="G16" s="162"/>
      <c r="H16" s="157">
        <v>14.558</v>
      </c>
      <c r="I16" s="158">
        <f t="shared" si="1"/>
        <v>49.14570874</v>
      </c>
      <c r="J16" s="159">
        <f t="shared" si="2"/>
        <v>3316.998725</v>
      </c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customHeight="1">
      <c r="A17" s="153">
        <v>9.0</v>
      </c>
      <c r="B17" s="160" t="s">
        <v>60</v>
      </c>
      <c r="C17" s="160">
        <v>35.5</v>
      </c>
      <c r="D17" s="161">
        <v>0.0441</v>
      </c>
      <c r="E17" s="162">
        <f>245.723*1.082</f>
        <v>265.872286</v>
      </c>
      <c r="F17" s="162"/>
      <c r="G17" s="162"/>
      <c r="H17" s="157">
        <v>1.082</v>
      </c>
      <c r="I17" s="158">
        <f t="shared" si="1"/>
        <v>11.72496781</v>
      </c>
      <c r="J17" s="159">
        <f t="shared" si="2"/>
        <v>254.1473182</v>
      </c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customHeight="1">
      <c r="A18" s="153">
        <v>10.0</v>
      </c>
      <c r="B18" s="160" t="s">
        <v>59</v>
      </c>
      <c r="C18" s="160">
        <v>35.5</v>
      </c>
      <c r="D18" s="161">
        <v>0.0565</v>
      </c>
      <c r="E18" s="162">
        <f>237.089*1.05</f>
        <v>248.94345</v>
      </c>
      <c r="F18" s="162"/>
      <c r="G18" s="162"/>
      <c r="H18" s="157">
        <v>1.05</v>
      </c>
      <c r="I18" s="158">
        <f t="shared" si="1"/>
        <v>14.06530493</v>
      </c>
      <c r="J18" s="159">
        <f t="shared" si="2"/>
        <v>234.8781451</v>
      </c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customHeight="1">
      <c r="A19" s="153">
        <v>11.0</v>
      </c>
      <c r="B19" s="160" t="s">
        <v>85</v>
      </c>
      <c r="C19" s="160">
        <v>26.5</v>
      </c>
      <c r="D19" s="161">
        <v>0.0559</v>
      </c>
      <c r="E19" s="162">
        <f>267.196*1.129</f>
        <v>301.664284</v>
      </c>
      <c r="F19" s="162"/>
      <c r="G19" s="162"/>
      <c r="H19" s="157">
        <v>1.129</v>
      </c>
      <c r="I19" s="158">
        <f t="shared" si="1"/>
        <v>16.86303348</v>
      </c>
      <c r="J19" s="159">
        <f t="shared" si="2"/>
        <v>284.8012505</v>
      </c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customHeight="1">
      <c r="A20" s="153">
        <v>12.0</v>
      </c>
      <c r="B20" s="160" t="s">
        <v>61</v>
      </c>
      <c r="C20" s="160">
        <v>29.5</v>
      </c>
      <c r="D20" s="161">
        <v>0.068</v>
      </c>
      <c r="E20" s="162">
        <f>256.161*1.304</f>
        <v>334.033944</v>
      </c>
      <c r="F20" s="162"/>
      <c r="G20" s="162"/>
      <c r="H20" s="157">
        <v>1.304</v>
      </c>
      <c r="I20" s="158">
        <f t="shared" si="1"/>
        <v>22.71430819</v>
      </c>
      <c r="J20" s="159">
        <f t="shared" si="2"/>
        <v>311.3196358</v>
      </c>
      <c r="K20" s="139"/>
      <c r="L20" s="139"/>
      <c r="M20" s="139"/>
      <c r="N20" s="139"/>
      <c r="O20" s="139"/>
      <c r="P20" s="139"/>
      <c r="Q20" s="141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63"/>
      <c r="B21" s="164"/>
      <c r="C21" s="165"/>
      <c r="D21" s="166"/>
      <c r="E21" s="167">
        <f>SUM(E8:E20)</f>
        <v>30280.04234</v>
      </c>
      <c r="F21" s="168"/>
      <c r="G21" s="168"/>
      <c r="H21" s="169"/>
      <c r="I21" s="170">
        <f t="shared" ref="I21:J21" si="4">SUM(I8:I20)</f>
        <v>1600.438909</v>
      </c>
      <c r="J21" s="171">
        <f t="shared" si="4"/>
        <v>28679.60343</v>
      </c>
      <c r="K21" s="139"/>
      <c r="L21" s="139"/>
      <c r="M21" s="139"/>
      <c r="N21" s="139"/>
      <c r="O21" s="139"/>
      <c r="P21" s="139"/>
      <c r="Q21" s="141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72"/>
      <c r="B22" s="144"/>
      <c r="C22" s="144"/>
      <c r="D22" s="173"/>
      <c r="E22" s="174"/>
      <c r="F22" s="151"/>
      <c r="G22" s="151"/>
      <c r="H22" s="147"/>
      <c r="I22" s="175"/>
      <c r="J22" s="139"/>
      <c r="K22" s="139"/>
      <c r="L22" s="139"/>
      <c r="M22" s="139"/>
      <c r="N22" s="139"/>
      <c r="O22" s="139"/>
      <c r="P22" s="139"/>
      <c r="Q22" s="141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41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41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41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41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</row>
    <row r="27" ht="40.5" customHeight="1">
      <c r="A27" s="176"/>
      <c r="B27" s="160" t="s">
        <v>12</v>
      </c>
      <c r="C27" s="177" t="s">
        <v>62</v>
      </c>
      <c r="D27" s="52"/>
      <c r="E27" s="53"/>
      <c r="F27" s="178"/>
      <c r="G27" s="178"/>
      <c r="H27" s="179" t="s">
        <v>14</v>
      </c>
      <c r="I27" s="160" t="s">
        <v>15</v>
      </c>
      <c r="J27" s="160" t="s">
        <v>16</v>
      </c>
      <c r="K27" s="139"/>
      <c r="L27" s="160" t="s">
        <v>17</v>
      </c>
      <c r="M27" s="160" t="s">
        <v>15</v>
      </c>
      <c r="N27" s="176" t="s">
        <v>18</v>
      </c>
      <c r="O27" s="139"/>
      <c r="P27" s="139"/>
      <c r="Q27" s="180"/>
      <c r="R27" s="160" t="s">
        <v>17</v>
      </c>
      <c r="S27" s="160" t="s">
        <v>15</v>
      </c>
      <c r="T27" s="176" t="s">
        <v>18</v>
      </c>
      <c r="U27" s="139"/>
      <c r="V27" s="176" t="s">
        <v>19</v>
      </c>
      <c r="W27" s="176" t="s">
        <v>20</v>
      </c>
      <c r="X27" s="176" t="s">
        <v>21</v>
      </c>
      <c r="Y27" s="176" t="s">
        <v>86</v>
      </c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</row>
    <row r="28" ht="27.0" customHeight="1">
      <c r="A28" s="181">
        <v>1.0</v>
      </c>
      <c r="B28" s="182" t="s">
        <v>79</v>
      </c>
      <c r="C28" s="183">
        <v>90.0</v>
      </c>
      <c r="D28" s="183">
        <v>284.0</v>
      </c>
      <c r="E28" s="183">
        <v>206.0</v>
      </c>
      <c r="F28" s="183">
        <f t="shared" ref="F28:F165" si="6">VALUE(IF(RIGHT(B28, 1)="%", RIGHT(B28, 3), 0))</f>
        <v>0.8</v>
      </c>
      <c r="G28" s="183">
        <f t="shared" ref="G28:G165" si="7">+Q28*C28/100*D28/100*E28/100</f>
        <v>118.4706</v>
      </c>
      <c r="H28" s="184">
        <f t="shared" ref="H28:H165" si="8">IF(F28=0, G28, F28*G28)</f>
        <v>94.77648</v>
      </c>
      <c r="I28" s="183">
        <v>1.0</v>
      </c>
      <c r="J28" s="193">
        <f t="shared" ref="J28:J165" si="9">+I28*H28</f>
        <v>94.77648</v>
      </c>
      <c r="K28" s="186"/>
      <c r="L28" s="187">
        <f>D28*25.4/1000</f>
        <v>7.2136</v>
      </c>
      <c r="M28" s="181">
        <f>+I28</f>
        <v>1</v>
      </c>
      <c r="N28" s="181">
        <f>M28*L28</f>
        <v>7.2136</v>
      </c>
      <c r="O28" s="186"/>
      <c r="P28" s="186"/>
      <c r="Q28" s="188">
        <v>22.5</v>
      </c>
      <c r="R28" s="187">
        <f t="shared" ref="R28:R166" si="10">E28/100</f>
        <v>2.06</v>
      </c>
      <c r="S28" s="181">
        <f t="shared" ref="S28:S166" si="11">I28</f>
        <v>1</v>
      </c>
      <c r="T28" s="181">
        <f t="shared" ref="T28:T166" si="12">S28*R28</f>
        <v>2.06</v>
      </c>
      <c r="U28" s="186">
        <f t="shared" ref="U28:U165" si="13">Q28*C28/100*D28/100*E28/100</f>
        <v>118.4706</v>
      </c>
      <c r="V28" s="187">
        <f t="shared" ref="V28:W28" si="5">C28/100</f>
        <v>0.9</v>
      </c>
      <c r="W28" s="187">
        <f t="shared" si="5"/>
        <v>2.84</v>
      </c>
      <c r="X28" s="187">
        <f t="shared" ref="X28:X166" si="15">T28</f>
        <v>2.06</v>
      </c>
      <c r="Y28" s="189">
        <f t="shared" ref="Y28:Y166" si="16">V28*W28*X28</f>
        <v>5.26536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2.0</v>
      </c>
      <c r="B29" s="191" t="s">
        <v>76</v>
      </c>
      <c r="C29" s="191">
        <v>102.0</v>
      </c>
      <c r="D29" s="191">
        <v>284.0</v>
      </c>
      <c r="E29" s="191">
        <v>206.0</v>
      </c>
      <c r="F29" s="191">
        <f t="shared" si="6"/>
        <v>0</v>
      </c>
      <c r="G29" s="191">
        <f t="shared" si="7"/>
        <v>134.26668</v>
      </c>
      <c r="H29" s="219">
        <f t="shared" si="8"/>
        <v>134.26668</v>
      </c>
      <c r="I29" s="218">
        <v>1.0</v>
      </c>
      <c r="J29" s="193">
        <f t="shared" si="9"/>
        <v>134.26668</v>
      </c>
      <c r="K29" s="186"/>
      <c r="L29" s="187"/>
      <c r="M29" s="181"/>
      <c r="N29" s="181"/>
      <c r="O29" s="186"/>
      <c r="P29" s="186"/>
      <c r="Q29" s="188">
        <v>22.5</v>
      </c>
      <c r="R29" s="187">
        <f t="shared" si="10"/>
        <v>2.06</v>
      </c>
      <c r="S29" s="181">
        <f t="shared" si="11"/>
        <v>1</v>
      </c>
      <c r="T29" s="181">
        <f t="shared" si="12"/>
        <v>2.06</v>
      </c>
      <c r="U29" s="186">
        <f t="shared" si="13"/>
        <v>134.26668</v>
      </c>
      <c r="V29" s="187">
        <f t="shared" ref="V29:W29" si="14">C29/100</f>
        <v>1.02</v>
      </c>
      <c r="W29" s="187">
        <f t="shared" si="14"/>
        <v>2.84</v>
      </c>
      <c r="X29" s="187">
        <f t="shared" si="15"/>
        <v>2.06</v>
      </c>
      <c r="Y29" s="189">
        <f t="shared" si="16"/>
        <v>5.967408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3.0</v>
      </c>
      <c r="B30" s="191" t="s">
        <v>76</v>
      </c>
      <c r="C30" s="191">
        <v>103.0</v>
      </c>
      <c r="D30" s="191">
        <v>283.0</v>
      </c>
      <c r="E30" s="191">
        <v>206.0</v>
      </c>
      <c r="F30" s="191">
        <f t="shared" si="6"/>
        <v>0</v>
      </c>
      <c r="G30" s="191">
        <f t="shared" si="7"/>
        <v>135.105615</v>
      </c>
      <c r="H30" s="219">
        <f t="shared" si="8"/>
        <v>135.105615</v>
      </c>
      <c r="I30" s="218">
        <v>11.0</v>
      </c>
      <c r="J30" s="193">
        <f t="shared" si="9"/>
        <v>1486.161765</v>
      </c>
      <c r="K30" s="186"/>
      <c r="L30" s="187">
        <f t="shared" ref="L30:L45" si="18">D30*25.4/1000</f>
        <v>7.1882</v>
      </c>
      <c r="M30" s="181">
        <f t="shared" ref="M30:M48" si="19">+I30</f>
        <v>11</v>
      </c>
      <c r="N30" s="181">
        <f t="shared" ref="N30:N45" si="20">M30*L30</f>
        <v>79.0702</v>
      </c>
      <c r="O30" s="186"/>
      <c r="P30" s="186"/>
      <c r="Q30" s="188">
        <v>22.5</v>
      </c>
      <c r="R30" s="187">
        <f t="shared" si="10"/>
        <v>2.06</v>
      </c>
      <c r="S30" s="181">
        <f t="shared" si="11"/>
        <v>11</v>
      </c>
      <c r="T30" s="181">
        <f t="shared" si="12"/>
        <v>22.66</v>
      </c>
      <c r="U30" s="186">
        <f t="shared" si="13"/>
        <v>135.105615</v>
      </c>
      <c r="V30" s="187">
        <f t="shared" ref="V30:W30" si="17">C30/100</f>
        <v>1.03</v>
      </c>
      <c r="W30" s="187">
        <f t="shared" si="17"/>
        <v>2.83</v>
      </c>
      <c r="X30" s="187">
        <f t="shared" si="15"/>
        <v>22.66</v>
      </c>
      <c r="Y30" s="189">
        <f t="shared" si="16"/>
        <v>66.051634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4.0</v>
      </c>
      <c r="B31" s="191" t="s">
        <v>76</v>
      </c>
      <c r="C31" s="191">
        <v>102.0</v>
      </c>
      <c r="D31" s="191">
        <v>283.0</v>
      </c>
      <c r="E31" s="191">
        <v>206.0</v>
      </c>
      <c r="F31" s="191">
        <f t="shared" si="6"/>
        <v>0</v>
      </c>
      <c r="G31" s="191">
        <f t="shared" si="7"/>
        <v>133.79391</v>
      </c>
      <c r="H31" s="219">
        <f t="shared" si="8"/>
        <v>133.79391</v>
      </c>
      <c r="I31" s="218">
        <v>3.0</v>
      </c>
      <c r="J31" s="193">
        <f t="shared" si="9"/>
        <v>401.38173</v>
      </c>
      <c r="K31" s="186"/>
      <c r="L31" s="187">
        <f t="shared" si="18"/>
        <v>7.1882</v>
      </c>
      <c r="M31" s="181">
        <f t="shared" si="19"/>
        <v>3</v>
      </c>
      <c r="N31" s="181">
        <f t="shared" si="20"/>
        <v>21.5646</v>
      </c>
      <c r="O31" s="186"/>
      <c r="P31" s="186"/>
      <c r="Q31" s="188">
        <v>22.5</v>
      </c>
      <c r="R31" s="187">
        <f t="shared" si="10"/>
        <v>2.06</v>
      </c>
      <c r="S31" s="181">
        <f t="shared" si="11"/>
        <v>3</v>
      </c>
      <c r="T31" s="181">
        <f t="shared" si="12"/>
        <v>6.18</v>
      </c>
      <c r="U31" s="186">
        <f t="shared" si="13"/>
        <v>133.79391</v>
      </c>
      <c r="V31" s="187">
        <f t="shared" ref="V31:W31" si="21">C31/100</f>
        <v>1.02</v>
      </c>
      <c r="W31" s="187">
        <f t="shared" si="21"/>
        <v>2.83</v>
      </c>
      <c r="X31" s="187">
        <f t="shared" si="15"/>
        <v>6.18</v>
      </c>
      <c r="Y31" s="189">
        <f t="shared" si="16"/>
        <v>17.839188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5.0</v>
      </c>
      <c r="B32" s="191" t="s">
        <v>76</v>
      </c>
      <c r="C32" s="191">
        <v>88.0</v>
      </c>
      <c r="D32" s="191">
        <v>248.0</v>
      </c>
      <c r="E32" s="191">
        <v>206.0</v>
      </c>
      <c r="F32" s="191">
        <f t="shared" si="6"/>
        <v>0</v>
      </c>
      <c r="G32" s="191">
        <f t="shared" si="7"/>
        <v>101.15424</v>
      </c>
      <c r="H32" s="219">
        <f t="shared" si="8"/>
        <v>101.15424</v>
      </c>
      <c r="I32" s="218">
        <v>1.0</v>
      </c>
      <c r="J32" s="193">
        <f t="shared" si="9"/>
        <v>101.15424</v>
      </c>
      <c r="K32" s="186"/>
      <c r="L32" s="187">
        <f t="shared" si="18"/>
        <v>6.2992</v>
      </c>
      <c r="M32" s="181">
        <f t="shared" si="19"/>
        <v>1</v>
      </c>
      <c r="N32" s="181">
        <f t="shared" si="20"/>
        <v>6.2992</v>
      </c>
      <c r="O32" s="186"/>
      <c r="P32" s="186"/>
      <c r="Q32" s="188">
        <v>22.5</v>
      </c>
      <c r="R32" s="187">
        <f t="shared" si="10"/>
        <v>2.06</v>
      </c>
      <c r="S32" s="181">
        <f t="shared" si="11"/>
        <v>1</v>
      </c>
      <c r="T32" s="181">
        <f t="shared" si="12"/>
        <v>2.06</v>
      </c>
      <c r="U32" s="186">
        <f t="shared" si="13"/>
        <v>101.15424</v>
      </c>
      <c r="V32" s="187">
        <f t="shared" ref="V32:W32" si="22">C32/100</f>
        <v>0.88</v>
      </c>
      <c r="W32" s="187">
        <f t="shared" si="22"/>
        <v>2.48</v>
      </c>
      <c r="X32" s="187">
        <f t="shared" si="15"/>
        <v>2.06</v>
      </c>
      <c r="Y32" s="189">
        <f t="shared" si="16"/>
        <v>4.495744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6.0</v>
      </c>
      <c r="B33" s="191" t="s">
        <v>76</v>
      </c>
      <c r="C33" s="191">
        <v>103.0</v>
      </c>
      <c r="D33" s="191">
        <v>284.0</v>
      </c>
      <c r="E33" s="191">
        <v>206.0</v>
      </c>
      <c r="F33" s="191">
        <f t="shared" si="6"/>
        <v>0</v>
      </c>
      <c r="G33" s="191">
        <f t="shared" si="7"/>
        <v>135.58302</v>
      </c>
      <c r="H33" s="219">
        <f t="shared" si="8"/>
        <v>135.58302</v>
      </c>
      <c r="I33" s="218">
        <v>4.0</v>
      </c>
      <c r="J33" s="193">
        <f t="shared" si="9"/>
        <v>542.33208</v>
      </c>
      <c r="K33" s="186"/>
      <c r="L33" s="187">
        <f t="shared" si="18"/>
        <v>7.2136</v>
      </c>
      <c r="M33" s="181">
        <f t="shared" si="19"/>
        <v>4</v>
      </c>
      <c r="N33" s="181">
        <f t="shared" si="20"/>
        <v>28.8544</v>
      </c>
      <c r="O33" s="186"/>
      <c r="P33" s="186"/>
      <c r="Q33" s="188">
        <v>22.5</v>
      </c>
      <c r="R33" s="187">
        <f t="shared" si="10"/>
        <v>2.06</v>
      </c>
      <c r="S33" s="181">
        <f t="shared" si="11"/>
        <v>4</v>
      </c>
      <c r="T33" s="181">
        <f t="shared" si="12"/>
        <v>8.24</v>
      </c>
      <c r="U33" s="186">
        <f t="shared" si="13"/>
        <v>135.58302</v>
      </c>
      <c r="V33" s="187">
        <f t="shared" ref="V33:W33" si="23">C33/100</f>
        <v>1.03</v>
      </c>
      <c r="W33" s="187">
        <f t="shared" si="23"/>
        <v>2.84</v>
      </c>
      <c r="X33" s="187">
        <f t="shared" si="15"/>
        <v>8.24</v>
      </c>
      <c r="Y33" s="189">
        <f t="shared" si="16"/>
        <v>24.103648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7.0</v>
      </c>
      <c r="B34" s="191" t="s">
        <v>76</v>
      </c>
      <c r="C34" s="191">
        <v>100.0</v>
      </c>
      <c r="D34" s="191">
        <v>284.0</v>
      </c>
      <c r="E34" s="191">
        <v>206.0</v>
      </c>
      <c r="F34" s="191">
        <f t="shared" si="6"/>
        <v>0</v>
      </c>
      <c r="G34" s="191">
        <f t="shared" si="7"/>
        <v>131.634</v>
      </c>
      <c r="H34" s="219">
        <f t="shared" si="8"/>
        <v>131.634</v>
      </c>
      <c r="I34" s="218">
        <v>1.0</v>
      </c>
      <c r="J34" s="193">
        <f t="shared" si="9"/>
        <v>131.634</v>
      </c>
      <c r="K34" s="186"/>
      <c r="L34" s="187">
        <f t="shared" si="18"/>
        <v>7.2136</v>
      </c>
      <c r="M34" s="181">
        <f t="shared" si="19"/>
        <v>1</v>
      </c>
      <c r="N34" s="181">
        <f t="shared" si="20"/>
        <v>7.2136</v>
      </c>
      <c r="O34" s="186"/>
      <c r="P34" s="186"/>
      <c r="Q34" s="188">
        <v>22.5</v>
      </c>
      <c r="R34" s="187">
        <f t="shared" si="10"/>
        <v>2.06</v>
      </c>
      <c r="S34" s="181">
        <f t="shared" si="11"/>
        <v>1</v>
      </c>
      <c r="T34" s="181">
        <f t="shared" si="12"/>
        <v>2.06</v>
      </c>
      <c r="U34" s="186">
        <f t="shared" si="13"/>
        <v>131.634</v>
      </c>
      <c r="V34" s="187">
        <f t="shared" ref="V34:W34" si="24">C34/100</f>
        <v>1</v>
      </c>
      <c r="W34" s="187">
        <f t="shared" si="24"/>
        <v>2.84</v>
      </c>
      <c r="X34" s="187">
        <f t="shared" si="15"/>
        <v>2.06</v>
      </c>
      <c r="Y34" s="189">
        <f t="shared" si="16"/>
        <v>5.8504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8.0</v>
      </c>
      <c r="B35" s="191" t="s">
        <v>76</v>
      </c>
      <c r="C35" s="191">
        <v>100.0</v>
      </c>
      <c r="D35" s="191">
        <v>283.0</v>
      </c>
      <c r="E35" s="191">
        <v>206.0</v>
      </c>
      <c r="F35" s="191">
        <f t="shared" si="6"/>
        <v>0</v>
      </c>
      <c r="G35" s="191">
        <f t="shared" si="7"/>
        <v>131.1705</v>
      </c>
      <c r="H35" s="219">
        <f t="shared" si="8"/>
        <v>131.1705</v>
      </c>
      <c r="I35" s="218">
        <v>2.0</v>
      </c>
      <c r="J35" s="193">
        <f t="shared" si="9"/>
        <v>262.341</v>
      </c>
      <c r="K35" s="186"/>
      <c r="L35" s="187">
        <f t="shared" si="18"/>
        <v>7.1882</v>
      </c>
      <c r="M35" s="181">
        <f t="shared" si="19"/>
        <v>2</v>
      </c>
      <c r="N35" s="181">
        <f t="shared" si="20"/>
        <v>14.3764</v>
      </c>
      <c r="O35" s="186"/>
      <c r="P35" s="186"/>
      <c r="Q35" s="188">
        <v>22.5</v>
      </c>
      <c r="R35" s="187">
        <f t="shared" si="10"/>
        <v>2.06</v>
      </c>
      <c r="S35" s="181">
        <f t="shared" si="11"/>
        <v>2</v>
      </c>
      <c r="T35" s="181">
        <f t="shared" si="12"/>
        <v>4.12</v>
      </c>
      <c r="U35" s="186">
        <f t="shared" si="13"/>
        <v>131.1705</v>
      </c>
      <c r="V35" s="187">
        <f t="shared" ref="V35:W35" si="25">C35/100</f>
        <v>1</v>
      </c>
      <c r="W35" s="187">
        <f t="shared" si="25"/>
        <v>2.83</v>
      </c>
      <c r="X35" s="187">
        <f t="shared" si="15"/>
        <v>4.12</v>
      </c>
      <c r="Y35" s="189">
        <f t="shared" si="16"/>
        <v>11.6596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9.0</v>
      </c>
      <c r="B36" s="191" t="s">
        <v>76</v>
      </c>
      <c r="C36" s="191">
        <v>100.0</v>
      </c>
      <c r="D36" s="191">
        <v>277.0</v>
      </c>
      <c r="E36" s="191">
        <v>206.0</v>
      </c>
      <c r="F36" s="191">
        <f t="shared" si="6"/>
        <v>0</v>
      </c>
      <c r="G36" s="191">
        <f t="shared" si="7"/>
        <v>128.3895</v>
      </c>
      <c r="H36" s="219">
        <f t="shared" si="8"/>
        <v>128.3895</v>
      </c>
      <c r="I36" s="218">
        <v>1.0</v>
      </c>
      <c r="J36" s="193">
        <f t="shared" si="9"/>
        <v>128.3895</v>
      </c>
      <c r="K36" s="186"/>
      <c r="L36" s="187">
        <f t="shared" si="18"/>
        <v>7.0358</v>
      </c>
      <c r="M36" s="181">
        <f t="shared" si="19"/>
        <v>1</v>
      </c>
      <c r="N36" s="181">
        <f t="shared" si="20"/>
        <v>7.0358</v>
      </c>
      <c r="O36" s="186"/>
      <c r="P36" s="186"/>
      <c r="Q36" s="188">
        <v>22.5</v>
      </c>
      <c r="R36" s="187">
        <f t="shared" si="10"/>
        <v>2.06</v>
      </c>
      <c r="S36" s="181">
        <f t="shared" si="11"/>
        <v>1</v>
      </c>
      <c r="T36" s="181">
        <f t="shared" si="12"/>
        <v>2.06</v>
      </c>
      <c r="U36" s="186">
        <f t="shared" si="13"/>
        <v>128.3895</v>
      </c>
      <c r="V36" s="187">
        <f t="shared" ref="V36:W36" si="26">C36/100</f>
        <v>1</v>
      </c>
      <c r="W36" s="187">
        <f t="shared" si="26"/>
        <v>2.77</v>
      </c>
      <c r="X36" s="187">
        <f t="shared" si="15"/>
        <v>2.06</v>
      </c>
      <c r="Y36" s="189">
        <f t="shared" si="16"/>
        <v>5.7062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10.0</v>
      </c>
      <c r="B37" s="182" t="s">
        <v>87</v>
      </c>
      <c r="C37" s="183">
        <v>72.0</v>
      </c>
      <c r="D37" s="183">
        <v>205.0</v>
      </c>
      <c r="E37" s="183">
        <v>208.0</v>
      </c>
      <c r="F37" s="183">
        <f t="shared" si="6"/>
        <v>0.8</v>
      </c>
      <c r="G37" s="183">
        <f t="shared" si="7"/>
        <v>81.35712</v>
      </c>
      <c r="H37" s="184">
        <f t="shared" si="8"/>
        <v>65.085696</v>
      </c>
      <c r="I37" s="183">
        <v>1.0</v>
      </c>
      <c r="J37" s="193">
        <f t="shared" si="9"/>
        <v>65.085696</v>
      </c>
      <c r="K37" s="186"/>
      <c r="L37" s="187">
        <f t="shared" si="18"/>
        <v>5.207</v>
      </c>
      <c r="M37" s="181">
        <f t="shared" si="19"/>
        <v>1</v>
      </c>
      <c r="N37" s="181">
        <f t="shared" si="20"/>
        <v>5.207</v>
      </c>
      <c r="O37" s="186"/>
      <c r="P37" s="186"/>
      <c r="Q37" s="188">
        <v>26.5</v>
      </c>
      <c r="R37" s="187">
        <f t="shared" si="10"/>
        <v>2.08</v>
      </c>
      <c r="S37" s="181">
        <f t="shared" si="11"/>
        <v>1</v>
      </c>
      <c r="T37" s="181">
        <f t="shared" si="12"/>
        <v>2.08</v>
      </c>
      <c r="U37" s="186">
        <f t="shared" si="13"/>
        <v>81.35712</v>
      </c>
      <c r="V37" s="187">
        <f t="shared" ref="V37:W37" si="27">C37/100</f>
        <v>0.72</v>
      </c>
      <c r="W37" s="187">
        <f t="shared" si="27"/>
        <v>2.05</v>
      </c>
      <c r="X37" s="187">
        <f t="shared" si="15"/>
        <v>2.08</v>
      </c>
      <c r="Y37" s="189">
        <f t="shared" si="16"/>
        <v>3.07008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11.0</v>
      </c>
      <c r="B38" s="191" t="s">
        <v>82</v>
      </c>
      <c r="C38" s="191">
        <v>95.0</v>
      </c>
      <c r="D38" s="191">
        <v>205.0</v>
      </c>
      <c r="E38" s="191">
        <v>207.0</v>
      </c>
      <c r="F38" s="191">
        <f t="shared" si="6"/>
        <v>0</v>
      </c>
      <c r="G38" s="191">
        <f t="shared" si="7"/>
        <v>106.8301125</v>
      </c>
      <c r="H38" s="219">
        <f t="shared" si="8"/>
        <v>106.8301125</v>
      </c>
      <c r="I38" s="218">
        <v>3.0</v>
      </c>
      <c r="J38" s="193">
        <f t="shared" si="9"/>
        <v>320.4903375</v>
      </c>
      <c r="K38" s="186"/>
      <c r="L38" s="187">
        <f t="shared" si="18"/>
        <v>5.207</v>
      </c>
      <c r="M38" s="181">
        <f t="shared" si="19"/>
        <v>3</v>
      </c>
      <c r="N38" s="181">
        <f t="shared" si="20"/>
        <v>15.621</v>
      </c>
      <c r="O38" s="186"/>
      <c r="P38" s="186"/>
      <c r="Q38" s="188">
        <v>26.5</v>
      </c>
      <c r="R38" s="187">
        <f t="shared" si="10"/>
        <v>2.07</v>
      </c>
      <c r="S38" s="181">
        <f t="shared" si="11"/>
        <v>3</v>
      </c>
      <c r="T38" s="181">
        <f t="shared" si="12"/>
        <v>6.21</v>
      </c>
      <c r="U38" s="186">
        <f t="shared" si="13"/>
        <v>106.8301125</v>
      </c>
      <c r="V38" s="187">
        <f t="shared" ref="V38:W38" si="28">C38/100</f>
        <v>0.95</v>
      </c>
      <c r="W38" s="187">
        <f t="shared" si="28"/>
        <v>2.05</v>
      </c>
      <c r="X38" s="187">
        <f t="shared" si="15"/>
        <v>6.21</v>
      </c>
      <c r="Y38" s="189">
        <f t="shared" si="16"/>
        <v>12.093975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12.0</v>
      </c>
      <c r="B39" s="191" t="s">
        <v>82</v>
      </c>
      <c r="C39" s="191">
        <v>97.0</v>
      </c>
      <c r="D39" s="191">
        <v>205.0</v>
      </c>
      <c r="E39" s="191">
        <v>208.0</v>
      </c>
      <c r="F39" s="191">
        <f t="shared" si="6"/>
        <v>0</v>
      </c>
      <c r="G39" s="191">
        <f t="shared" si="7"/>
        <v>109.60612</v>
      </c>
      <c r="H39" s="219">
        <f t="shared" si="8"/>
        <v>109.60612</v>
      </c>
      <c r="I39" s="218">
        <v>3.0</v>
      </c>
      <c r="J39" s="193">
        <f t="shared" si="9"/>
        <v>328.81836</v>
      </c>
      <c r="K39" s="186"/>
      <c r="L39" s="187">
        <f t="shared" si="18"/>
        <v>5.207</v>
      </c>
      <c r="M39" s="181">
        <f t="shared" si="19"/>
        <v>3</v>
      </c>
      <c r="N39" s="181">
        <f t="shared" si="20"/>
        <v>15.621</v>
      </c>
      <c r="O39" s="186"/>
      <c r="P39" s="186"/>
      <c r="Q39" s="188">
        <v>26.5</v>
      </c>
      <c r="R39" s="187">
        <f t="shared" si="10"/>
        <v>2.08</v>
      </c>
      <c r="S39" s="181">
        <f t="shared" si="11"/>
        <v>3</v>
      </c>
      <c r="T39" s="181">
        <f t="shared" si="12"/>
        <v>6.24</v>
      </c>
      <c r="U39" s="186">
        <f t="shared" si="13"/>
        <v>109.60612</v>
      </c>
      <c r="V39" s="187">
        <f t="shared" ref="V39:W39" si="29">C39/100</f>
        <v>0.97</v>
      </c>
      <c r="W39" s="187">
        <f t="shared" si="29"/>
        <v>2.05</v>
      </c>
      <c r="X39" s="187">
        <f t="shared" si="15"/>
        <v>6.24</v>
      </c>
      <c r="Y39" s="189">
        <f t="shared" si="16"/>
        <v>12.40824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13.0</v>
      </c>
      <c r="B40" s="191" t="s">
        <v>82</v>
      </c>
      <c r="C40" s="191">
        <v>97.0</v>
      </c>
      <c r="D40" s="191">
        <v>205.0</v>
      </c>
      <c r="E40" s="191">
        <v>206.0</v>
      </c>
      <c r="F40" s="191">
        <f t="shared" si="6"/>
        <v>0</v>
      </c>
      <c r="G40" s="191">
        <f t="shared" si="7"/>
        <v>108.552215</v>
      </c>
      <c r="H40" s="219">
        <f t="shared" si="8"/>
        <v>108.552215</v>
      </c>
      <c r="I40" s="218">
        <v>1.0</v>
      </c>
      <c r="J40" s="193">
        <f t="shared" si="9"/>
        <v>108.552215</v>
      </c>
      <c r="K40" s="186"/>
      <c r="L40" s="187">
        <f t="shared" si="18"/>
        <v>5.207</v>
      </c>
      <c r="M40" s="181">
        <f t="shared" si="19"/>
        <v>1</v>
      </c>
      <c r="N40" s="181">
        <f t="shared" si="20"/>
        <v>5.207</v>
      </c>
      <c r="O40" s="186"/>
      <c r="P40" s="186"/>
      <c r="Q40" s="188">
        <v>26.5</v>
      </c>
      <c r="R40" s="187">
        <f t="shared" si="10"/>
        <v>2.06</v>
      </c>
      <c r="S40" s="181">
        <f t="shared" si="11"/>
        <v>1</v>
      </c>
      <c r="T40" s="181">
        <f t="shared" si="12"/>
        <v>2.06</v>
      </c>
      <c r="U40" s="186">
        <f t="shared" si="13"/>
        <v>108.552215</v>
      </c>
      <c r="V40" s="187">
        <f t="shared" ref="V40:W40" si="30">C40/100</f>
        <v>0.97</v>
      </c>
      <c r="W40" s="187">
        <f t="shared" si="30"/>
        <v>2.05</v>
      </c>
      <c r="X40" s="187">
        <f t="shared" si="15"/>
        <v>2.06</v>
      </c>
      <c r="Y40" s="189">
        <f t="shared" si="16"/>
        <v>4.09631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14.0</v>
      </c>
      <c r="B41" s="191" t="s">
        <v>82</v>
      </c>
      <c r="C41" s="191">
        <v>97.0</v>
      </c>
      <c r="D41" s="191">
        <v>205.0</v>
      </c>
      <c r="E41" s="191">
        <v>207.0</v>
      </c>
      <c r="F41" s="191">
        <f t="shared" si="6"/>
        <v>0</v>
      </c>
      <c r="G41" s="191">
        <f t="shared" si="7"/>
        <v>109.0791675</v>
      </c>
      <c r="H41" s="219">
        <f t="shared" si="8"/>
        <v>109.0791675</v>
      </c>
      <c r="I41" s="218">
        <v>2.0</v>
      </c>
      <c r="J41" s="193">
        <f t="shared" si="9"/>
        <v>218.158335</v>
      </c>
      <c r="K41" s="186"/>
      <c r="L41" s="187">
        <f t="shared" si="18"/>
        <v>5.207</v>
      </c>
      <c r="M41" s="181">
        <f t="shared" si="19"/>
        <v>2</v>
      </c>
      <c r="N41" s="181">
        <f t="shared" si="20"/>
        <v>10.414</v>
      </c>
      <c r="O41" s="186"/>
      <c r="P41" s="186"/>
      <c r="Q41" s="188">
        <v>26.5</v>
      </c>
      <c r="R41" s="187">
        <f t="shared" si="10"/>
        <v>2.07</v>
      </c>
      <c r="S41" s="181">
        <f t="shared" si="11"/>
        <v>2</v>
      </c>
      <c r="T41" s="181">
        <f t="shared" si="12"/>
        <v>4.14</v>
      </c>
      <c r="U41" s="186">
        <f t="shared" si="13"/>
        <v>109.0791675</v>
      </c>
      <c r="V41" s="187">
        <f t="shared" ref="V41:W41" si="31">C41/100</f>
        <v>0.97</v>
      </c>
      <c r="W41" s="187">
        <f t="shared" si="31"/>
        <v>2.05</v>
      </c>
      <c r="X41" s="187">
        <f t="shared" si="15"/>
        <v>4.14</v>
      </c>
      <c r="Y41" s="189">
        <f t="shared" si="16"/>
        <v>8.23239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15.0</v>
      </c>
      <c r="B42" s="191" t="s">
        <v>82</v>
      </c>
      <c r="C42" s="191">
        <v>94.0</v>
      </c>
      <c r="D42" s="191">
        <v>205.0</v>
      </c>
      <c r="E42" s="191">
        <v>208.0</v>
      </c>
      <c r="F42" s="191">
        <f t="shared" si="6"/>
        <v>0</v>
      </c>
      <c r="G42" s="191">
        <f t="shared" si="7"/>
        <v>106.21624</v>
      </c>
      <c r="H42" s="219">
        <f t="shared" si="8"/>
        <v>106.21624</v>
      </c>
      <c r="I42" s="218">
        <v>1.0</v>
      </c>
      <c r="J42" s="193">
        <f t="shared" si="9"/>
        <v>106.21624</v>
      </c>
      <c r="K42" s="186"/>
      <c r="L42" s="187">
        <f t="shared" si="18"/>
        <v>5.207</v>
      </c>
      <c r="M42" s="181">
        <f t="shared" si="19"/>
        <v>1</v>
      </c>
      <c r="N42" s="181">
        <f t="shared" si="20"/>
        <v>5.207</v>
      </c>
      <c r="O42" s="186"/>
      <c r="P42" s="186"/>
      <c r="Q42" s="188">
        <v>26.5</v>
      </c>
      <c r="R42" s="187">
        <f t="shared" si="10"/>
        <v>2.08</v>
      </c>
      <c r="S42" s="181">
        <f t="shared" si="11"/>
        <v>1</v>
      </c>
      <c r="T42" s="181">
        <f t="shared" si="12"/>
        <v>2.08</v>
      </c>
      <c r="U42" s="186">
        <f t="shared" si="13"/>
        <v>106.21624</v>
      </c>
      <c r="V42" s="187">
        <f t="shared" ref="V42:W42" si="32">C42/100</f>
        <v>0.94</v>
      </c>
      <c r="W42" s="187">
        <f t="shared" si="32"/>
        <v>2.05</v>
      </c>
      <c r="X42" s="187">
        <f t="shared" si="15"/>
        <v>2.08</v>
      </c>
      <c r="Y42" s="189">
        <f t="shared" si="16"/>
        <v>4.00816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16.0</v>
      </c>
      <c r="B43" s="191" t="s">
        <v>82</v>
      </c>
      <c r="C43" s="191">
        <v>95.0</v>
      </c>
      <c r="D43" s="191">
        <v>205.0</v>
      </c>
      <c r="E43" s="191">
        <v>208.0</v>
      </c>
      <c r="F43" s="191">
        <f t="shared" si="6"/>
        <v>0</v>
      </c>
      <c r="G43" s="191">
        <f t="shared" si="7"/>
        <v>107.3462</v>
      </c>
      <c r="H43" s="219">
        <f t="shared" si="8"/>
        <v>107.3462</v>
      </c>
      <c r="I43" s="218">
        <v>1.0</v>
      </c>
      <c r="J43" s="193">
        <f t="shared" si="9"/>
        <v>107.3462</v>
      </c>
      <c r="K43" s="186"/>
      <c r="L43" s="187">
        <f t="shared" si="18"/>
        <v>5.207</v>
      </c>
      <c r="M43" s="181">
        <f t="shared" si="19"/>
        <v>1</v>
      </c>
      <c r="N43" s="181">
        <f t="shared" si="20"/>
        <v>5.207</v>
      </c>
      <c r="O43" s="186"/>
      <c r="P43" s="186"/>
      <c r="Q43" s="188">
        <v>26.5</v>
      </c>
      <c r="R43" s="187">
        <f t="shared" si="10"/>
        <v>2.08</v>
      </c>
      <c r="S43" s="181">
        <f t="shared" si="11"/>
        <v>1</v>
      </c>
      <c r="T43" s="181">
        <f t="shared" si="12"/>
        <v>2.08</v>
      </c>
      <c r="U43" s="186">
        <f t="shared" si="13"/>
        <v>107.3462</v>
      </c>
      <c r="V43" s="187">
        <f t="shared" ref="V43:W43" si="33">C43/100</f>
        <v>0.95</v>
      </c>
      <c r="W43" s="187">
        <f t="shared" si="33"/>
        <v>2.05</v>
      </c>
      <c r="X43" s="187">
        <f t="shared" si="15"/>
        <v>2.08</v>
      </c>
      <c r="Y43" s="189">
        <f t="shared" si="16"/>
        <v>4.0508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</row>
    <row r="44" ht="27.0" customHeight="1">
      <c r="A44" s="181">
        <v>17.0</v>
      </c>
      <c r="B44" s="182" t="s">
        <v>87</v>
      </c>
      <c r="C44" s="183">
        <v>50.0</v>
      </c>
      <c r="D44" s="183">
        <v>205.0</v>
      </c>
      <c r="E44" s="183">
        <v>209.0</v>
      </c>
      <c r="F44" s="183">
        <f t="shared" si="6"/>
        <v>0.8</v>
      </c>
      <c r="G44" s="183">
        <f t="shared" si="7"/>
        <v>56.769625</v>
      </c>
      <c r="H44" s="184">
        <f t="shared" si="8"/>
        <v>45.4157</v>
      </c>
      <c r="I44" s="183">
        <v>1.0</v>
      </c>
      <c r="J44" s="193">
        <f t="shared" si="9"/>
        <v>45.4157</v>
      </c>
      <c r="K44" s="186"/>
      <c r="L44" s="187">
        <f t="shared" si="18"/>
        <v>5.207</v>
      </c>
      <c r="M44" s="181">
        <f t="shared" si="19"/>
        <v>1</v>
      </c>
      <c r="N44" s="181">
        <f t="shared" si="20"/>
        <v>5.207</v>
      </c>
      <c r="O44" s="186"/>
      <c r="P44" s="186"/>
      <c r="Q44" s="188">
        <v>26.5</v>
      </c>
      <c r="R44" s="187">
        <f t="shared" si="10"/>
        <v>2.09</v>
      </c>
      <c r="S44" s="181">
        <f t="shared" si="11"/>
        <v>1</v>
      </c>
      <c r="T44" s="181">
        <f t="shared" si="12"/>
        <v>2.09</v>
      </c>
      <c r="U44" s="186">
        <f t="shared" si="13"/>
        <v>56.769625</v>
      </c>
      <c r="V44" s="187">
        <f t="shared" ref="V44:W44" si="34">C44/100</f>
        <v>0.5</v>
      </c>
      <c r="W44" s="187">
        <f t="shared" si="34"/>
        <v>2.05</v>
      </c>
      <c r="X44" s="187">
        <f t="shared" si="15"/>
        <v>2.09</v>
      </c>
      <c r="Y44" s="189">
        <f t="shared" si="16"/>
        <v>2.14225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</row>
    <row r="45" ht="27.0" customHeight="1">
      <c r="A45" s="181">
        <v>18.0</v>
      </c>
      <c r="B45" s="191" t="s">
        <v>82</v>
      </c>
      <c r="C45" s="191">
        <v>96.0</v>
      </c>
      <c r="D45" s="191">
        <v>205.0</v>
      </c>
      <c r="E45" s="191">
        <v>206.0</v>
      </c>
      <c r="F45" s="191">
        <f t="shared" si="6"/>
        <v>0</v>
      </c>
      <c r="G45" s="191">
        <f t="shared" si="7"/>
        <v>107.43312</v>
      </c>
      <c r="H45" s="219">
        <f t="shared" si="8"/>
        <v>107.43312</v>
      </c>
      <c r="I45" s="218">
        <v>1.0</v>
      </c>
      <c r="J45" s="193">
        <f t="shared" si="9"/>
        <v>107.43312</v>
      </c>
      <c r="K45" s="186"/>
      <c r="L45" s="164">
        <f t="shared" si="18"/>
        <v>5.207</v>
      </c>
      <c r="M45" s="195">
        <f t="shared" si="19"/>
        <v>1</v>
      </c>
      <c r="N45" s="195">
        <f t="shared" si="20"/>
        <v>5.207</v>
      </c>
      <c r="O45" s="186"/>
      <c r="P45" s="186"/>
      <c r="Q45" s="188">
        <v>26.5</v>
      </c>
      <c r="R45" s="187">
        <f t="shared" si="10"/>
        <v>2.06</v>
      </c>
      <c r="S45" s="181">
        <f t="shared" si="11"/>
        <v>1</v>
      </c>
      <c r="T45" s="181">
        <f t="shared" si="12"/>
        <v>2.06</v>
      </c>
      <c r="U45" s="186">
        <f t="shared" si="13"/>
        <v>107.43312</v>
      </c>
      <c r="V45" s="187">
        <f t="shared" ref="V45:W45" si="35">C45/100</f>
        <v>0.96</v>
      </c>
      <c r="W45" s="187">
        <f t="shared" si="35"/>
        <v>2.05</v>
      </c>
      <c r="X45" s="187">
        <f t="shared" si="15"/>
        <v>2.06</v>
      </c>
      <c r="Y45" s="189">
        <f t="shared" si="16"/>
        <v>4.05408</v>
      </c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</row>
    <row r="46" ht="27.0" customHeight="1">
      <c r="A46" s="181">
        <v>19.0</v>
      </c>
      <c r="B46" s="191" t="s">
        <v>82</v>
      </c>
      <c r="C46" s="191">
        <v>96.0</v>
      </c>
      <c r="D46" s="191">
        <v>205.0</v>
      </c>
      <c r="E46" s="191">
        <v>207.0</v>
      </c>
      <c r="F46" s="191">
        <f t="shared" si="6"/>
        <v>0</v>
      </c>
      <c r="G46" s="191">
        <f t="shared" si="7"/>
        <v>107.95464</v>
      </c>
      <c r="H46" s="219">
        <f t="shared" si="8"/>
        <v>107.95464</v>
      </c>
      <c r="I46" s="218">
        <v>1.0</v>
      </c>
      <c r="J46" s="193">
        <f t="shared" si="9"/>
        <v>107.95464</v>
      </c>
      <c r="K46" s="186"/>
      <c r="L46" s="164"/>
      <c r="M46" s="195">
        <f t="shared" si="19"/>
        <v>1</v>
      </c>
      <c r="N46" s="195"/>
      <c r="O46" s="186"/>
      <c r="P46" s="186"/>
      <c r="Q46" s="188">
        <v>26.5</v>
      </c>
      <c r="R46" s="187">
        <f t="shared" si="10"/>
        <v>2.07</v>
      </c>
      <c r="S46" s="181">
        <f t="shared" si="11"/>
        <v>1</v>
      </c>
      <c r="T46" s="181">
        <f t="shared" si="12"/>
        <v>2.07</v>
      </c>
      <c r="U46" s="186">
        <f t="shared" si="13"/>
        <v>107.95464</v>
      </c>
      <c r="V46" s="187">
        <f t="shared" ref="V46:W46" si="36">C46/100</f>
        <v>0.96</v>
      </c>
      <c r="W46" s="187">
        <f t="shared" si="36"/>
        <v>2.05</v>
      </c>
      <c r="X46" s="187">
        <f t="shared" si="15"/>
        <v>2.07</v>
      </c>
      <c r="Y46" s="189">
        <f t="shared" si="16"/>
        <v>4.07376</v>
      </c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</row>
    <row r="47" ht="27.0" customHeight="1">
      <c r="A47" s="181">
        <v>20.0</v>
      </c>
      <c r="B47" s="191" t="s">
        <v>82</v>
      </c>
      <c r="C47" s="191">
        <v>97.0</v>
      </c>
      <c r="D47" s="191">
        <v>205.0</v>
      </c>
      <c r="E47" s="191">
        <v>209.0</v>
      </c>
      <c r="F47" s="191">
        <f t="shared" si="6"/>
        <v>0</v>
      </c>
      <c r="G47" s="191">
        <f t="shared" si="7"/>
        <v>110.1330725</v>
      </c>
      <c r="H47" s="219">
        <f t="shared" si="8"/>
        <v>110.1330725</v>
      </c>
      <c r="I47" s="218">
        <v>1.0</v>
      </c>
      <c r="J47" s="193">
        <f t="shared" si="9"/>
        <v>110.1330725</v>
      </c>
      <c r="K47" s="186"/>
      <c r="L47" s="164"/>
      <c r="M47" s="195">
        <f t="shared" si="19"/>
        <v>1</v>
      </c>
      <c r="N47" s="195"/>
      <c r="O47" s="186"/>
      <c r="P47" s="186"/>
      <c r="Q47" s="188">
        <v>26.5</v>
      </c>
      <c r="R47" s="187">
        <f t="shared" si="10"/>
        <v>2.09</v>
      </c>
      <c r="S47" s="181">
        <f t="shared" si="11"/>
        <v>1</v>
      </c>
      <c r="T47" s="181">
        <f t="shared" si="12"/>
        <v>2.09</v>
      </c>
      <c r="U47" s="186">
        <f t="shared" si="13"/>
        <v>110.1330725</v>
      </c>
      <c r="V47" s="187">
        <f t="shared" ref="V47:W47" si="37">C47/100</f>
        <v>0.97</v>
      </c>
      <c r="W47" s="187">
        <f t="shared" si="37"/>
        <v>2.05</v>
      </c>
      <c r="X47" s="187">
        <f t="shared" si="15"/>
        <v>2.09</v>
      </c>
      <c r="Y47" s="189">
        <f t="shared" si="16"/>
        <v>4.155965</v>
      </c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</row>
    <row r="48" ht="27.0" customHeight="1">
      <c r="A48" s="181">
        <v>21.0</v>
      </c>
      <c r="B48" s="191" t="s">
        <v>82</v>
      </c>
      <c r="C48" s="191">
        <v>97.0</v>
      </c>
      <c r="D48" s="191">
        <v>205.0</v>
      </c>
      <c r="E48" s="191">
        <v>208.0</v>
      </c>
      <c r="F48" s="191">
        <f t="shared" si="6"/>
        <v>0</v>
      </c>
      <c r="G48" s="191">
        <f t="shared" si="7"/>
        <v>109.60612</v>
      </c>
      <c r="H48" s="219">
        <f t="shared" si="8"/>
        <v>109.60612</v>
      </c>
      <c r="I48" s="218">
        <v>2.0</v>
      </c>
      <c r="J48" s="193">
        <f t="shared" si="9"/>
        <v>219.21224</v>
      </c>
      <c r="K48" s="186"/>
      <c r="L48" s="164"/>
      <c r="M48" s="195">
        <f t="shared" si="19"/>
        <v>2</v>
      </c>
      <c r="N48" s="195"/>
      <c r="O48" s="186"/>
      <c r="P48" s="186"/>
      <c r="Q48" s="188">
        <v>26.5</v>
      </c>
      <c r="R48" s="187">
        <f t="shared" si="10"/>
        <v>2.08</v>
      </c>
      <c r="S48" s="181">
        <f t="shared" si="11"/>
        <v>2</v>
      </c>
      <c r="T48" s="181">
        <f t="shared" si="12"/>
        <v>4.16</v>
      </c>
      <c r="U48" s="186">
        <f t="shared" si="13"/>
        <v>109.60612</v>
      </c>
      <c r="V48" s="187">
        <f t="shared" ref="V48:W48" si="38">C48/100</f>
        <v>0.97</v>
      </c>
      <c r="W48" s="187">
        <f t="shared" si="38"/>
        <v>2.05</v>
      </c>
      <c r="X48" s="187">
        <f t="shared" si="15"/>
        <v>4.16</v>
      </c>
      <c r="Y48" s="189">
        <f t="shared" si="16"/>
        <v>8.27216</v>
      </c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</row>
    <row r="49" ht="27.0" customHeight="1">
      <c r="A49" s="181">
        <v>22.0</v>
      </c>
      <c r="B49" s="191" t="s">
        <v>82</v>
      </c>
      <c r="C49" s="191">
        <v>94.0</v>
      </c>
      <c r="D49" s="191">
        <v>205.0</v>
      </c>
      <c r="E49" s="191">
        <v>207.0</v>
      </c>
      <c r="F49" s="191">
        <f t="shared" si="6"/>
        <v>0</v>
      </c>
      <c r="G49" s="191">
        <f t="shared" si="7"/>
        <v>105.705585</v>
      </c>
      <c r="H49" s="219">
        <f t="shared" si="8"/>
        <v>105.705585</v>
      </c>
      <c r="I49" s="218">
        <v>2.0</v>
      </c>
      <c r="J49" s="193">
        <f t="shared" si="9"/>
        <v>211.41117</v>
      </c>
      <c r="K49" s="186"/>
      <c r="L49" s="164"/>
      <c r="M49" s="195"/>
      <c r="N49" s="195"/>
      <c r="O49" s="186"/>
      <c r="P49" s="186"/>
      <c r="Q49" s="188">
        <v>26.5</v>
      </c>
      <c r="R49" s="187">
        <f t="shared" si="10"/>
        <v>2.07</v>
      </c>
      <c r="S49" s="181">
        <f t="shared" si="11"/>
        <v>2</v>
      </c>
      <c r="T49" s="181">
        <f t="shared" si="12"/>
        <v>4.14</v>
      </c>
      <c r="U49" s="186">
        <f t="shared" si="13"/>
        <v>105.705585</v>
      </c>
      <c r="V49" s="187">
        <f t="shared" ref="V49:W49" si="39">C49/100</f>
        <v>0.94</v>
      </c>
      <c r="W49" s="187">
        <f t="shared" si="39"/>
        <v>2.05</v>
      </c>
      <c r="X49" s="187">
        <f t="shared" si="15"/>
        <v>4.14</v>
      </c>
      <c r="Y49" s="189">
        <f t="shared" si="16"/>
        <v>7.97778</v>
      </c>
      <c r="Z49" s="186"/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</row>
    <row r="50" ht="27.0" customHeight="1">
      <c r="A50" s="181">
        <v>23.0</v>
      </c>
      <c r="B50" s="191" t="s">
        <v>82</v>
      </c>
      <c r="C50" s="191">
        <v>95.0</v>
      </c>
      <c r="D50" s="191">
        <v>205.0</v>
      </c>
      <c r="E50" s="191">
        <v>207.0</v>
      </c>
      <c r="F50" s="191">
        <f t="shared" si="6"/>
        <v>0</v>
      </c>
      <c r="G50" s="191">
        <f t="shared" si="7"/>
        <v>106.8301125</v>
      </c>
      <c r="H50" s="219">
        <f t="shared" si="8"/>
        <v>106.8301125</v>
      </c>
      <c r="I50" s="218">
        <v>1.0</v>
      </c>
      <c r="J50" s="193">
        <f t="shared" si="9"/>
        <v>106.8301125</v>
      </c>
      <c r="K50" s="186"/>
      <c r="L50" s="164"/>
      <c r="M50" s="195"/>
      <c r="N50" s="195"/>
      <c r="O50" s="186"/>
      <c r="P50" s="186"/>
      <c r="Q50" s="188">
        <v>26.5</v>
      </c>
      <c r="R50" s="187">
        <f t="shared" si="10"/>
        <v>2.07</v>
      </c>
      <c r="S50" s="181">
        <f t="shared" si="11"/>
        <v>1</v>
      </c>
      <c r="T50" s="181">
        <f t="shared" si="12"/>
        <v>2.07</v>
      </c>
      <c r="U50" s="186">
        <f t="shared" si="13"/>
        <v>106.8301125</v>
      </c>
      <c r="V50" s="187">
        <f t="shared" ref="V50:W50" si="40">C50/100</f>
        <v>0.95</v>
      </c>
      <c r="W50" s="187">
        <f t="shared" si="40"/>
        <v>2.05</v>
      </c>
      <c r="X50" s="187">
        <f t="shared" si="15"/>
        <v>2.07</v>
      </c>
      <c r="Y50" s="189">
        <f t="shared" si="16"/>
        <v>4.031325</v>
      </c>
      <c r="Z50" s="186"/>
      <c r="AA50" s="186"/>
      <c r="AB50" s="186"/>
      <c r="AC50" s="186"/>
      <c r="AD50" s="186"/>
      <c r="AE50" s="186"/>
      <c r="AF50" s="186"/>
      <c r="AG50" s="186"/>
      <c r="AH50" s="186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</row>
    <row r="51" ht="27.0" customHeight="1">
      <c r="A51" s="181">
        <v>24.0</v>
      </c>
      <c r="B51" s="191" t="s">
        <v>82</v>
      </c>
      <c r="C51" s="191">
        <v>91.0</v>
      </c>
      <c r="D51" s="191">
        <v>205.0</v>
      </c>
      <c r="E51" s="191">
        <v>207.0</v>
      </c>
      <c r="F51" s="191">
        <f t="shared" si="6"/>
        <v>0</v>
      </c>
      <c r="G51" s="191">
        <f t="shared" si="7"/>
        <v>102.3320025</v>
      </c>
      <c r="H51" s="219">
        <f t="shared" si="8"/>
        <v>102.3320025</v>
      </c>
      <c r="I51" s="218">
        <v>1.0</v>
      </c>
      <c r="J51" s="193">
        <f t="shared" si="9"/>
        <v>102.3320025</v>
      </c>
      <c r="K51" s="186"/>
      <c r="L51" s="164"/>
      <c r="M51" s="195"/>
      <c r="N51" s="195"/>
      <c r="O51" s="186"/>
      <c r="P51" s="186"/>
      <c r="Q51" s="188">
        <v>26.5</v>
      </c>
      <c r="R51" s="187">
        <f t="shared" si="10"/>
        <v>2.07</v>
      </c>
      <c r="S51" s="181">
        <f t="shared" si="11"/>
        <v>1</v>
      </c>
      <c r="T51" s="181">
        <f t="shared" si="12"/>
        <v>2.07</v>
      </c>
      <c r="U51" s="186">
        <f t="shared" si="13"/>
        <v>102.3320025</v>
      </c>
      <c r="V51" s="187">
        <f t="shared" ref="V51:W51" si="41">C51/100</f>
        <v>0.91</v>
      </c>
      <c r="W51" s="187">
        <f t="shared" si="41"/>
        <v>2.05</v>
      </c>
      <c r="X51" s="187">
        <f t="shared" si="15"/>
        <v>2.07</v>
      </c>
      <c r="Y51" s="189">
        <f t="shared" si="16"/>
        <v>3.861585</v>
      </c>
      <c r="Z51" s="186"/>
      <c r="AA51" s="186"/>
      <c r="AB51" s="186"/>
      <c r="AC51" s="186"/>
      <c r="AD51" s="186"/>
      <c r="AE51" s="186"/>
      <c r="AF51" s="186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</row>
    <row r="52" ht="27.0" customHeight="1">
      <c r="A52" s="181">
        <v>25.0</v>
      </c>
      <c r="B52" s="191" t="s">
        <v>82</v>
      </c>
      <c r="C52" s="191">
        <v>92.0</v>
      </c>
      <c r="D52" s="191">
        <v>205.0</v>
      </c>
      <c r="E52" s="191">
        <v>110.0</v>
      </c>
      <c r="F52" s="191">
        <f t="shared" si="6"/>
        <v>0</v>
      </c>
      <c r="G52" s="191">
        <f t="shared" si="7"/>
        <v>54.9769</v>
      </c>
      <c r="H52" s="219">
        <f t="shared" si="8"/>
        <v>54.9769</v>
      </c>
      <c r="I52" s="218">
        <v>1.0</v>
      </c>
      <c r="J52" s="193">
        <f t="shared" si="9"/>
        <v>54.9769</v>
      </c>
      <c r="K52" s="186"/>
      <c r="L52" s="164"/>
      <c r="M52" s="195"/>
      <c r="N52" s="195"/>
      <c r="O52" s="186"/>
      <c r="P52" s="186"/>
      <c r="Q52" s="196">
        <v>26.5</v>
      </c>
      <c r="R52" s="187">
        <f t="shared" si="10"/>
        <v>1.1</v>
      </c>
      <c r="S52" s="181">
        <f t="shared" si="11"/>
        <v>1</v>
      </c>
      <c r="T52" s="181">
        <f t="shared" si="12"/>
        <v>1.1</v>
      </c>
      <c r="U52" s="186">
        <f t="shared" si="13"/>
        <v>54.9769</v>
      </c>
      <c r="V52" s="187">
        <f t="shared" ref="V52:W52" si="42">C52/100</f>
        <v>0.92</v>
      </c>
      <c r="W52" s="187">
        <f t="shared" si="42"/>
        <v>2.05</v>
      </c>
      <c r="X52" s="187">
        <f t="shared" si="15"/>
        <v>1.1</v>
      </c>
      <c r="Y52" s="189">
        <f t="shared" si="16"/>
        <v>2.0746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7.0" customHeight="1">
      <c r="A53" s="181">
        <v>26.0</v>
      </c>
      <c r="B53" s="182" t="s">
        <v>88</v>
      </c>
      <c r="C53" s="183">
        <v>85.0</v>
      </c>
      <c r="D53" s="183">
        <v>205.0</v>
      </c>
      <c r="E53" s="183">
        <v>207.0</v>
      </c>
      <c r="F53" s="183">
        <f t="shared" si="6"/>
        <v>0.8</v>
      </c>
      <c r="G53" s="183">
        <f t="shared" si="7"/>
        <v>73.9429875</v>
      </c>
      <c r="H53" s="184">
        <f t="shared" si="8"/>
        <v>59.15439</v>
      </c>
      <c r="I53" s="183">
        <v>1.0</v>
      </c>
      <c r="J53" s="193">
        <f t="shared" si="9"/>
        <v>59.15439</v>
      </c>
      <c r="K53" s="186"/>
      <c r="L53" s="164"/>
      <c r="M53" s="195"/>
      <c r="N53" s="195"/>
      <c r="O53" s="186"/>
      <c r="P53" s="186"/>
      <c r="Q53" s="196">
        <v>20.5</v>
      </c>
      <c r="R53" s="187">
        <f t="shared" si="10"/>
        <v>2.07</v>
      </c>
      <c r="S53" s="181">
        <f t="shared" si="11"/>
        <v>1</v>
      </c>
      <c r="T53" s="181">
        <f t="shared" si="12"/>
        <v>2.07</v>
      </c>
      <c r="U53" s="186">
        <f t="shared" si="13"/>
        <v>73.9429875</v>
      </c>
      <c r="V53" s="187">
        <f t="shared" ref="V53:W53" si="43">C53/100</f>
        <v>0.85</v>
      </c>
      <c r="W53" s="187">
        <f t="shared" si="43"/>
        <v>2.05</v>
      </c>
      <c r="X53" s="187">
        <f t="shared" si="15"/>
        <v>2.07</v>
      </c>
      <c r="Y53" s="189">
        <f t="shared" si="16"/>
        <v>3.606975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7.0" customHeight="1">
      <c r="A54" s="181">
        <v>27.0</v>
      </c>
      <c r="B54" s="191" t="s">
        <v>89</v>
      </c>
      <c r="C54" s="191">
        <v>95.0</v>
      </c>
      <c r="D54" s="191">
        <v>205.0</v>
      </c>
      <c r="E54" s="191">
        <v>207.0</v>
      </c>
      <c r="F54" s="191">
        <f t="shared" si="6"/>
        <v>0</v>
      </c>
      <c r="G54" s="191">
        <f t="shared" si="7"/>
        <v>82.6421625</v>
      </c>
      <c r="H54" s="219">
        <f t="shared" si="8"/>
        <v>82.6421625</v>
      </c>
      <c r="I54" s="218">
        <v>3.0</v>
      </c>
      <c r="J54" s="193">
        <f t="shared" si="9"/>
        <v>247.9264875</v>
      </c>
      <c r="K54" s="186"/>
      <c r="L54" s="164"/>
      <c r="M54" s="195"/>
      <c r="N54" s="195"/>
      <c r="O54" s="186"/>
      <c r="P54" s="186"/>
      <c r="Q54" s="196">
        <v>20.5</v>
      </c>
      <c r="R54" s="187">
        <f t="shared" si="10"/>
        <v>2.07</v>
      </c>
      <c r="S54" s="181">
        <f t="shared" si="11"/>
        <v>3</v>
      </c>
      <c r="T54" s="181">
        <f t="shared" si="12"/>
        <v>6.21</v>
      </c>
      <c r="U54" s="186">
        <f t="shared" si="13"/>
        <v>82.6421625</v>
      </c>
      <c r="V54" s="187">
        <f t="shared" ref="V54:W54" si="44">C54/100</f>
        <v>0.95</v>
      </c>
      <c r="W54" s="187">
        <f t="shared" si="44"/>
        <v>2.05</v>
      </c>
      <c r="X54" s="187">
        <f t="shared" si="15"/>
        <v>6.21</v>
      </c>
      <c r="Y54" s="189">
        <f t="shared" si="16"/>
        <v>12.093975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27.0" customHeight="1">
      <c r="A55" s="181">
        <v>28.0</v>
      </c>
      <c r="B55" s="191" t="s">
        <v>89</v>
      </c>
      <c r="C55" s="191">
        <v>103.0</v>
      </c>
      <c r="D55" s="191">
        <v>205.0</v>
      </c>
      <c r="E55" s="191">
        <v>207.0</v>
      </c>
      <c r="F55" s="191">
        <f t="shared" si="6"/>
        <v>0</v>
      </c>
      <c r="G55" s="191">
        <f t="shared" si="7"/>
        <v>89.6015025</v>
      </c>
      <c r="H55" s="219">
        <f t="shared" si="8"/>
        <v>89.6015025</v>
      </c>
      <c r="I55" s="218">
        <v>1.0</v>
      </c>
      <c r="J55" s="194">
        <f t="shared" si="9"/>
        <v>89.6015025</v>
      </c>
      <c r="K55" s="139"/>
      <c r="L55" s="197"/>
      <c r="M55" s="198"/>
      <c r="N55" s="198"/>
      <c r="O55" s="139"/>
      <c r="P55" s="139"/>
      <c r="Q55" s="141">
        <v>20.5</v>
      </c>
      <c r="R55" s="187">
        <f t="shared" si="10"/>
        <v>2.07</v>
      </c>
      <c r="S55" s="181">
        <f t="shared" si="11"/>
        <v>1</v>
      </c>
      <c r="T55" s="181">
        <f t="shared" si="12"/>
        <v>2.07</v>
      </c>
      <c r="U55" s="186">
        <f t="shared" si="13"/>
        <v>89.6015025</v>
      </c>
      <c r="V55" s="187">
        <f t="shared" ref="V55:W55" si="45">C55/100</f>
        <v>1.03</v>
      </c>
      <c r="W55" s="187">
        <f t="shared" si="45"/>
        <v>2.05</v>
      </c>
      <c r="X55" s="187">
        <f t="shared" si="15"/>
        <v>2.07</v>
      </c>
      <c r="Y55" s="189">
        <f t="shared" si="16"/>
        <v>4.370805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81">
        <v>29.0</v>
      </c>
      <c r="B56" s="191" t="s">
        <v>89</v>
      </c>
      <c r="C56" s="191">
        <v>100.0</v>
      </c>
      <c r="D56" s="191">
        <v>205.0</v>
      </c>
      <c r="E56" s="191">
        <v>207.0</v>
      </c>
      <c r="F56" s="191">
        <f t="shared" si="6"/>
        <v>0</v>
      </c>
      <c r="G56" s="191">
        <f t="shared" si="7"/>
        <v>86.99175</v>
      </c>
      <c r="H56" s="219">
        <f t="shared" si="8"/>
        <v>86.99175</v>
      </c>
      <c r="I56" s="218">
        <v>2.0</v>
      </c>
      <c r="J56" s="194">
        <f t="shared" si="9"/>
        <v>173.9835</v>
      </c>
      <c r="K56" s="139"/>
      <c r="L56" s="197"/>
      <c r="M56" s="198"/>
      <c r="N56" s="198"/>
      <c r="O56" s="139"/>
      <c r="P56" s="139"/>
      <c r="Q56" s="141">
        <v>20.5</v>
      </c>
      <c r="R56" s="187">
        <f t="shared" si="10"/>
        <v>2.07</v>
      </c>
      <c r="S56" s="181">
        <f t="shared" si="11"/>
        <v>2</v>
      </c>
      <c r="T56" s="181">
        <f t="shared" si="12"/>
        <v>4.14</v>
      </c>
      <c r="U56" s="186">
        <f t="shared" si="13"/>
        <v>86.99175</v>
      </c>
      <c r="V56" s="187">
        <f t="shared" ref="V56:W56" si="46">C56/100</f>
        <v>1</v>
      </c>
      <c r="W56" s="187">
        <f t="shared" si="46"/>
        <v>2.05</v>
      </c>
      <c r="X56" s="187">
        <f t="shared" si="15"/>
        <v>4.14</v>
      </c>
      <c r="Y56" s="189">
        <f t="shared" si="16"/>
        <v>8.487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30.0</v>
      </c>
      <c r="B57" s="191" t="s">
        <v>89</v>
      </c>
      <c r="C57" s="191">
        <v>92.0</v>
      </c>
      <c r="D57" s="191">
        <v>205.0</v>
      </c>
      <c r="E57" s="191">
        <v>228.0</v>
      </c>
      <c r="F57" s="191">
        <f t="shared" si="6"/>
        <v>0</v>
      </c>
      <c r="G57" s="191">
        <f t="shared" si="7"/>
        <v>88.15164</v>
      </c>
      <c r="H57" s="219">
        <f t="shared" si="8"/>
        <v>88.15164</v>
      </c>
      <c r="I57" s="218">
        <v>1.0</v>
      </c>
      <c r="J57" s="194">
        <f t="shared" si="9"/>
        <v>88.15164</v>
      </c>
      <c r="K57" s="139"/>
      <c r="L57" s="197"/>
      <c r="M57" s="198"/>
      <c r="N57" s="198"/>
      <c r="O57" s="139"/>
      <c r="P57" s="139"/>
      <c r="Q57" s="141">
        <v>20.5</v>
      </c>
      <c r="R57" s="187">
        <f t="shared" si="10"/>
        <v>2.28</v>
      </c>
      <c r="S57" s="181">
        <f t="shared" si="11"/>
        <v>1</v>
      </c>
      <c r="T57" s="181">
        <f t="shared" si="12"/>
        <v>2.28</v>
      </c>
      <c r="U57" s="186">
        <f t="shared" si="13"/>
        <v>88.15164</v>
      </c>
      <c r="V57" s="187">
        <f t="shared" ref="V57:W57" si="47">C57/100</f>
        <v>0.92</v>
      </c>
      <c r="W57" s="187">
        <f t="shared" si="47"/>
        <v>2.05</v>
      </c>
      <c r="X57" s="187">
        <f t="shared" si="15"/>
        <v>2.28</v>
      </c>
      <c r="Y57" s="189">
        <f t="shared" si="16"/>
        <v>4.30008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31.0</v>
      </c>
      <c r="B58" s="191" t="s">
        <v>89</v>
      </c>
      <c r="C58" s="191">
        <v>99.0</v>
      </c>
      <c r="D58" s="191">
        <v>205.0</v>
      </c>
      <c r="E58" s="191">
        <v>206.0</v>
      </c>
      <c r="F58" s="191">
        <f t="shared" si="6"/>
        <v>0</v>
      </c>
      <c r="G58" s="191">
        <f t="shared" si="7"/>
        <v>85.705785</v>
      </c>
      <c r="H58" s="219">
        <f t="shared" si="8"/>
        <v>85.705785</v>
      </c>
      <c r="I58" s="218">
        <v>1.0</v>
      </c>
      <c r="J58" s="194">
        <f t="shared" si="9"/>
        <v>85.705785</v>
      </c>
      <c r="K58" s="139"/>
      <c r="L58" s="197"/>
      <c r="M58" s="198"/>
      <c r="N58" s="198"/>
      <c r="O58" s="139"/>
      <c r="P58" s="139"/>
      <c r="Q58" s="141">
        <v>20.5</v>
      </c>
      <c r="R58" s="187">
        <f t="shared" si="10"/>
        <v>2.06</v>
      </c>
      <c r="S58" s="181">
        <f t="shared" si="11"/>
        <v>1</v>
      </c>
      <c r="T58" s="181">
        <f t="shared" si="12"/>
        <v>2.06</v>
      </c>
      <c r="U58" s="186">
        <f t="shared" si="13"/>
        <v>85.705785</v>
      </c>
      <c r="V58" s="187">
        <f t="shared" ref="V58:W58" si="48">C58/100</f>
        <v>0.99</v>
      </c>
      <c r="W58" s="187">
        <f t="shared" si="48"/>
        <v>2.05</v>
      </c>
      <c r="X58" s="187">
        <f t="shared" si="15"/>
        <v>2.06</v>
      </c>
      <c r="Y58" s="189">
        <f t="shared" si="16"/>
        <v>4.18077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32.0</v>
      </c>
      <c r="B59" s="191" t="s">
        <v>89</v>
      </c>
      <c r="C59" s="191">
        <v>100.0</v>
      </c>
      <c r="D59" s="191">
        <v>205.0</v>
      </c>
      <c r="E59" s="191">
        <v>207.0</v>
      </c>
      <c r="F59" s="191">
        <f t="shared" si="6"/>
        <v>0</v>
      </c>
      <c r="G59" s="191">
        <f t="shared" si="7"/>
        <v>86.99175</v>
      </c>
      <c r="H59" s="219">
        <f t="shared" si="8"/>
        <v>86.99175</v>
      </c>
      <c r="I59" s="218">
        <v>1.0</v>
      </c>
      <c r="J59" s="194">
        <f t="shared" si="9"/>
        <v>86.99175</v>
      </c>
      <c r="K59" s="139"/>
      <c r="L59" s="197"/>
      <c r="M59" s="198"/>
      <c r="N59" s="198"/>
      <c r="O59" s="139"/>
      <c r="P59" s="139"/>
      <c r="Q59" s="141">
        <v>20.5</v>
      </c>
      <c r="R59" s="187">
        <f t="shared" si="10"/>
        <v>2.07</v>
      </c>
      <c r="S59" s="181">
        <f t="shared" si="11"/>
        <v>1</v>
      </c>
      <c r="T59" s="181">
        <f t="shared" si="12"/>
        <v>2.07</v>
      </c>
      <c r="U59" s="186">
        <f t="shared" si="13"/>
        <v>86.99175</v>
      </c>
      <c r="V59" s="187">
        <f t="shared" ref="V59:W59" si="49">C59/100</f>
        <v>1</v>
      </c>
      <c r="W59" s="187">
        <f t="shared" si="49"/>
        <v>2.05</v>
      </c>
      <c r="X59" s="187">
        <f t="shared" si="15"/>
        <v>2.07</v>
      </c>
      <c r="Y59" s="189">
        <f t="shared" si="16"/>
        <v>4.2435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33.0</v>
      </c>
      <c r="B60" s="191" t="s">
        <v>89</v>
      </c>
      <c r="C60" s="191">
        <v>99.0</v>
      </c>
      <c r="D60" s="191">
        <v>205.0</v>
      </c>
      <c r="E60" s="191">
        <v>207.0</v>
      </c>
      <c r="F60" s="191">
        <f t="shared" si="6"/>
        <v>0</v>
      </c>
      <c r="G60" s="191">
        <f t="shared" si="7"/>
        <v>86.1218325</v>
      </c>
      <c r="H60" s="219">
        <f t="shared" si="8"/>
        <v>86.1218325</v>
      </c>
      <c r="I60" s="218">
        <v>1.0</v>
      </c>
      <c r="J60" s="194">
        <f t="shared" si="9"/>
        <v>86.1218325</v>
      </c>
      <c r="K60" s="139"/>
      <c r="L60" s="197"/>
      <c r="M60" s="198"/>
      <c r="N60" s="198"/>
      <c r="O60" s="139"/>
      <c r="P60" s="139"/>
      <c r="Q60" s="141">
        <v>20.5</v>
      </c>
      <c r="R60" s="187">
        <f t="shared" si="10"/>
        <v>2.07</v>
      </c>
      <c r="S60" s="181">
        <f t="shared" si="11"/>
        <v>1</v>
      </c>
      <c r="T60" s="181">
        <f t="shared" si="12"/>
        <v>2.07</v>
      </c>
      <c r="U60" s="186">
        <f t="shared" si="13"/>
        <v>86.1218325</v>
      </c>
      <c r="V60" s="187">
        <f t="shared" ref="V60:W60" si="50">C60/100</f>
        <v>0.99</v>
      </c>
      <c r="W60" s="187">
        <f t="shared" si="50"/>
        <v>2.05</v>
      </c>
      <c r="X60" s="187">
        <f t="shared" si="15"/>
        <v>2.07</v>
      </c>
      <c r="Y60" s="189">
        <f t="shared" si="16"/>
        <v>4.201065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81">
        <v>34.0</v>
      </c>
      <c r="B61" s="191" t="s">
        <v>89</v>
      </c>
      <c r="C61" s="191">
        <v>97.0</v>
      </c>
      <c r="D61" s="191">
        <v>205.0</v>
      </c>
      <c r="E61" s="191">
        <v>208.0</v>
      </c>
      <c r="F61" s="191">
        <f t="shared" si="6"/>
        <v>0</v>
      </c>
      <c r="G61" s="191">
        <f t="shared" si="7"/>
        <v>84.78964</v>
      </c>
      <c r="H61" s="219">
        <f t="shared" si="8"/>
        <v>84.78964</v>
      </c>
      <c r="I61" s="218">
        <v>1.0</v>
      </c>
      <c r="J61" s="194">
        <f t="shared" si="9"/>
        <v>84.78964</v>
      </c>
      <c r="K61" s="139"/>
      <c r="L61" s="197"/>
      <c r="M61" s="198"/>
      <c r="N61" s="198"/>
      <c r="O61" s="139"/>
      <c r="P61" s="139"/>
      <c r="Q61" s="141">
        <v>20.5</v>
      </c>
      <c r="R61" s="187">
        <f t="shared" si="10"/>
        <v>2.08</v>
      </c>
      <c r="S61" s="181">
        <f t="shared" si="11"/>
        <v>1</v>
      </c>
      <c r="T61" s="181">
        <f t="shared" si="12"/>
        <v>2.08</v>
      </c>
      <c r="U61" s="186">
        <f t="shared" si="13"/>
        <v>84.78964</v>
      </c>
      <c r="V61" s="187">
        <f t="shared" ref="V61:W61" si="51">C61/100</f>
        <v>0.97</v>
      </c>
      <c r="W61" s="187">
        <f t="shared" si="51"/>
        <v>2.05</v>
      </c>
      <c r="X61" s="187">
        <f t="shared" si="15"/>
        <v>2.08</v>
      </c>
      <c r="Y61" s="189">
        <f t="shared" si="16"/>
        <v>4.13608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81">
        <v>35.0</v>
      </c>
      <c r="B62" s="191" t="s">
        <v>89</v>
      </c>
      <c r="C62" s="191">
        <v>100.0</v>
      </c>
      <c r="D62" s="191">
        <v>205.0</v>
      </c>
      <c r="E62" s="191">
        <v>207.0</v>
      </c>
      <c r="F62" s="191">
        <f t="shared" si="6"/>
        <v>0</v>
      </c>
      <c r="G62" s="191">
        <f t="shared" si="7"/>
        <v>86.99175</v>
      </c>
      <c r="H62" s="219">
        <f t="shared" si="8"/>
        <v>86.99175</v>
      </c>
      <c r="I62" s="218">
        <v>1.0</v>
      </c>
      <c r="J62" s="194">
        <f t="shared" si="9"/>
        <v>86.99175</v>
      </c>
      <c r="K62" s="139"/>
      <c r="L62" s="197"/>
      <c r="M62" s="198"/>
      <c r="N62" s="198"/>
      <c r="O62" s="139"/>
      <c r="P62" s="139"/>
      <c r="Q62" s="141">
        <v>20.5</v>
      </c>
      <c r="R62" s="187">
        <f t="shared" si="10"/>
        <v>2.07</v>
      </c>
      <c r="S62" s="181">
        <f t="shared" si="11"/>
        <v>1</v>
      </c>
      <c r="T62" s="181">
        <f t="shared" si="12"/>
        <v>2.07</v>
      </c>
      <c r="U62" s="186">
        <f t="shared" si="13"/>
        <v>86.99175</v>
      </c>
      <c r="V62" s="187">
        <f t="shared" ref="V62:W62" si="52">C62/100</f>
        <v>1</v>
      </c>
      <c r="W62" s="187">
        <f t="shared" si="52"/>
        <v>2.05</v>
      </c>
      <c r="X62" s="187">
        <f t="shared" si="15"/>
        <v>2.07</v>
      </c>
      <c r="Y62" s="189">
        <f t="shared" si="16"/>
        <v>4.2435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27.0" customHeight="1">
      <c r="A63" s="181">
        <v>36.0</v>
      </c>
      <c r="B63" s="191" t="s">
        <v>89</v>
      </c>
      <c r="C63" s="191">
        <v>102.0</v>
      </c>
      <c r="D63" s="191">
        <v>205.0</v>
      </c>
      <c r="E63" s="191">
        <v>208.0</v>
      </c>
      <c r="F63" s="191">
        <f t="shared" si="6"/>
        <v>0</v>
      </c>
      <c r="G63" s="191">
        <f t="shared" si="7"/>
        <v>89.16024</v>
      </c>
      <c r="H63" s="219">
        <f t="shared" si="8"/>
        <v>89.16024</v>
      </c>
      <c r="I63" s="218">
        <v>1.0</v>
      </c>
      <c r="J63" s="194">
        <f t="shared" si="9"/>
        <v>89.16024</v>
      </c>
      <c r="K63" s="139"/>
      <c r="L63" s="197"/>
      <c r="M63" s="198"/>
      <c r="N63" s="198"/>
      <c r="O63" s="139"/>
      <c r="P63" s="139"/>
      <c r="Q63" s="141">
        <v>20.5</v>
      </c>
      <c r="R63" s="187">
        <f t="shared" si="10"/>
        <v>2.08</v>
      </c>
      <c r="S63" s="181">
        <f t="shared" si="11"/>
        <v>1</v>
      </c>
      <c r="T63" s="181">
        <f t="shared" si="12"/>
        <v>2.08</v>
      </c>
      <c r="U63" s="186">
        <f t="shared" si="13"/>
        <v>89.16024</v>
      </c>
      <c r="V63" s="187">
        <f t="shared" ref="V63:W63" si="53">C63/100</f>
        <v>1.02</v>
      </c>
      <c r="W63" s="187">
        <f t="shared" si="53"/>
        <v>2.05</v>
      </c>
      <c r="X63" s="187">
        <f t="shared" si="15"/>
        <v>2.08</v>
      </c>
      <c r="Y63" s="189">
        <f t="shared" si="16"/>
        <v>4.34928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7.0" customHeight="1">
      <c r="A64" s="181">
        <v>37.0</v>
      </c>
      <c r="B64" s="191" t="s">
        <v>89</v>
      </c>
      <c r="C64" s="191">
        <v>101.0</v>
      </c>
      <c r="D64" s="191">
        <v>205.0</v>
      </c>
      <c r="E64" s="191">
        <v>208.0</v>
      </c>
      <c r="F64" s="191">
        <f t="shared" si="6"/>
        <v>0</v>
      </c>
      <c r="G64" s="191">
        <f t="shared" si="7"/>
        <v>88.28612</v>
      </c>
      <c r="H64" s="219">
        <f t="shared" si="8"/>
        <v>88.28612</v>
      </c>
      <c r="I64" s="218">
        <v>1.0</v>
      </c>
      <c r="J64" s="194">
        <f t="shared" si="9"/>
        <v>88.28612</v>
      </c>
      <c r="K64" s="139"/>
      <c r="L64" s="197"/>
      <c r="M64" s="198"/>
      <c r="N64" s="198"/>
      <c r="O64" s="139"/>
      <c r="P64" s="139"/>
      <c r="Q64" s="141">
        <v>20.5</v>
      </c>
      <c r="R64" s="187">
        <f t="shared" si="10"/>
        <v>2.08</v>
      </c>
      <c r="S64" s="181">
        <f t="shared" si="11"/>
        <v>1</v>
      </c>
      <c r="T64" s="181">
        <f t="shared" si="12"/>
        <v>2.08</v>
      </c>
      <c r="U64" s="186">
        <f t="shared" si="13"/>
        <v>88.28612</v>
      </c>
      <c r="V64" s="187">
        <f t="shared" ref="V64:W64" si="54">C64/100</f>
        <v>1.01</v>
      </c>
      <c r="W64" s="187">
        <f t="shared" si="54"/>
        <v>2.05</v>
      </c>
      <c r="X64" s="187">
        <f t="shared" si="15"/>
        <v>2.08</v>
      </c>
      <c r="Y64" s="189">
        <f t="shared" si="16"/>
        <v>4.30664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7.0" customHeight="1">
      <c r="A65" s="181">
        <v>38.0</v>
      </c>
      <c r="B65" s="191" t="s">
        <v>89</v>
      </c>
      <c r="C65" s="191">
        <v>102.0</v>
      </c>
      <c r="D65" s="191">
        <v>205.0</v>
      </c>
      <c r="E65" s="191">
        <v>207.0</v>
      </c>
      <c r="F65" s="191">
        <f t="shared" si="6"/>
        <v>0</v>
      </c>
      <c r="G65" s="191">
        <f t="shared" si="7"/>
        <v>88.731585</v>
      </c>
      <c r="H65" s="219">
        <f t="shared" si="8"/>
        <v>88.731585</v>
      </c>
      <c r="I65" s="218">
        <v>3.0</v>
      </c>
      <c r="J65" s="194">
        <f t="shared" si="9"/>
        <v>266.194755</v>
      </c>
      <c r="K65" s="139"/>
      <c r="L65" s="197"/>
      <c r="M65" s="198"/>
      <c r="N65" s="198"/>
      <c r="O65" s="139"/>
      <c r="P65" s="139"/>
      <c r="Q65" s="141">
        <v>20.5</v>
      </c>
      <c r="R65" s="187">
        <f t="shared" si="10"/>
        <v>2.07</v>
      </c>
      <c r="S65" s="181">
        <f t="shared" si="11"/>
        <v>3</v>
      </c>
      <c r="T65" s="181">
        <f t="shared" si="12"/>
        <v>6.21</v>
      </c>
      <c r="U65" s="186">
        <f t="shared" si="13"/>
        <v>88.731585</v>
      </c>
      <c r="V65" s="187">
        <f t="shared" ref="V65:W65" si="55">C65/100</f>
        <v>1.02</v>
      </c>
      <c r="W65" s="187">
        <f t="shared" si="55"/>
        <v>2.05</v>
      </c>
      <c r="X65" s="187">
        <f t="shared" si="15"/>
        <v>6.21</v>
      </c>
      <c r="Y65" s="189">
        <f t="shared" si="16"/>
        <v>12.98511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7.0" customHeight="1">
      <c r="A66" s="181">
        <v>39.0</v>
      </c>
      <c r="B66" s="191" t="s">
        <v>89</v>
      </c>
      <c r="C66" s="191">
        <v>104.0</v>
      </c>
      <c r="D66" s="191">
        <v>205.0</v>
      </c>
      <c r="E66" s="191">
        <v>207.0</v>
      </c>
      <c r="F66" s="191">
        <f t="shared" si="6"/>
        <v>0</v>
      </c>
      <c r="G66" s="191">
        <f t="shared" si="7"/>
        <v>90.47142</v>
      </c>
      <c r="H66" s="219">
        <f t="shared" si="8"/>
        <v>90.47142</v>
      </c>
      <c r="I66" s="218">
        <v>1.0</v>
      </c>
      <c r="J66" s="194">
        <f t="shared" si="9"/>
        <v>90.47142</v>
      </c>
      <c r="K66" s="139"/>
      <c r="L66" s="197"/>
      <c r="M66" s="198"/>
      <c r="N66" s="198"/>
      <c r="O66" s="139"/>
      <c r="P66" s="139"/>
      <c r="Q66" s="141">
        <v>20.5</v>
      </c>
      <c r="R66" s="187">
        <f t="shared" si="10"/>
        <v>2.07</v>
      </c>
      <c r="S66" s="181">
        <f t="shared" si="11"/>
        <v>1</v>
      </c>
      <c r="T66" s="181">
        <f t="shared" si="12"/>
        <v>2.07</v>
      </c>
      <c r="U66" s="186">
        <f t="shared" si="13"/>
        <v>90.47142</v>
      </c>
      <c r="V66" s="187">
        <f t="shared" ref="V66:W66" si="56">C66/100</f>
        <v>1.04</v>
      </c>
      <c r="W66" s="187">
        <f t="shared" si="56"/>
        <v>2.05</v>
      </c>
      <c r="X66" s="187">
        <f t="shared" si="15"/>
        <v>2.07</v>
      </c>
      <c r="Y66" s="189">
        <f t="shared" si="16"/>
        <v>4.41324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7.0" customHeight="1">
      <c r="A67" s="181">
        <v>40.0</v>
      </c>
      <c r="B67" s="191" t="s">
        <v>89</v>
      </c>
      <c r="C67" s="191">
        <v>105.0</v>
      </c>
      <c r="D67" s="191">
        <v>205.0</v>
      </c>
      <c r="E67" s="191">
        <v>207.0</v>
      </c>
      <c r="F67" s="191">
        <f t="shared" si="6"/>
        <v>0</v>
      </c>
      <c r="G67" s="191">
        <f t="shared" si="7"/>
        <v>91.3413375</v>
      </c>
      <c r="H67" s="219">
        <f t="shared" si="8"/>
        <v>91.3413375</v>
      </c>
      <c r="I67" s="218">
        <v>1.0</v>
      </c>
      <c r="J67" s="194">
        <f t="shared" si="9"/>
        <v>91.3413375</v>
      </c>
      <c r="K67" s="139"/>
      <c r="L67" s="197"/>
      <c r="M67" s="198"/>
      <c r="N67" s="198"/>
      <c r="O67" s="139"/>
      <c r="P67" s="139"/>
      <c r="Q67" s="141">
        <v>20.5</v>
      </c>
      <c r="R67" s="187">
        <f t="shared" si="10"/>
        <v>2.07</v>
      </c>
      <c r="S67" s="181">
        <f t="shared" si="11"/>
        <v>1</v>
      </c>
      <c r="T67" s="181">
        <f t="shared" si="12"/>
        <v>2.07</v>
      </c>
      <c r="U67" s="186">
        <f t="shared" si="13"/>
        <v>91.3413375</v>
      </c>
      <c r="V67" s="187">
        <f t="shared" ref="V67:W67" si="57">C67/100</f>
        <v>1.05</v>
      </c>
      <c r="W67" s="187">
        <f t="shared" si="57"/>
        <v>2.05</v>
      </c>
      <c r="X67" s="187">
        <f t="shared" si="15"/>
        <v>2.07</v>
      </c>
      <c r="Y67" s="189">
        <f t="shared" si="16"/>
        <v>4.455675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7.0" customHeight="1">
      <c r="A68" s="181">
        <v>41.0</v>
      </c>
      <c r="B68" s="191" t="s">
        <v>89</v>
      </c>
      <c r="C68" s="191">
        <v>100.0</v>
      </c>
      <c r="D68" s="191">
        <v>205.0</v>
      </c>
      <c r="E68" s="191">
        <v>208.0</v>
      </c>
      <c r="F68" s="191">
        <f t="shared" si="6"/>
        <v>0</v>
      </c>
      <c r="G68" s="191">
        <f t="shared" si="7"/>
        <v>87.412</v>
      </c>
      <c r="H68" s="219">
        <f t="shared" si="8"/>
        <v>87.412</v>
      </c>
      <c r="I68" s="218">
        <v>1.0</v>
      </c>
      <c r="J68" s="194">
        <f t="shared" si="9"/>
        <v>87.412</v>
      </c>
      <c r="K68" s="139"/>
      <c r="L68" s="197"/>
      <c r="M68" s="198"/>
      <c r="N68" s="198"/>
      <c r="O68" s="139"/>
      <c r="P68" s="139"/>
      <c r="Q68" s="141">
        <v>20.5</v>
      </c>
      <c r="R68" s="187">
        <f t="shared" si="10"/>
        <v>2.08</v>
      </c>
      <c r="S68" s="181">
        <f t="shared" si="11"/>
        <v>1</v>
      </c>
      <c r="T68" s="181">
        <f t="shared" si="12"/>
        <v>2.08</v>
      </c>
      <c r="U68" s="186">
        <f t="shared" si="13"/>
        <v>87.412</v>
      </c>
      <c r="V68" s="187">
        <f t="shared" ref="V68:W68" si="58">C68/100</f>
        <v>1</v>
      </c>
      <c r="W68" s="187">
        <f t="shared" si="58"/>
        <v>2.05</v>
      </c>
      <c r="X68" s="187">
        <f t="shared" si="15"/>
        <v>2.08</v>
      </c>
      <c r="Y68" s="189">
        <f t="shared" si="16"/>
        <v>4.264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81">
        <v>42.0</v>
      </c>
      <c r="B69" s="191" t="s">
        <v>89</v>
      </c>
      <c r="C69" s="191">
        <v>99.0</v>
      </c>
      <c r="D69" s="191">
        <v>205.0</v>
      </c>
      <c r="E69" s="191">
        <v>208.0</v>
      </c>
      <c r="F69" s="191">
        <f t="shared" si="6"/>
        <v>0</v>
      </c>
      <c r="G69" s="191">
        <f t="shared" si="7"/>
        <v>86.53788</v>
      </c>
      <c r="H69" s="219">
        <f t="shared" si="8"/>
        <v>86.53788</v>
      </c>
      <c r="I69" s="218">
        <v>1.0</v>
      </c>
      <c r="J69" s="194">
        <f t="shared" si="9"/>
        <v>86.53788</v>
      </c>
      <c r="K69" s="139"/>
      <c r="L69" s="197"/>
      <c r="M69" s="198"/>
      <c r="N69" s="198"/>
      <c r="O69" s="139"/>
      <c r="P69" s="139"/>
      <c r="Q69" s="141">
        <v>20.5</v>
      </c>
      <c r="R69" s="187">
        <f t="shared" si="10"/>
        <v>2.08</v>
      </c>
      <c r="S69" s="181">
        <f t="shared" si="11"/>
        <v>1</v>
      </c>
      <c r="T69" s="181">
        <f t="shared" si="12"/>
        <v>2.08</v>
      </c>
      <c r="U69" s="186">
        <f t="shared" si="13"/>
        <v>86.53788</v>
      </c>
      <c r="V69" s="187">
        <f t="shared" ref="V69:W69" si="59">C69/100</f>
        <v>0.99</v>
      </c>
      <c r="W69" s="187">
        <f t="shared" si="59"/>
        <v>2.05</v>
      </c>
      <c r="X69" s="187">
        <f t="shared" si="15"/>
        <v>2.08</v>
      </c>
      <c r="Y69" s="189">
        <f t="shared" si="16"/>
        <v>4.22136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81">
        <v>43.0</v>
      </c>
      <c r="B70" s="191" t="s">
        <v>89</v>
      </c>
      <c r="C70" s="191">
        <v>90.0</v>
      </c>
      <c r="D70" s="191">
        <v>205.0</v>
      </c>
      <c r="E70" s="191">
        <v>207.0</v>
      </c>
      <c r="F70" s="191">
        <f t="shared" si="6"/>
        <v>0</v>
      </c>
      <c r="G70" s="191">
        <f t="shared" si="7"/>
        <v>78.292575</v>
      </c>
      <c r="H70" s="219">
        <f t="shared" si="8"/>
        <v>78.292575</v>
      </c>
      <c r="I70" s="218">
        <v>2.0</v>
      </c>
      <c r="J70" s="194">
        <f t="shared" si="9"/>
        <v>156.58515</v>
      </c>
      <c r="K70" s="139"/>
      <c r="L70" s="197"/>
      <c r="M70" s="198"/>
      <c r="N70" s="198"/>
      <c r="O70" s="139"/>
      <c r="P70" s="139"/>
      <c r="Q70" s="141">
        <v>20.5</v>
      </c>
      <c r="R70" s="187">
        <f t="shared" si="10"/>
        <v>2.07</v>
      </c>
      <c r="S70" s="181">
        <f t="shared" si="11"/>
        <v>2</v>
      </c>
      <c r="T70" s="181">
        <f t="shared" si="12"/>
        <v>4.14</v>
      </c>
      <c r="U70" s="186">
        <f t="shared" si="13"/>
        <v>78.292575</v>
      </c>
      <c r="V70" s="187">
        <f t="shared" ref="V70:W70" si="60">C70/100</f>
        <v>0.9</v>
      </c>
      <c r="W70" s="187">
        <f t="shared" si="60"/>
        <v>2.05</v>
      </c>
      <c r="X70" s="187">
        <f t="shared" si="15"/>
        <v>4.14</v>
      </c>
      <c r="Y70" s="189">
        <f t="shared" si="16"/>
        <v>7.6383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81">
        <v>44.0</v>
      </c>
      <c r="B71" s="191" t="s">
        <v>89</v>
      </c>
      <c r="C71" s="191">
        <v>93.0</v>
      </c>
      <c r="D71" s="191">
        <v>205.0</v>
      </c>
      <c r="E71" s="191">
        <v>207.0</v>
      </c>
      <c r="F71" s="191">
        <f t="shared" si="6"/>
        <v>0</v>
      </c>
      <c r="G71" s="191">
        <f t="shared" si="7"/>
        <v>80.9023275</v>
      </c>
      <c r="H71" s="219">
        <f t="shared" si="8"/>
        <v>80.9023275</v>
      </c>
      <c r="I71" s="218">
        <v>1.0</v>
      </c>
      <c r="J71" s="194">
        <f t="shared" si="9"/>
        <v>80.9023275</v>
      </c>
      <c r="K71" s="139"/>
      <c r="L71" s="197"/>
      <c r="M71" s="198"/>
      <c r="N71" s="198"/>
      <c r="O71" s="139"/>
      <c r="P71" s="139"/>
      <c r="Q71" s="141">
        <v>20.5</v>
      </c>
      <c r="R71" s="187">
        <f t="shared" si="10"/>
        <v>2.07</v>
      </c>
      <c r="S71" s="181">
        <f t="shared" si="11"/>
        <v>1</v>
      </c>
      <c r="T71" s="181">
        <f t="shared" si="12"/>
        <v>2.07</v>
      </c>
      <c r="U71" s="186">
        <f t="shared" si="13"/>
        <v>80.9023275</v>
      </c>
      <c r="V71" s="187">
        <f t="shared" ref="V71:W71" si="61">C71/100</f>
        <v>0.93</v>
      </c>
      <c r="W71" s="187">
        <f t="shared" si="61"/>
        <v>2.05</v>
      </c>
      <c r="X71" s="187">
        <f t="shared" si="15"/>
        <v>2.07</v>
      </c>
      <c r="Y71" s="189">
        <f t="shared" si="16"/>
        <v>3.946455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81">
        <v>45.0</v>
      </c>
      <c r="B72" s="182" t="s">
        <v>90</v>
      </c>
      <c r="C72" s="183">
        <v>83.0</v>
      </c>
      <c r="D72" s="183">
        <v>205.0</v>
      </c>
      <c r="E72" s="183">
        <v>208.0</v>
      </c>
      <c r="F72" s="183">
        <f t="shared" si="6"/>
        <v>0.8</v>
      </c>
      <c r="G72" s="183">
        <f t="shared" si="7"/>
        <v>72.55196</v>
      </c>
      <c r="H72" s="184">
        <f t="shared" si="8"/>
        <v>58.041568</v>
      </c>
      <c r="I72" s="183">
        <v>1.0</v>
      </c>
      <c r="J72" s="194">
        <f t="shared" si="9"/>
        <v>58.041568</v>
      </c>
      <c r="K72" s="139"/>
      <c r="L72" s="197"/>
      <c r="M72" s="198"/>
      <c r="N72" s="198"/>
      <c r="O72" s="139"/>
      <c r="P72" s="139"/>
      <c r="Q72" s="141">
        <v>20.5</v>
      </c>
      <c r="R72" s="187">
        <f t="shared" si="10"/>
        <v>2.08</v>
      </c>
      <c r="S72" s="181">
        <f t="shared" si="11"/>
        <v>1</v>
      </c>
      <c r="T72" s="181">
        <f t="shared" si="12"/>
        <v>2.08</v>
      </c>
      <c r="U72" s="186">
        <f t="shared" si="13"/>
        <v>72.55196</v>
      </c>
      <c r="V72" s="187">
        <f t="shared" ref="V72:W72" si="62">C72/100</f>
        <v>0.83</v>
      </c>
      <c r="W72" s="187">
        <f t="shared" si="62"/>
        <v>2.05</v>
      </c>
      <c r="X72" s="187">
        <f t="shared" si="15"/>
        <v>2.08</v>
      </c>
      <c r="Y72" s="189">
        <f t="shared" si="16"/>
        <v>3.53912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81">
        <v>46.0</v>
      </c>
      <c r="B73" s="191" t="s">
        <v>91</v>
      </c>
      <c r="C73" s="191">
        <v>98.0</v>
      </c>
      <c r="D73" s="191">
        <v>205.0</v>
      </c>
      <c r="E73" s="191">
        <v>207.0</v>
      </c>
      <c r="F73" s="191">
        <f t="shared" si="6"/>
        <v>0</v>
      </c>
      <c r="G73" s="191">
        <f t="shared" si="7"/>
        <v>85.251915</v>
      </c>
      <c r="H73" s="219">
        <f t="shared" si="8"/>
        <v>85.251915</v>
      </c>
      <c r="I73" s="218">
        <v>3.0</v>
      </c>
      <c r="J73" s="194">
        <f t="shared" si="9"/>
        <v>255.755745</v>
      </c>
      <c r="K73" s="139"/>
      <c r="L73" s="197"/>
      <c r="M73" s="198"/>
      <c r="N73" s="198"/>
      <c r="O73" s="139"/>
      <c r="P73" s="139"/>
      <c r="Q73" s="141">
        <v>20.5</v>
      </c>
      <c r="R73" s="187">
        <f t="shared" si="10"/>
        <v>2.07</v>
      </c>
      <c r="S73" s="181">
        <f t="shared" si="11"/>
        <v>3</v>
      </c>
      <c r="T73" s="181">
        <f t="shared" si="12"/>
        <v>6.21</v>
      </c>
      <c r="U73" s="186">
        <f t="shared" si="13"/>
        <v>85.251915</v>
      </c>
      <c r="V73" s="187">
        <f t="shared" ref="V73:W73" si="63">C73/100</f>
        <v>0.98</v>
      </c>
      <c r="W73" s="187">
        <f t="shared" si="63"/>
        <v>2.05</v>
      </c>
      <c r="X73" s="187">
        <f t="shared" si="15"/>
        <v>6.21</v>
      </c>
      <c r="Y73" s="189">
        <f t="shared" si="16"/>
        <v>12.47589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7.0" customHeight="1">
      <c r="A74" s="181">
        <v>47.0</v>
      </c>
      <c r="B74" s="191" t="s">
        <v>91</v>
      </c>
      <c r="C74" s="191">
        <v>100.0</v>
      </c>
      <c r="D74" s="191">
        <v>205.0</v>
      </c>
      <c r="E74" s="191">
        <v>207.0</v>
      </c>
      <c r="F74" s="191">
        <f t="shared" si="6"/>
        <v>0</v>
      </c>
      <c r="G74" s="191">
        <f t="shared" si="7"/>
        <v>86.99175</v>
      </c>
      <c r="H74" s="219">
        <f t="shared" si="8"/>
        <v>86.99175</v>
      </c>
      <c r="I74" s="218">
        <v>1.0</v>
      </c>
      <c r="J74" s="194">
        <f t="shared" si="9"/>
        <v>86.99175</v>
      </c>
      <c r="K74" s="139"/>
      <c r="L74" s="197"/>
      <c r="M74" s="198"/>
      <c r="N74" s="198"/>
      <c r="O74" s="139"/>
      <c r="P74" s="139"/>
      <c r="Q74" s="141">
        <v>20.5</v>
      </c>
      <c r="R74" s="187">
        <f t="shared" si="10"/>
        <v>2.07</v>
      </c>
      <c r="S74" s="181">
        <f t="shared" si="11"/>
        <v>1</v>
      </c>
      <c r="T74" s="181">
        <f t="shared" si="12"/>
        <v>2.07</v>
      </c>
      <c r="U74" s="186">
        <f t="shared" si="13"/>
        <v>86.99175</v>
      </c>
      <c r="V74" s="187">
        <f t="shared" ref="V74:W74" si="64">C74/100</f>
        <v>1</v>
      </c>
      <c r="W74" s="187">
        <f t="shared" si="64"/>
        <v>2.05</v>
      </c>
      <c r="X74" s="187">
        <f t="shared" si="15"/>
        <v>2.07</v>
      </c>
      <c r="Y74" s="189">
        <f t="shared" si="16"/>
        <v>4.2435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27.0" customHeight="1">
      <c r="A75" s="181">
        <v>48.0</v>
      </c>
      <c r="B75" s="191" t="s">
        <v>91</v>
      </c>
      <c r="C75" s="191">
        <v>89.0</v>
      </c>
      <c r="D75" s="191">
        <v>205.0</v>
      </c>
      <c r="E75" s="191">
        <v>266.0</v>
      </c>
      <c r="F75" s="191">
        <f t="shared" si="6"/>
        <v>0</v>
      </c>
      <c r="G75" s="191">
        <f t="shared" si="7"/>
        <v>99.489985</v>
      </c>
      <c r="H75" s="219">
        <f t="shared" si="8"/>
        <v>99.489985</v>
      </c>
      <c r="I75" s="218">
        <v>1.0</v>
      </c>
      <c r="J75" s="194">
        <f t="shared" si="9"/>
        <v>99.489985</v>
      </c>
      <c r="K75" s="139"/>
      <c r="L75" s="197"/>
      <c r="M75" s="198"/>
      <c r="N75" s="198"/>
      <c r="O75" s="139"/>
      <c r="P75" s="139"/>
      <c r="Q75" s="141">
        <v>20.5</v>
      </c>
      <c r="R75" s="187">
        <f t="shared" si="10"/>
        <v>2.66</v>
      </c>
      <c r="S75" s="181">
        <f t="shared" si="11"/>
        <v>1</v>
      </c>
      <c r="T75" s="181">
        <f t="shared" si="12"/>
        <v>2.66</v>
      </c>
      <c r="U75" s="186">
        <f t="shared" si="13"/>
        <v>99.489985</v>
      </c>
      <c r="V75" s="187">
        <f t="shared" ref="V75:W75" si="65">C75/100</f>
        <v>0.89</v>
      </c>
      <c r="W75" s="187">
        <f t="shared" si="65"/>
        <v>2.05</v>
      </c>
      <c r="X75" s="187">
        <f t="shared" si="15"/>
        <v>2.66</v>
      </c>
      <c r="Y75" s="189">
        <f t="shared" si="16"/>
        <v>4.85317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27.0" customHeight="1">
      <c r="A76" s="181">
        <v>49.0</v>
      </c>
      <c r="B76" s="191" t="s">
        <v>91</v>
      </c>
      <c r="C76" s="191">
        <v>97.0</v>
      </c>
      <c r="D76" s="191">
        <v>205.0</v>
      </c>
      <c r="E76" s="191">
        <v>207.0</v>
      </c>
      <c r="F76" s="191">
        <f t="shared" si="6"/>
        <v>0</v>
      </c>
      <c r="G76" s="191">
        <f t="shared" si="7"/>
        <v>84.3819975</v>
      </c>
      <c r="H76" s="219">
        <f t="shared" si="8"/>
        <v>84.3819975</v>
      </c>
      <c r="I76" s="218">
        <v>1.0</v>
      </c>
      <c r="J76" s="194">
        <f t="shared" si="9"/>
        <v>84.3819975</v>
      </c>
      <c r="K76" s="139"/>
      <c r="L76" s="197"/>
      <c r="M76" s="198"/>
      <c r="N76" s="198"/>
      <c r="O76" s="139"/>
      <c r="P76" s="139"/>
      <c r="Q76" s="141">
        <v>20.5</v>
      </c>
      <c r="R76" s="187">
        <f t="shared" si="10"/>
        <v>2.07</v>
      </c>
      <c r="S76" s="181">
        <f t="shared" si="11"/>
        <v>1</v>
      </c>
      <c r="T76" s="181">
        <f t="shared" si="12"/>
        <v>2.07</v>
      </c>
      <c r="U76" s="186">
        <f t="shared" si="13"/>
        <v>84.3819975</v>
      </c>
      <c r="V76" s="187">
        <f t="shared" ref="V76:W76" si="66">C76/100</f>
        <v>0.97</v>
      </c>
      <c r="W76" s="187">
        <f t="shared" si="66"/>
        <v>2.05</v>
      </c>
      <c r="X76" s="187">
        <f t="shared" si="15"/>
        <v>2.07</v>
      </c>
      <c r="Y76" s="189">
        <f t="shared" si="16"/>
        <v>4.116195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27.0" customHeight="1">
      <c r="A77" s="181">
        <v>50.0</v>
      </c>
      <c r="B77" s="191" t="s">
        <v>91</v>
      </c>
      <c r="C77" s="191">
        <v>103.0</v>
      </c>
      <c r="D77" s="191">
        <v>205.0</v>
      </c>
      <c r="E77" s="191">
        <v>208.0</v>
      </c>
      <c r="F77" s="191">
        <f t="shared" si="6"/>
        <v>0</v>
      </c>
      <c r="G77" s="191">
        <f t="shared" si="7"/>
        <v>90.03436</v>
      </c>
      <c r="H77" s="219">
        <f t="shared" si="8"/>
        <v>90.03436</v>
      </c>
      <c r="I77" s="218">
        <v>2.0</v>
      </c>
      <c r="J77" s="194">
        <f t="shared" si="9"/>
        <v>180.06872</v>
      </c>
      <c r="K77" s="139"/>
      <c r="L77" s="197"/>
      <c r="M77" s="198"/>
      <c r="N77" s="198"/>
      <c r="O77" s="139"/>
      <c r="P77" s="139"/>
      <c r="Q77" s="141">
        <v>20.5</v>
      </c>
      <c r="R77" s="187">
        <f t="shared" si="10"/>
        <v>2.08</v>
      </c>
      <c r="S77" s="181">
        <f t="shared" si="11"/>
        <v>2</v>
      </c>
      <c r="T77" s="181">
        <f t="shared" si="12"/>
        <v>4.16</v>
      </c>
      <c r="U77" s="186">
        <f t="shared" si="13"/>
        <v>90.03436</v>
      </c>
      <c r="V77" s="187">
        <f t="shared" ref="V77:W77" si="67">C77/100</f>
        <v>1.03</v>
      </c>
      <c r="W77" s="187">
        <f t="shared" si="67"/>
        <v>2.05</v>
      </c>
      <c r="X77" s="187">
        <f t="shared" si="15"/>
        <v>4.16</v>
      </c>
      <c r="Y77" s="189">
        <f t="shared" si="16"/>
        <v>8.78384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27.0" customHeight="1">
      <c r="A78" s="181">
        <v>51.0</v>
      </c>
      <c r="B78" s="191" t="s">
        <v>91</v>
      </c>
      <c r="C78" s="191">
        <v>102.0</v>
      </c>
      <c r="D78" s="191">
        <v>205.0</v>
      </c>
      <c r="E78" s="191">
        <v>208.0</v>
      </c>
      <c r="F78" s="191">
        <f t="shared" si="6"/>
        <v>0</v>
      </c>
      <c r="G78" s="191">
        <f t="shared" si="7"/>
        <v>89.16024</v>
      </c>
      <c r="H78" s="219">
        <f t="shared" si="8"/>
        <v>89.16024</v>
      </c>
      <c r="I78" s="218">
        <v>6.0</v>
      </c>
      <c r="J78" s="194">
        <f t="shared" si="9"/>
        <v>534.96144</v>
      </c>
      <c r="K78" s="139"/>
      <c r="L78" s="197"/>
      <c r="M78" s="198"/>
      <c r="N78" s="198"/>
      <c r="O78" s="139"/>
      <c r="P78" s="139"/>
      <c r="Q78" s="141">
        <v>20.5</v>
      </c>
      <c r="R78" s="187">
        <f t="shared" si="10"/>
        <v>2.08</v>
      </c>
      <c r="S78" s="181">
        <f t="shared" si="11"/>
        <v>6</v>
      </c>
      <c r="T78" s="181">
        <f t="shared" si="12"/>
        <v>12.48</v>
      </c>
      <c r="U78" s="186">
        <f t="shared" si="13"/>
        <v>89.16024</v>
      </c>
      <c r="V78" s="187">
        <f t="shared" ref="V78:W78" si="68">C78/100</f>
        <v>1.02</v>
      </c>
      <c r="W78" s="187">
        <f t="shared" si="68"/>
        <v>2.05</v>
      </c>
      <c r="X78" s="187">
        <f t="shared" si="15"/>
        <v>12.48</v>
      </c>
      <c r="Y78" s="189">
        <f t="shared" si="16"/>
        <v>26.09568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7.0" customHeight="1">
      <c r="A79" s="181">
        <v>52.0</v>
      </c>
      <c r="B79" s="191" t="s">
        <v>91</v>
      </c>
      <c r="C79" s="191">
        <v>101.0</v>
      </c>
      <c r="D79" s="191">
        <v>205.0</v>
      </c>
      <c r="E79" s="191">
        <v>207.0</v>
      </c>
      <c r="F79" s="191">
        <f t="shared" si="6"/>
        <v>0</v>
      </c>
      <c r="G79" s="191">
        <f t="shared" si="7"/>
        <v>87.8616675</v>
      </c>
      <c r="H79" s="219">
        <f t="shared" si="8"/>
        <v>87.8616675</v>
      </c>
      <c r="I79" s="218">
        <v>1.0</v>
      </c>
      <c r="J79" s="194">
        <f t="shared" si="9"/>
        <v>87.8616675</v>
      </c>
      <c r="K79" s="139"/>
      <c r="L79" s="197"/>
      <c r="M79" s="198"/>
      <c r="N79" s="198"/>
      <c r="O79" s="139"/>
      <c r="P79" s="139"/>
      <c r="Q79" s="141">
        <v>20.5</v>
      </c>
      <c r="R79" s="187">
        <f t="shared" si="10"/>
        <v>2.07</v>
      </c>
      <c r="S79" s="181">
        <f t="shared" si="11"/>
        <v>1</v>
      </c>
      <c r="T79" s="181">
        <f t="shared" si="12"/>
        <v>2.07</v>
      </c>
      <c r="U79" s="186">
        <f t="shared" si="13"/>
        <v>87.8616675</v>
      </c>
      <c r="V79" s="187">
        <f t="shared" ref="V79:W79" si="69">C79/100</f>
        <v>1.01</v>
      </c>
      <c r="W79" s="187">
        <f t="shared" si="69"/>
        <v>2.05</v>
      </c>
      <c r="X79" s="187">
        <f t="shared" si="15"/>
        <v>2.07</v>
      </c>
      <c r="Y79" s="189">
        <f t="shared" si="16"/>
        <v>4.285935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7.0" customHeight="1">
      <c r="A80" s="181">
        <v>53.0</v>
      </c>
      <c r="B80" s="191" t="s">
        <v>91</v>
      </c>
      <c r="C80" s="191">
        <v>102.0</v>
      </c>
      <c r="D80" s="191">
        <v>205.0</v>
      </c>
      <c r="E80" s="191">
        <v>207.0</v>
      </c>
      <c r="F80" s="191">
        <f t="shared" si="6"/>
        <v>0</v>
      </c>
      <c r="G80" s="191">
        <f t="shared" si="7"/>
        <v>88.731585</v>
      </c>
      <c r="H80" s="219">
        <f t="shared" si="8"/>
        <v>88.731585</v>
      </c>
      <c r="I80" s="218">
        <v>2.0</v>
      </c>
      <c r="J80" s="194">
        <f t="shared" si="9"/>
        <v>177.46317</v>
      </c>
      <c r="K80" s="139"/>
      <c r="L80" s="197"/>
      <c r="M80" s="198"/>
      <c r="N80" s="198"/>
      <c r="O80" s="139"/>
      <c r="P80" s="139"/>
      <c r="Q80" s="141">
        <v>20.5</v>
      </c>
      <c r="R80" s="187">
        <f t="shared" si="10"/>
        <v>2.07</v>
      </c>
      <c r="S80" s="181">
        <f t="shared" si="11"/>
        <v>2</v>
      </c>
      <c r="T80" s="181">
        <f t="shared" si="12"/>
        <v>4.14</v>
      </c>
      <c r="U80" s="186">
        <f t="shared" si="13"/>
        <v>88.731585</v>
      </c>
      <c r="V80" s="187">
        <f t="shared" ref="V80:W80" si="70">C80/100</f>
        <v>1.02</v>
      </c>
      <c r="W80" s="187">
        <f t="shared" si="70"/>
        <v>2.05</v>
      </c>
      <c r="X80" s="187">
        <f t="shared" si="15"/>
        <v>4.14</v>
      </c>
      <c r="Y80" s="189">
        <f t="shared" si="16"/>
        <v>8.65674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7.0" customHeight="1">
      <c r="A81" s="181">
        <v>54.0</v>
      </c>
      <c r="B81" s="191" t="s">
        <v>91</v>
      </c>
      <c r="C81" s="191">
        <v>101.0</v>
      </c>
      <c r="D81" s="191">
        <v>205.0</v>
      </c>
      <c r="E81" s="191">
        <v>208.0</v>
      </c>
      <c r="F81" s="191">
        <f t="shared" si="6"/>
        <v>0</v>
      </c>
      <c r="G81" s="191">
        <f t="shared" si="7"/>
        <v>88.28612</v>
      </c>
      <c r="H81" s="219">
        <f t="shared" si="8"/>
        <v>88.28612</v>
      </c>
      <c r="I81" s="218">
        <v>1.0</v>
      </c>
      <c r="J81" s="194">
        <f t="shared" si="9"/>
        <v>88.28612</v>
      </c>
      <c r="K81" s="139"/>
      <c r="L81" s="197"/>
      <c r="M81" s="198"/>
      <c r="N81" s="198"/>
      <c r="O81" s="139"/>
      <c r="P81" s="139"/>
      <c r="Q81" s="141">
        <v>20.5</v>
      </c>
      <c r="R81" s="187">
        <f t="shared" si="10"/>
        <v>2.08</v>
      </c>
      <c r="S81" s="181">
        <f t="shared" si="11"/>
        <v>1</v>
      </c>
      <c r="T81" s="181">
        <f t="shared" si="12"/>
        <v>2.08</v>
      </c>
      <c r="U81" s="186">
        <f t="shared" si="13"/>
        <v>88.28612</v>
      </c>
      <c r="V81" s="187">
        <f t="shared" ref="V81:W81" si="71">C81/100</f>
        <v>1.01</v>
      </c>
      <c r="W81" s="187">
        <f t="shared" si="71"/>
        <v>2.05</v>
      </c>
      <c r="X81" s="187">
        <f t="shared" si="15"/>
        <v>2.08</v>
      </c>
      <c r="Y81" s="189">
        <f t="shared" si="16"/>
        <v>4.30664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27.0" customHeight="1">
      <c r="A82" s="181">
        <v>55.0</v>
      </c>
      <c r="B82" s="191" t="s">
        <v>91</v>
      </c>
      <c r="C82" s="191">
        <v>97.0</v>
      </c>
      <c r="D82" s="191">
        <v>205.0</v>
      </c>
      <c r="E82" s="191">
        <v>206.0</v>
      </c>
      <c r="F82" s="191">
        <f t="shared" si="6"/>
        <v>0</v>
      </c>
      <c r="G82" s="191">
        <f t="shared" si="7"/>
        <v>83.974355</v>
      </c>
      <c r="H82" s="219">
        <f t="shared" si="8"/>
        <v>83.974355</v>
      </c>
      <c r="I82" s="218">
        <v>1.0</v>
      </c>
      <c r="J82" s="194">
        <f t="shared" si="9"/>
        <v>83.974355</v>
      </c>
      <c r="K82" s="139"/>
      <c r="L82" s="197"/>
      <c r="M82" s="198"/>
      <c r="N82" s="198"/>
      <c r="O82" s="139"/>
      <c r="P82" s="139"/>
      <c r="Q82" s="141">
        <v>20.5</v>
      </c>
      <c r="R82" s="187">
        <f t="shared" si="10"/>
        <v>2.06</v>
      </c>
      <c r="S82" s="181">
        <f t="shared" si="11"/>
        <v>1</v>
      </c>
      <c r="T82" s="181">
        <f t="shared" si="12"/>
        <v>2.06</v>
      </c>
      <c r="U82" s="186">
        <f t="shared" si="13"/>
        <v>83.974355</v>
      </c>
      <c r="V82" s="187">
        <f t="shared" ref="V82:W82" si="72">C82/100</f>
        <v>0.97</v>
      </c>
      <c r="W82" s="187">
        <f t="shared" si="72"/>
        <v>2.05</v>
      </c>
      <c r="X82" s="187">
        <f t="shared" si="15"/>
        <v>2.06</v>
      </c>
      <c r="Y82" s="189">
        <f t="shared" si="16"/>
        <v>4.09631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7.0" customHeight="1">
      <c r="A83" s="181">
        <v>56.0</v>
      </c>
      <c r="B83" s="191" t="s">
        <v>91</v>
      </c>
      <c r="C83" s="191">
        <v>104.0</v>
      </c>
      <c r="D83" s="191">
        <v>205.0</v>
      </c>
      <c r="E83" s="191">
        <v>206.0</v>
      </c>
      <c r="F83" s="191">
        <f t="shared" si="6"/>
        <v>0</v>
      </c>
      <c r="G83" s="191">
        <f t="shared" si="7"/>
        <v>90.03436</v>
      </c>
      <c r="H83" s="219">
        <f t="shared" si="8"/>
        <v>90.03436</v>
      </c>
      <c r="I83" s="218">
        <v>1.0</v>
      </c>
      <c r="J83" s="194">
        <f t="shared" si="9"/>
        <v>90.03436</v>
      </c>
      <c r="K83" s="139"/>
      <c r="L83" s="197"/>
      <c r="M83" s="198"/>
      <c r="N83" s="198"/>
      <c r="O83" s="139"/>
      <c r="P83" s="139"/>
      <c r="Q83" s="141">
        <v>20.5</v>
      </c>
      <c r="R83" s="187">
        <f t="shared" si="10"/>
        <v>2.06</v>
      </c>
      <c r="S83" s="181">
        <f t="shared" si="11"/>
        <v>1</v>
      </c>
      <c r="T83" s="181">
        <f t="shared" si="12"/>
        <v>2.06</v>
      </c>
      <c r="U83" s="186">
        <f t="shared" si="13"/>
        <v>90.03436</v>
      </c>
      <c r="V83" s="187">
        <f t="shared" ref="V83:W83" si="73">C83/100</f>
        <v>1.04</v>
      </c>
      <c r="W83" s="187">
        <f t="shared" si="73"/>
        <v>2.05</v>
      </c>
      <c r="X83" s="187">
        <f t="shared" si="15"/>
        <v>2.06</v>
      </c>
      <c r="Y83" s="189">
        <f t="shared" si="16"/>
        <v>4.39192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7.0" customHeight="1">
      <c r="A84" s="181">
        <v>57.0</v>
      </c>
      <c r="B84" s="191" t="s">
        <v>91</v>
      </c>
      <c r="C84" s="191">
        <v>105.0</v>
      </c>
      <c r="D84" s="191">
        <v>205.0</v>
      </c>
      <c r="E84" s="191">
        <v>208.0</v>
      </c>
      <c r="F84" s="191">
        <f t="shared" si="6"/>
        <v>0</v>
      </c>
      <c r="G84" s="191">
        <f t="shared" si="7"/>
        <v>91.7826</v>
      </c>
      <c r="H84" s="219">
        <f t="shared" si="8"/>
        <v>91.7826</v>
      </c>
      <c r="I84" s="218">
        <v>2.0</v>
      </c>
      <c r="J84" s="194">
        <f t="shared" si="9"/>
        <v>183.5652</v>
      </c>
      <c r="K84" s="139"/>
      <c r="L84" s="197"/>
      <c r="M84" s="198"/>
      <c r="N84" s="198"/>
      <c r="O84" s="139"/>
      <c r="P84" s="139"/>
      <c r="Q84" s="141">
        <v>20.5</v>
      </c>
      <c r="R84" s="187">
        <f t="shared" si="10"/>
        <v>2.08</v>
      </c>
      <c r="S84" s="181">
        <f t="shared" si="11"/>
        <v>2</v>
      </c>
      <c r="T84" s="181">
        <f t="shared" si="12"/>
        <v>4.16</v>
      </c>
      <c r="U84" s="186">
        <f t="shared" si="13"/>
        <v>91.7826</v>
      </c>
      <c r="V84" s="187">
        <f t="shared" ref="V84:W84" si="74">C84/100</f>
        <v>1.05</v>
      </c>
      <c r="W84" s="187">
        <f t="shared" si="74"/>
        <v>2.05</v>
      </c>
      <c r="X84" s="187">
        <f t="shared" si="15"/>
        <v>4.16</v>
      </c>
      <c r="Y84" s="189">
        <f t="shared" si="16"/>
        <v>8.9544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7.0" customHeight="1">
      <c r="A85" s="181">
        <v>58.0</v>
      </c>
      <c r="B85" s="191" t="s">
        <v>91</v>
      </c>
      <c r="C85" s="191">
        <v>103.0</v>
      </c>
      <c r="D85" s="191">
        <v>205.0</v>
      </c>
      <c r="E85" s="191">
        <v>210.0</v>
      </c>
      <c r="F85" s="191">
        <f t="shared" si="6"/>
        <v>0</v>
      </c>
      <c r="G85" s="191">
        <f t="shared" si="7"/>
        <v>90.900075</v>
      </c>
      <c r="H85" s="219">
        <f t="shared" si="8"/>
        <v>90.900075</v>
      </c>
      <c r="I85" s="218">
        <v>1.0</v>
      </c>
      <c r="J85" s="194">
        <f t="shared" si="9"/>
        <v>90.900075</v>
      </c>
      <c r="K85" s="139"/>
      <c r="L85" s="197"/>
      <c r="M85" s="198"/>
      <c r="N85" s="198"/>
      <c r="O85" s="139"/>
      <c r="P85" s="139"/>
      <c r="Q85" s="141">
        <v>20.5</v>
      </c>
      <c r="R85" s="187">
        <f t="shared" si="10"/>
        <v>2.1</v>
      </c>
      <c r="S85" s="181">
        <f t="shared" si="11"/>
        <v>1</v>
      </c>
      <c r="T85" s="181">
        <f t="shared" si="12"/>
        <v>2.1</v>
      </c>
      <c r="U85" s="186">
        <f t="shared" si="13"/>
        <v>90.900075</v>
      </c>
      <c r="V85" s="187">
        <f t="shared" ref="V85:W85" si="75">C85/100</f>
        <v>1.03</v>
      </c>
      <c r="W85" s="187">
        <f t="shared" si="75"/>
        <v>2.05</v>
      </c>
      <c r="X85" s="187">
        <f t="shared" si="15"/>
        <v>2.1</v>
      </c>
      <c r="Y85" s="189">
        <f t="shared" si="16"/>
        <v>4.43415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7.0" customHeight="1">
      <c r="A86" s="181">
        <v>59.0</v>
      </c>
      <c r="B86" s="191" t="s">
        <v>91</v>
      </c>
      <c r="C86" s="191">
        <v>103.0</v>
      </c>
      <c r="D86" s="191">
        <v>205.0</v>
      </c>
      <c r="E86" s="191">
        <v>207.0</v>
      </c>
      <c r="F86" s="191">
        <f t="shared" si="6"/>
        <v>0</v>
      </c>
      <c r="G86" s="191">
        <f t="shared" si="7"/>
        <v>89.6015025</v>
      </c>
      <c r="H86" s="219">
        <f t="shared" si="8"/>
        <v>89.6015025</v>
      </c>
      <c r="I86" s="218">
        <v>7.0</v>
      </c>
      <c r="J86" s="194">
        <f t="shared" si="9"/>
        <v>627.2105175</v>
      </c>
      <c r="K86" s="139"/>
      <c r="L86" s="197"/>
      <c r="M86" s="198"/>
      <c r="N86" s="198"/>
      <c r="O86" s="139"/>
      <c r="P86" s="139"/>
      <c r="Q86" s="141">
        <v>20.5</v>
      </c>
      <c r="R86" s="187">
        <f t="shared" si="10"/>
        <v>2.07</v>
      </c>
      <c r="S86" s="181">
        <f t="shared" si="11"/>
        <v>7</v>
      </c>
      <c r="T86" s="181">
        <f t="shared" si="12"/>
        <v>14.49</v>
      </c>
      <c r="U86" s="186">
        <f t="shared" si="13"/>
        <v>89.6015025</v>
      </c>
      <c r="V86" s="187">
        <f t="shared" ref="V86:W86" si="76">C86/100</f>
        <v>1.03</v>
      </c>
      <c r="W86" s="187">
        <f t="shared" si="76"/>
        <v>2.05</v>
      </c>
      <c r="X86" s="187">
        <f t="shared" si="15"/>
        <v>14.49</v>
      </c>
      <c r="Y86" s="189">
        <f t="shared" si="16"/>
        <v>30.595635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7.0" customHeight="1">
      <c r="A87" s="181">
        <v>60.0</v>
      </c>
      <c r="B87" s="191" t="s">
        <v>91</v>
      </c>
      <c r="C87" s="191">
        <v>99.0</v>
      </c>
      <c r="D87" s="191">
        <v>205.0</v>
      </c>
      <c r="E87" s="191">
        <v>192.0</v>
      </c>
      <c r="F87" s="191">
        <f t="shared" si="6"/>
        <v>0</v>
      </c>
      <c r="G87" s="191">
        <f t="shared" si="7"/>
        <v>79.88112</v>
      </c>
      <c r="H87" s="219">
        <f t="shared" si="8"/>
        <v>79.88112</v>
      </c>
      <c r="I87" s="218">
        <v>1.0</v>
      </c>
      <c r="J87" s="194">
        <f t="shared" si="9"/>
        <v>79.88112</v>
      </c>
      <c r="K87" s="139"/>
      <c r="L87" s="197"/>
      <c r="M87" s="198"/>
      <c r="N87" s="198"/>
      <c r="O87" s="139"/>
      <c r="P87" s="139"/>
      <c r="Q87" s="141">
        <v>20.5</v>
      </c>
      <c r="R87" s="187">
        <f t="shared" si="10"/>
        <v>1.92</v>
      </c>
      <c r="S87" s="181">
        <f t="shared" si="11"/>
        <v>1</v>
      </c>
      <c r="T87" s="181">
        <f t="shared" si="12"/>
        <v>1.92</v>
      </c>
      <c r="U87" s="186">
        <f t="shared" si="13"/>
        <v>79.88112</v>
      </c>
      <c r="V87" s="187">
        <f t="shared" ref="V87:W87" si="77">C87/100</f>
        <v>0.99</v>
      </c>
      <c r="W87" s="187">
        <f t="shared" si="77"/>
        <v>2.05</v>
      </c>
      <c r="X87" s="187">
        <f t="shared" si="15"/>
        <v>1.92</v>
      </c>
      <c r="Y87" s="189">
        <f t="shared" si="16"/>
        <v>3.89664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27.0" customHeight="1">
      <c r="A88" s="181">
        <v>61.0</v>
      </c>
      <c r="B88" s="191" t="s">
        <v>91</v>
      </c>
      <c r="C88" s="191">
        <v>106.0</v>
      </c>
      <c r="D88" s="191">
        <v>205.0</v>
      </c>
      <c r="E88" s="191">
        <v>207.0</v>
      </c>
      <c r="F88" s="191">
        <f t="shared" si="6"/>
        <v>0</v>
      </c>
      <c r="G88" s="191">
        <f t="shared" si="7"/>
        <v>92.211255</v>
      </c>
      <c r="H88" s="219">
        <f t="shared" si="8"/>
        <v>92.211255</v>
      </c>
      <c r="I88" s="218">
        <v>1.0</v>
      </c>
      <c r="J88" s="194">
        <f t="shared" si="9"/>
        <v>92.211255</v>
      </c>
      <c r="K88" s="139"/>
      <c r="L88" s="197"/>
      <c r="M88" s="198"/>
      <c r="N88" s="198"/>
      <c r="O88" s="139"/>
      <c r="P88" s="139"/>
      <c r="Q88" s="141">
        <v>20.5</v>
      </c>
      <c r="R88" s="187">
        <f t="shared" si="10"/>
        <v>2.07</v>
      </c>
      <c r="S88" s="181">
        <f t="shared" si="11"/>
        <v>1</v>
      </c>
      <c r="T88" s="181">
        <f t="shared" si="12"/>
        <v>2.07</v>
      </c>
      <c r="U88" s="186">
        <f t="shared" si="13"/>
        <v>92.211255</v>
      </c>
      <c r="V88" s="187">
        <f t="shared" ref="V88:W88" si="78">C88/100</f>
        <v>1.06</v>
      </c>
      <c r="W88" s="187">
        <f t="shared" si="78"/>
        <v>2.05</v>
      </c>
      <c r="X88" s="187">
        <f t="shared" si="15"/>
        <v>2.07</v>
      </c>
      <c r="Y88" s="189">
        <f t="shared" si="16"/>
        <v>4.49811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27.0" customHeight="1">
      <c r="A89" s="181">
        <v>62.0</v>
      </c>
      <c r="B89" s="191" t="s">
        <v>91</v>
      </c>
      <c r="C89" s="191">
        <v>96.0</v>
      </c>
      <c r="D89" s="191">
        <v>205.0</v>
      </c>
      <c r="E89" s="191">
        <v>206.0</v>
      </c>
      <c r="F89" s="191">
        <f t="shared" si="6"/>
        <v>0</v>
      </c>
      <c r="G89" s="191">
        <f t="shared" si="7"/>
        <v>83.10864</v>
      </c>
      <c r="H89" s="219">
        <f t="shared" si="8"/>
        <v>83.10864</v>
      </c>
      <c r="I89" s="218">
        <v>2.0</v>
      </c>
      <c r="J89" s="194">
        <f t="shared" si="9"/>
        <v>166.21728</v>
      </c>
      <c r="K89" s="139"/>
      <c r="L89" s="197"/>
      <c r="M89" s="198"/>
      <c r="N89" s="198"/>
      <c r="O89" s="139"/>
      <c r="P89" s="139"/>
      <c r="Q89" s="141">
        <v>20.5</v>
      </c>
      <c r="R89" s="187">
        <f t="shared" si="10"/>
        <v>2.06</v>
      </c>
      <c r="S89" s="181">
        <f t="shared" si="11"/>
        <v>2</v>
      </c>
      <c r="T89" s="181">
        <f t="shared" si="12"/>
        <v>4.12</v>
      </c>
      <c r="U89" s="186">
        <f t="shared" si="13"/>
        <v>83.10864</v>
      </c>
      <c r="V89" s="187">
        <f t="shared" ref="V89:W89" si="79">C89/100</f>
        <v>0.96</v>
      </c>
      <c r="W89" s="187">
        <f t="shared" si="79"/>
        <v>2.05</v>
      </c>
      <c r="X89" s="187">
        <f t="shared" si="15"/>
        <v>4.12</v>
      </c>
      <c r="Y89" s="189">
        <f t="shared" si="16"/>
        <v>8.10816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27.0" customHeight="1">
      <c r="A90" s="181">
        <v>63.0</v>
      </c>
      <c r="B90" s="191" t="s">
        <v>91</v>
      </c>
      <c r="C90" s="191">
        <v>99.0</v>
      </c>
      <c r="D90" s="191">
        <v>205.0</v>
      </c>
      <c r="E90" s="191">
        <v>207.0</v>
      </c>
      <c r="F90" s="191">
        <f t="shared" si="6"/>
        <v>0</v>
      </c>
      <c r="G90" s="191">
        <f t="shared" si="7"/>
        <v>86.1218325</v>
      </c>
      <c r="H90" s="219">
        <f t="shared" si="8"/>
        <v>86.1218325</v>
      </c>
      <c r="I90" s="218">
        <v>1.0</v>
      </c>
      <c r="J90" s="194">
        <f t="shared" si="9"/>
        <v>86.1218325</v>
      </c>
      <c r="K90" s="139"/>
      <c r="L90" s="197"/>
      <c r="M90" s="198"/>
      <c r="N90" s="198"/>
      <c r="O90" s="139"/>
      <c r="P90" s="139"/>
      <c r="Q90" s="141">
        <v>20.5</v>
      </c>
      <c r="R90" s="187">
        <f t="shared" si="10"/>
        <v>2.07</v>
      </c>
      <c r="S90" s="181">
        <f t="shared" si="11"/>
        <v>1</v>
      </c>
      <c r="T90" s="181">
        <f t="shared" si="12"/>
        <v>2.07</v>
      </c>
      <c r="U90" s="186">
        <f t="shared" si="13"/>
        <v>86.1218325</v>
      </c>
      <c r="V90" s="187">
        <f t="shared" ref="V90:W90" si="80">C90/100</f>
        <v>0.99</v>
      </c>
      <c r="W90" s="187">
        <f t="shared" si="80"/>
        <v>2.05</v>
      </c>
      <c r="X90" s="187">
        <f t="shared" si="15"/>
        <v>2.07</v>
      </c>
      <c r="Y90" s="189">
        <f t="shared" si="16"/>
        <v>4.201065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27.0" customHeight="1">
      <c r="A91" s="181">
        <v>64.0</v>
      </c>
      <c r="B91" s="191" t="s">
        <v>91</v>
      </c>
      <c r="C91" s="191">
        <v>103.0</v>
      </c>
      <c r="D91" s="191">
        <v>205.0</v>
      </c>
      <c r="E91" s="191">
        <v>206.0</v>
      </c>
      <c r="F91" s="191">
        <f t="shared" si="6"/>
        <v>0</v>
      </c>
      <c r="G91" s="191">
        <f t="shared" si="7"/>
        <v>89.168645</v>
      </c>
      <c r="H91" s="219">
        <f t="shared" si="8"/>
        <v>89.168645</v>
      </c>
      <c r="I91" s="218">
        <v>1.0</v>
      </c>
      <c r="J91" s="194">
        <f t="shared" si="9"/>
        <v>89.168645</v>
      </c>
      <c r="K91" s="139"/>
      <c r="L91" s="197"/>
      <c r="M91" s="198"/>
      <c r="N91" s="198"/>
      <c r="O91" s="139"/>
      <c r="P91" s="139"/>
      <c r="Q91" s="141">
        <v>20.5</v>
      </c>
      <c r="R91" s="187">
        <f t="shared" si="10"/>
        <v>2.06</v>
      </c>
      <c r="S91" s="181">
        <f t="shared" si="11"/>
        <v>1</v>
      </c>
      <c r="T91" s="181">
        <f t="shared" si="12"/>
        <v>2.06</v>
      </c>
      <c r="U91" s="186">
        <f t="shared" si="13"/>
        <v>89.168645</v>
      </c>
      <c r="V91" s="187">
        <f t="shared" ref="V91:W91" si="81">C91/100</f>
        <v>1.03</v>
      </c>
      <c r="W91" s="187">
        <f t="shared" si="81"/>
        <v>2.05</v>
      </c>
      <c r="X91" s="187">
        <f t="shared" si="15"/>
        <v>2.06</v>
      </c>
      <c r="Y91" s="189">
        <f t="shared" si="16"/>
        <v>4.34969</v>
      </c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ht="27.0" customHeight="1">
      <c r="A92" s="181">
        <v>65.0</v>
      </c>
      <c r="B92" s="182" t="s">
        <v>65</v>
      </c>
      <c r="C92" s="183">
        <v>95.0</v>
      </c>
      <c r="D92" s="183">
        <v>203.0</v>
      </c>
      <c r="E92" s="183">
        <v>252.0</v>
      </c>
      <c r="F92" s="183">
        <f t="shared" si="6"/>
        <v>0.8</v>
      </c>
      <c r="G92" s="183">
        <f t="shared" si="7"/>
        <v>143.36469</v>
      </c>
      <c r="H92" s="184">
        <f t="shared" si="8"/>
        <v>114.691752</v>
      </c>
      <c r="I92" s="183">
        <v>1.0</v>
      </c>
      <c r="J92" s="194">
        <f t="shared" si="9"/>
        <v>114.691752</v>
      </c>
      <c r="K92" s="139"/>
      <c r="L92" s="197"/>
      <c r="M92" s="198"/>
      <c r="N92" s="198"/>
      <c r="O92" s="139"/>
      <c r="P92" s="139"/>
      <c r="Q92" s="141">
        <v>29.5</v>
      </c>
      <c r="R92" s="187">
        <f t="shared" si="10"/>
        <v>2.52</v>
      </c>
      <c r="S92" s="181">
        <f t="shared" si="11"/>
        <v>1</v>
      </c>
      <c r="T92" s="181">
        <f t="shared" si="12"/>
        <v>2.52</v>
      </c>
      <c r="U92" s="186">
        <f t="shared" si="13"/>
        <v>143.36469</v>
      </c>
      <c r="V92" s="187">
        <f t="shared" ref="V92:W92" si="82">C92/100</f>
        <v>0.95</v>
      </c>
      <c r="W92" s="187">
        <f t="shared" si="82"/>
        <v>2.03</v>
      </c>
      <c r="X92" s="187">
        <f t="shared" si="15"/>
        <v>2.52</v>
      </c>
      <c r="Y92" s="189">
        <f t="shared" si="16"/>
        <v>4.85982</v>
      </c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27.0" customHeight="1">
      <c r="A93" s="181">
        <v>66.0</v>
      </c>
      <c r="B93" s="191" t="s">
        <v>56</v>
      </c>
      <c r="C93" s="191">
        <v>102.0</v>
      </c>
      <c r="D93" s="191">
        <v>203.0</v>
      </c>
      <c r="E93" s="191">
        <v>252.0</v>
      </c>
      <c r="F93" s="191">
        <f t="shared" si="6"/>
        <v>0</v>
      </c>
      <c r="G93" s="191">
        <f t="shared" si="7"/>
        <v>153.928404</v>
      </c>
      <c r="H93" s="219">
        <f t="shared" si="8"/>
        <v>153.928404</v>
      </c>
      <c r="I93" s="218">
        <v>1.0</v>
      </c>
      <c r="J93" s="194">
        <f t="shared" si="9"/>
        <v>153.928404</v>
      </c>
      <c r="K93" s="139"/>
      <c r="L93" s="197"/>
      <c r="M93" s="198"/>
      <c r="N93" s="198"/>
      <c r="O93" s="139"/>
      <c r="P93" s="139"/>
      <c r="Q93" s="141">
        <v>29.5</v>
      </c>
      <c r="R93" s="187">
        <f t="shared" si="10"/>
        <v>2.52</v>
      </c>
      <c r="S93" s="181">
        <f t="shared" si="11"/>
        <v>1</v>
      </c>
      <c r="T93" s="181">
        <f t="shared" si="12"/>
        <v>2.52</v>
      </c>
      <c r="U93" s="186">
        <f t="shared" si="13"/>
        <v>153.928404</v>
      </c>
      <c r="V93" s="187">
        <f t="shared" ref="V93:W93" si="83">C93/100</f>
        <v>1.02</v>
      </c>
      <c r="W93" s="187">
        <f t="shared" si="83"/>
        <v>2.03</v>
      </c>
      <c r="X93" s="187">
        <f t="shared" si="15"/>
        <v>2.52</v>
      </c>
      <c r="Y93" s="189">
        <f t="shared" si="16"/>
        <v>5.217912</v>
      </c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27.0" customHeight="1">
      <c r="A94" s="181">
        <v>67.0</v>
      </c>
      <c r="B94" s="191" t="s">
        <v>56</v>
      </c>
      <c r="C94" s="191">
        <v>99.0</v>
      </c>
      <c r="D94" s="191">
        <v>203.0</v>
      </c>
      <c r="E94" s="191">
        <v>253.0</v>
      </c>
      <c r="F94" s="191">
        <f t="shared" si="6"/>
        <v>0</v>
      </c>
      <c r="G94" s="191">
        <f t="shared" si="7"/>
        <v>149.9939595</v>
      </c>
      <c r="H94" s="219">
        <f t="shared" si="8"/>
        <v>149.9939595</v>
      </c>
      <c r="I94" s="218">
        <v>3.0</v>
      </c>
      <c r="J94" s="194">
        <f t="shared" si="9"/>
        <v>449.9818785</v>
      </c>
      <c r="K94" s="139"/>
      <c r="L94" s="197"/>
      <c r="M94" s="198"/>
      <c r="N94" s="198"/>
      <c r="O94" s="139"/>
      <c r="P94" s="139"/>
      <c r="Q94" s="141">
        <v>29.5</v>
      </c>
      <c r="R94" s="187">
        <f t="shared" si="10"/>
        <v>2.53</v>
      </c>
      <c r="S94" s="181">
        <f t="shared" si="11"/>
        <v>3</v>
      </c>
      <c r="T94" s="181">
        <f t="shared" si="12"/>
        <v>7.59</v>
      </c>
      <c r="U94" s="186">
        <f t="shared" si="13"/>
        <v>149.9939595</v>
      </c>
      <c r="V94" s="187">
        <f t="shared" ref="V94:W94" si="84">C94/100</f>
        <v>0.99</v>
      </c>
      <c r="W94" s="187">
        <f t="shared" si="84"/>
        <v>2.03</v>
      </c>
      <c r="X94" s="187">
        <f t="shared" si="15"/>
        <v>7.59</v>
      </c>
      <c r="Y94" s="189">
        <f t="shared" si="16"/>
        <v>15.253623</v>
      </c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27.0" customHeight="1">
      <c r="A95" s="181">
        <v>68.0</v>
      </c>
      <c r="B95" s="191" t="s">
        <v>56</v>
      </c>
      <c r="C95" s="191">
        <v>99.0</v>
      </c>
      <c r="D95" s="191">
        <v>203.0</v>
      </c>
      <c r="E95" s="191">
        <v>254.0</v>
      </c>
      <c r="F95" s="191">
        <f t="shared" si="6"/>
        <v>0</v>
      </c>
      <c r="G95" s="191">
        <f t="shared" si="7"/>
        <v>150.586821</v>
      </c>
      <c r="H95" s="219">
        <f t="shared" si="8"/>
        <v>150.586821</v>
      </c>
      <c r="I95" s="218">
        <v>2.0</v>
      </c>
      <c r="J95" s="194">
        <f t="shared" si="9"/>
        <v>301.173642</v>
      </c>
      <c r="K95" s="139"/>
      <c r="L95" s="197"/>
      <c r="M95" s="198"/>
      <c r="N95" s="198"/>
      <c r="O95" s="139"/>
      <c r="P95" s="139"/>
      <c r="Q95" s="141">
        <v>29.5</v>
      </c>
      <c r="R95" s="187">
        <f t="shared" si="10"/>
        <v>2.54</v>
      </c>
      <c r="S95" s="181">
        <f t="shared" si="11"/>
        <v>2</v>
      </c>
      <c r="T95" s="181">
        <f t="shared" si="12"/>
        <v>5.08</v>
      </c>
      <c r="U95" s="186">
        <f t="shared" si="13"/>
        <v>150.586821</v>
      </c>
      <c r="V95" s="187">
        <f t="shared" ref="V95:W95" si="85">C95/100</f>
        <v>0.99</v>
      </c>
      <c r="W95" s="187">
        <f t="shared" si="85"/>
        <v>2.03</v>
      </c>
      <c r="X95" s="187">
        <f t="shared" si="15"/>
        <v>5.08</v>
      </c>
      <c r="Y95" s="189">
        <f t="shared" si="16"/>
        <v>10.209276</v>
      </c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27.0" customHeight="1">
      <c r="A96" s="181">
        <v>69.0</v>
      </c>
      <c r="B96" s="191" t="s">
        <v>56</v>
      </c>
      <c r="C96" s="191">
        <v>99.0</v>
      </c>
      <c r="D96" s="191">
        <v>203.0</v>
      </c>
      <c r="E96" s="191">
        <v>264.0</v>
      </c>
      <c r="F96" s="191">
        <f t="shared" si="6"/>
        <v>0</v>
      </c>
      <c r="G96" s="191">
        <f t="shared" si="7"/>
        <v>156.515436</v>
      </c>
      <c r="H96" s="219">
        <f t="shared" si="8"/>
        <v>156.515436</v>
      </c>
      <c r="I96" s="218">
        <v>1.0</v>
      </c>
      <c r="J96" s="194">
        <f t="shared" si="9"/>
        <v>156.515436</v>
      </c>
      <c r="K96" s="139"/>
      <c r="L96" s="197"/>
      <c r="M96" s="198"/>
      <c r="N96" s="198"/>
      <c r="O96" s="139"/>
      <c r="P96" s="139"/>
      <c r="Q96" s="141">
        <v>29.5</v>
      </c>
      <c r="R96" s="187">
        <f t="shared" si="10"/>
        <v>2.64</v>
      </c>
      <c r="S96" s="181">
        <f t="shared" si="11"/>
        <v>1</v>
      </c>
      <c r="T96" s="181">
        <f t="shared" si="12"/>
        <v>2.64</v>
      </c>
      <c r="U96" s="186">
        <f t="shared" si="13"/>
        <v>156.515436</v>
      </c>
      <c r="V96" s="187">
        <f t="shared" ref="V96:W96" si="86">C96/100</f>
        <v>0.99</v>
      </c>
      <c r="W96" s="187">
        <f t="shared" si="86"/>
        <v>2.03</v>
      </c>
      <c r="X96" s="187">
        <f t="shared" si="15"/>
        <v>2.64</v>
      </c>
      <c r="Y96" s="189">
        <f t="shared" si="16"/>
        <v>5.305608</v>
      </c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27.0" customHeight="1">
      <c r="A97" s="181">
        <v>70.0</v>
      </c>
      <c r="B97" s="191" t="s">
        <v>56</v>
      </c>
      <c r="C97" s="191">
        <v>100.0</v>
      </c>
      <c r="D97" s="191">
        <v>203.0</v>
      </c>
      <c r="E97" s="191">
        <v>280.0</v>
      </c>
      <c r="F97" s="191">
        <f t="shared" si="6"/>
        <v>0</v>
      </c>
      <c r="G97" s="191">
        <f t="shared" si="7"/>
        <v>167.678</v>
      </c>
      <c r="H97" s="219">
        <f t="shared" si="8"/>
        <v>167.678</v>
      </c>
      <c r="I97" s="218">
        <v>1.0</v>
      </c>
      <c r="J97" s="194">
        <f t="shared" si="9"/>
        <v>167.678</v>
      </c>
      <c r="K97" s="139"/>
      <c r="L97" s="197"/>
      <c r="M97" s="198"/>
      <c r="N97" s="198"/>
      <c r="O97" s="139"/>
      <c r="P97" s="139"/>
      <c r="Q97" s="141">
        <v>29.5</v>
      </c>
      <c r="R97" s="187">
        <f t="shared" si="10"/>
        <v>2.8</v>
      </c>
      <c r="S97" s="181">
        <f t="shared" si="11"/>
        <v>1</v>
      </c>
      <c r="T97" s="181">
        <f t="shared" si="12"/>
        <v>2.8</v>
      </c>
      <c r="U97" s="186">
        <f t="shared" si="13"/>
        <v>167.678</v>
      </c>
      <c r="V97" s="187">
        <f t="shared" ref="V97:W97" si="87">C97/100</f>
        <v>1</v>
      </c>
      <c r="W97" s="187">
        <f t="shared" si="87"/>
        <v>2.03</v>
      </c>
      <c r="X97" s="187">
        <f t="shared" si="15"/>
        <v>2.8</v>
      </c>
      <c r="Y97" s="189">
        <f t="shared" si="16"/>
        <v>5.684</v>
      </c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27.0" customHeight="1">
      <c r="A98" s="181">
        <v>71.0</v>
      </c>
      <c r="B98" s="191" t="s">
        <v>56</v>
      </c>
      <c r="C98" s="191">
        <v>99.0</v>
      </c>
      <c r="D98" s="191">
        <v>203.0</v>
      </c>
      <c r="E98" s="191">
        <v>255.0</v>
      </c>
      <c r="F98" s="191">
        <f t="shared" si="6"/>
        <v>0</v>
      </c>
      <c r="G98" s="191">
        <f t="shared" si="7"/>
        <v>151.1796825</v>
      </c>
      <c r="H98" s="219">
        <f t="shared" si="8"/>
        <v>151.1796825</v>
      </c>
      <c r="I98" s="218">
        <v>1.0</v>
      </c>
      <c r="J98" s="194">
        <f t="shared" si="9"/>
        <v>151.1796825</v>
      </c>
      <c r="K98" s="139"/>
      <c r="L98" s="197"/>
      <c r="M98" s="198"/>
      <c r="N98" s="198"/>
      <c r="O98" s="139"/>
      <c r="P98" s="139"/>
      <c r="Q98" s="141">
        <v>29.5</v>
      </c>
      <c r="R98" s="187">
        <f t="shared" si="10"/>
        <v>2.55</v>
      </c>
      <c r="S98" s="181">
        <f t="shared" si="11"/>
        <v>1</v>
      </c>
      <c r="T98" s="181">
        <f t="shared" si="12"/>
        <v>2.55</v>
      </c>
      <c r="U98" s="186">
        <f t="shared" si="13"/>
        <v>151.1796825</v>
      </c>
      <c r="V98" s="187">
        <f t="shared" ref="V98:W98" si="88">C98/100</f>
        <v>0.99</v>
      </c>
      <c r="W98" s="187">
        <f t="shared" si="88"/>
        <v>2.03</v>
      </c>
      <c r="X98" s="187">
        <f t="shared" si="15"/>
        <v>2.55</v>
      </c>
      <c r="Y98" s="189">
        <f t="shared" si="16"/>
        <v>5.124735</v>
      </c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27.0" customHeight="1">
      <c r="A99" s="181">
        <v>72.0</v>
      </c>
      <c r="B99" s="191" t="s">
        <v>56</v>
      </c>
      <c r="C99" s="191">
        <v>100.0</v>
      </c>
      <c r="D99" s="191">
        <v>203.0</v>
      </c>
      <c r="E99" s="191">
        <v>254.0</v>
      </c>
      <c r="F99" s="191">
        <f t="shared" si="6"/>
        <v>0</v>
      </c>
      <c r="G99" s="191">
        <f t="shared" si="7"/>
        <v>152.1079</v>
      </c>
      <c r="H99" s="219">
        <f t="shared" si="8"/>
        <v>152.1079</v>
      </c>
      <c r="I99" s="218">
        <v>1.0</v>
      </c>
      <c r="J99" s="194">
        <f t="shared" si="9"/>
        <v>152.1079</v>
      </c>
      <c r="K99" s="139"/>
      <c r="L99" s="197"/>
      <c r="M99" s="198"/>
      <c r="N99" s="198"/>
      <c r="O99" s="139"/>
      <c r="P99" s="139"/>
      <c r="Q99" s="141">
        <v>29.5</v>
      </c>
      <c r="R99" s="187">
        <f t="shared" si="10"/>
        <v>2.54</v>
      </c>
      <c r="S99" s="181">
        <f t="shared" si="11"/>
        <v>1</v>
      </c>
      <c r="T99" s="181">
        <f t="shared" si="12"/>
        <v>2.54</v>
      </c>
      <c r="U99" s="186">
        <f t="shared" si="13"/>
        <v>152.1079</v>
      </c>
      <c r="V99" s="187">
        <f t="shared" ref="V99:W99" si="89">C99/100</f>
        <v>1</v>
      </c>
      <c r="W99" s="187">
        <f t="shared" si="89"/>
        <v>2.03</v>
      </c>
      <c r="X99" s="187">
        <f t="shared" si="15"/>
        <v>2.54</v>
      </c>
      <c r="Y99" s="189">
        <f t="shared" si="16"/>
        <v>5.1562</v>
      </c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27.0" customHeight="1">
      <c r="A100" s="181">
        <v>73.0</v>
      </c>
      <c r="B100" s="191" t="s">
        <v>56</v>
      </c>
      <c r="C100" s="191">
        <v>99.0</v>
      </c>
      <c r="D100" s="191">
        <v>203.0</v>
      </c>
      <c r="E100" s="191">
        <v>252.0</v>
      </c>
      <c r="F100" s="191">
        <f t="shared" si="6"/>
        <v>0</v>
      </c>
      <c r="G100" s="191">
        <f t="shared" si="7"/>
        <v>149.401098</v>
      </c>
      <c r="H100" s="219">
        <f t="shared" si="8"/>
        <v>149.401098</v>
      </c>
      <c r="I100" s="218">
        <v>6.0</v>
      </c>
      <c r="J100" s="194">
        <f t="shared" si="9"/>
        <v>896.406588</v>
      </c>
      <c r="K100" s="139"/>
      <c r="L100" s="197"/>
      <c r="M100" s="198"/>
      <c r="N100" s="198"/>
      <c r="O100" s="139"/>
      <c r="P100" s="139"/>
      <c r="Q100" s="141">
        <v>29.5</v>
      </c>
      <c r="R100" s="187">
        <f t="shared" si="10"/>
        <v>2.52</v>
      </c>
      <c r="S100" s="181">
        <f t="shared" si="11"/>
        <v>6</v>
      </c>
      <c r="T100" s="181">
        <f t="shared" si="12"/>
        <v>15.12</v>
      </c>
      <c r="U100" s="186">
        <f t="shared" si="13"/>
        <v>149.401098</v>
      </c>
      <c r="V100" s="187">
        <f t="shared" ref="V100:W100" si="90">C100/100</f>
        <v>0.99</v>
      </c>
      <c r="W100" s="187">
        <f t="shared" si="90"/>
        <v>2.03</v>
      </c>
      <c r="X100" s="187">
        <f t="shared" si="15"/>
        <v>15.12</v>
      </c>
      <c r="Y100" s="189">
        <f t="shared" si="16"/>
        <v>30.386664</v>
      </c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27.0" customHeight="1">
      <c r="A101" s="181">
        <v>74.0</v>
      </c>
      <c r="B101" s="191" t="s">
        <v>56</v>
      </c>
      <c r="C101" s="191">
        <v>100.0</v>
      </c>
      <c r="D101" s="191">
        <v>203.0</v>
      </c>
      <c r="E101" s="191">
        <v>252.0</v>
      </c>
      <c r="F101" s="191">
        <f t="shared" si="6"/>
        <v>0</v>
      </c>
      <c r="G101" s="191">
        <f t="shared" si="7"/>
        <v>150.9102</v>
      </c>
      <c r="H101" s="219">
        <f t="shared" si="8"/>
        <v>150.9102</v>
      </c>
      <c r="I101" s="218">
        <v>2.0</v>
      </c>
      <c r="J101" s="194">
        <f t="shared" si="9"/>
        <v>301.8204</v>
      </c>
      <c r="K101" s="139"/>
      <c r="L101" s="197"/>
      <c r="M101" s="198"/>
      <c r="N101" s="198"/>
      <c r="O101" s="139"/>
      <c r="P101" s="139"/>
      <c r="Q101" s="141">
        <v>29.5</v>
      </c>
      <c r="R101" s="187">
        <f t="shared" si="10"/>
        <v>2.52</v>
      </c>
      <c r="S101" s="181">
        <f t="shared" si="11"/>
        <v>2</v>
      </c>
      <c r="T101" s="181">
        <f t="shared" si="12"/>
        <v>5.04</v>
      </c>
      <c r="U101" s="186">
        <f t="shared" si="13"/>
        <v>150.9102</v>
      </c>
      <c r="V101" s="187">
        <f t="shared" ref="V101:W101" si="91">C101/100</f>
        <v>1</v>
      </c>
      <c r="W101" s="187">
        <f t="shared" si="91"/>
        <v>2.03</v>
      </c>
      <c r="X101" s="187">
        <f t="shared" si="15"/>
        <v>5.04</v>
      </c>
      <c r="Y101" s="189">
        <f t="shared" si="16"/>
        <v>10.2312</v>
      </c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27.0" customHeight="1">
      <c r="A102" s="181">
        <v>75.0</v>
      </c>
      <c r="B102" s="191" t="s">
        <v>56</v>
      </c>
      <c r="C102" s="191">
        <v>97.0</v>
      </c>
      <c r="D102" s="191">
        <v>203.0</v>
      </c>
      <c r="E102" s="191">
        <v>250.0</v>
      </c>
      <c r="F102" s="191">
        <f t="shared" si="6"/>
        <v>0</v>
      </c>
      <c r="G102" s="191">
        <f t="shared" si="7"/>
        <v>145.221125</v>
      </c>
      <c r="H102" s="219">
        <f t="shared" si="8"/>
        <v>145.221125</v>
      </c>
      <c r="I102" s="218">
        <v>1.0</v>
      </c>
      <c r="J102" s="194">
        <f t="shared" si="9"/>
        <v>145.221125</v>
      </c>
      <c r="K102" s="139"/>
      <c r="L102" s="197"/>
      <c r="M102" s="198"/>
      <c r="N102" s="198"/>
      <c r="O102" s="139"/>
      <c r="P102" s="139"/>
      <c r="Q102" s="141">
        <v>29.5</v>
      </c>
      <c r="R102" s="187">
        <f t="shared" si="10"/>
        <v>2.5</v>
      </c>
      <c r="S102" s="181">
        <f t="shared" si="11"/>
        <v>1</v>
      </c>
      <c r="T102" s="181">
        <f t="shared" si="12"/>
        <v>2.5</v>
      </c>
      <c r="U102" s="186">
        <f t="shared" si="13"/>
        <v>145.221125</v>
      </c>
      <c r="V102" s="187">
        <f t="shared" ref="V102:W102" si="92">C102/100</f>
        <v>0.97</v>
      </c>
      <c r="W102" s="187">
        <f t="shared" si="92"/>
        <v>2.03</v>
      </c>
      <c r="X102" s="187">
        <f t="shared" si="15"/>
        <v>2.5</v>
      </c>
      <c r="Y102" s="189">
        <f t="shared" si="16"/>
        <v>4.92275</v>
      </c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27.0" customHeight="1">
      <c r="A103" s="181">
        <v>76.0</v>
      </c>
      <c r="B103" s="191" t="s">
        <v>56</v>
      </c>
      <c r="C103" s="191">
        <v>99.0</v>
      </c>
      <c r="D103" s="191">
        <v>203.0</v>
      </c>
      <c r="E103" s="191">
        <v>258.0</v>
      </c>
      <c r="F103" s="191">
        <f t="shared" si="6"/>
        <v>0</v>
      </c>
      <c r="G103" s="191">
        <f t="shared" si="7"/>
        <v>152.958267</v>
      </c>
      <c r="H103" s="219">
        <f t="shared" si="8"/>
        <v>152.958267</v>
      </c>
      <c r="I103" s="218">
        <v>1.0</v>
      </c>
      <c r="J103" s="194">
        <f t="shared" si="9"/>
        <v>152.958267</v>
      </c>
      <c r="K103" s="139"/>
      <c r="L103" s="197"/>
      <c r="M103" s="198"/>
      <c r="N103" s="198"/>
      <c r="O103" s="139"/>
      <c r="P103" s="139"/>
      <c r="Q103" s="141">
        <v>29.5</v>
      </c>
      <c r="R103" s="187">
        <f t="shared" si="10"/>
        <v>2.58</v>
      </c>
      <c r="S103" s="181">
        <f t="shared" si="11"/>
        <v>1</v>
      </c>
      <c r="T103" s="181">
        <f t="shared" si="12"/>
        <v>2.58</v>
      </c>
      <c r="U103" s="186">
        <f t="shared" si="13"/>
        <v>152.958267</v>
      </c>
      <c r="V103" s="187">
        <f t="shared" ref="V103:W103" si="93">C103/100</f>
        <v>0.99</v>
      </c>
      <c r="W103" s="187">
        <f t="shared" si="93"/>
        <v>2.03</v>
      </c>
      <c r="X103" s="187">
        <f t="shared" si="15"/>
        <v>2.58</v>
      </c>
      <c r="Y103" s="189">
        <f t="shared" si="16"/>
        <v>5.185026</v>
      </c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27.0" customHeight="1">
      <c r="A104" s="181">
        <v>77.0</v>
      </c>
      <c r="B104" s="191" t="s">
        <v>56</v>
      </c>
      <c r="C104" s="191">
        <v>99.0</v>
      </c>
      <c r="D104" s="191">
        <v>203.0</v>
      </c>
      <c r="E104" s="191">
        <v>251.0</v>
      </c>
      <c r="F104" s="191">
        <f t="shared" si="6"/>
        <v>0</v>
      </c>
      <c r="G104" s="191">
        <f t="shared" si="7"/>
        <v>148.8082365</v>
      </c>
      <c r="H104" s="219">
        <f t="shared" si="8"/>
        <v>148.8082365</v>
      </c>
      <c r="I104" s="218">
        <v>1.0</v>
      </c>
      <c r="J104" s="194">
        <f t="shared" si="9"/>
        <v>148.8082365</v>
      </c>
      <c r="K104" s="139"/>
      <c r="L104" s="197"/>
      <c r="M104" s="198"/>
      <c r="N104" s="198"/>
      <c r="O104" s="139"/>
      <c r="P104" s="139"/>
      <c r="Q104" s="141">
        <v>29.5</v>
      </c>
      <c r="R104" s="187">
        <f t="shared" si="10"/>
        <v>2.51</v>
      </c>
      <c r="S104" s="181">
        <f t="shared" si="11"/>
        <v>1</v>
      </c>
      <c r="T104" s="181">
        <f t="shared" si="12"/>
        <v>2.51</v>
      </c>
      <c r="U104" s="186">
        <f t="shared" si="13"/>
        <v>148.8082365</v>
      </c>
      <c r="V104" s="187">
        <f t="shared" ref="V104:W104" si="94">C104/100</f>
        <v>0.99</v>
      </c>
      <c r="W104" s="187">
        <f t="shared" si="94"/>
        <v>2.03</v>
      </c>
      <c r="X104" s="187">
        <f t="shared" si="15"/>
        <v>2.51</v>
      </c>
      <c r="Y104" s="189">
        <f t="shared" si="16"/>
        <v>5.044347</v>
      </c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27.0" customHeight="1">
      <c r="A105" s="181">
        <v>78.0</v>
      </c>
      <c r="B105" s="191" t="s">
        <v>56</v>
      </c>
      <c r="C105" s="191">
        <v>98.0</v>
      </c>
      <c r="D105" s="191">
        <v>203.0</v>
      </c>
      <c r="E105" s="191">
        <v>252.0</v>
      </c>
      <c r="F105" s="191">
        <f t="shared" si="6"/>
        <v>0</v>
      </c>
      <c r="G105" s="191">
        <f t="shared" si="7"/>
        <v>147.891996</v>
      </c>
      <c r="H105" s="219">
        <f t="shared" si="8"/>
        <v>147.891996</v>
      </c>
      <c r="I105" s="218">
        <v>3.0</v>
      </c>
      <c r="J105" s="194">
        <f t="shared" si="9"/>
        <v>443.675988</v>
      </c>
      <c r="K105" s="139"/>
      <c r="L105" s="197"/>
      <c r="M105" s="198"/>
      <c r="N105" s="198"/>
      <c r="O105" s="139"/>
      <c r="P105" s="139"/>
      <c r="Q105" s="141">
        <v>29.5</v>
      </c>
      <c r="R105" s="187">
        <f t="shared" si="10"/>
        <v>2.52</v>
      </c>
      <c r="S105" s="181">
        <f t="shared" si="11"/>
        <v>3</v>
      </c>
      <c r="T105" s="181">
        <f t="shared" si="12"/>
        <v>7.56</v>
      </c>
      <c r="U105" s="186">
        <f t="shared" si="13"/>
        <v>147.891996</v>
      </c>
      <c r="V105" s="187">
        <f t="shared" ref="V105:W105" si="95">C105/100</f>
        <v>0.98</v>
      </c>
      <c r="W105" s="187">
        <f t="shared" si="95"/>
        <v>2.03</v>
      </c>
      <c r="X105" s="187">
        <f t="shared" si="15"/>
        <v>7.56</v>
      </c>
      <c r="Y105" s="189">
        <f t="shared" si="16"/>
        <v>15.039864</v>
      </c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27.0" customHeight="1">
      <c r="A106" s="270">
        <v>79.0</v>
      </c>
      <c r="B106" s="191" t="s">
        <v>56</v>
      </c>
      <c r="C106" s="191">
        <v>68.0</v>
      </c>
      <c r="D106" s="191">
        <v>203.0</v>
      </c>
      <c r="E106" s="191">
        <v>235.0</v>
      </c>
      <c r="F106" s="191">
        <f t="shared" si="6"/>
        <v>0</v>
      </c>
      <c r="G106" s="191">
        <f t="shared" si="7"/>
        <v>95.69623</v>
      </c>
      <c r="H106" s="192">
        <f t="shared" si="8"/>
        <v>95.69623</v>
      </c>
      <c r="I106" s="191">
        <v>1.0</v>
      </c>
      <c r="J106" s="194">
        <f t="shared" si="9"/>
        <v>95.69623</v>
      </c>
      <c r="K106" s="139"/>
      <c r="L106" s="197"/>
      <c r="M106" s="198"/>
      <c r="N106" s="198"/>
      <c r="O106" s="139"/>
      <c r="P106" s="139"/>
      <c r="Q106" s="141">
        <v>29.5</v>
      </c>
      <c r="R106" s="187">
        <f t="shared" si="10"/>
        <v>2.35</v>
      </c>
      <c r="S106" s="181">
        <f t="shared" si="11"/>
        <v>1</v>
      </c>
      <c r="T106" s="181">
        <f t="shared" si="12"/>
        <v>2.35</v>
      </c>
      <c r="U106" s="186">
        <f t="shared" si="13"/>
        <v>95.69623</v>
      </c>
      <c r="V106" s="187">
        <f t="shared" ref="V106:W106" si="96">C106/100</f>
        <v>0.68</v>
      </c>
      <c r="W106" s="187">
        <f t="shared" si="96"/>
        <v>2.03</v>
      </c>
      <c r="X106" s="187">
        <f t="shared" si="15"/>
        <v>2.35</v>
      </c>
      <c r="Y106" s="189">
        <f t="shared" si="16"/>
        <v>3.24394</v>
      </c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27.0" customHeight="1">
      <c r="A107" s="270">
        <v>80.0</v>
      </c>
      <c r="B107" s="182" t="s">
        <v>65</v>
      </c>
      <c r="C107" s="183">
        <v>96.0</v>
      </c>
      <c r="D107" s="183">
        <v>195.0</v>
      </c>
      <c r="E107" s="183">
        <v>235.0</v>
      </c>
      <c r="F107" s="183">
        <f t="shared" si="6"/>
        <v>0.8</v>
      </c>
      <c r="G107" s="183">
        <f t="shared" si="7"/>
        <v>129.7764</v>
      </c>
      <c r="H107" s="184">
        <f t="shared" si="8"/>
        <v>103.82112</v>
      </c>
      <c r="I107" s="183">
        <v>1.0</v>
      </c>
      <c r="J107" s="194">
        <f t="shared" si="9"/>
        <v>103.82112</v>
      </c>
      <c r="K107" s="139"/>
      <c r="L107" s="197"/>
      <c r="M107" s="198"/>
      <c r="N107" s="198"/>
      <c r="O107" s="139"/>
      <c r="P107" s="139"/>
      <c r="Q107" s="141">
        <v>29.5</v>
      </c>
      <c r="R107" s="187">
        <f t="shared" si="10"/>
        <v>2.35</v>
      </c>
      <c r="S107" s="181">
        <f t="shared" si="11"/>
        <v>1</v>
      </c>
      <c r="T107" s="181">
        <f t="shared" si="12"/>
        <v>2.35</v>
      </c>
      <c r="U107" s="186">
        <f t="shared" si="13"/>
        <v>129.7764</v>
      </c>
      <c r="V107" s="187">
        <f t="shared" ref="V107:W107" si="97">C107/100</f>
        <v>0.96</v>
      </c>
      <c r="W107" s="187">
        <f t="shared" si="97"/>
        <v>1.95</v>
      </c>
      <c r="X107" s="187">
        <f t="shared" si="15"/>
        <v>2.35</v>
      </c>
      <c r="Y107" s="189">
        <f t="shared" si="16"/>
        <v>4.3992</v>
      </c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27.0" customHeight="1">
      <c r="A108" s="181">
        <v>81.0</v>
      </c>
      <c r="B108" s="191" t="s">
        <v>56</v>
      </c>
      <c r="C108" s="191">
        <v>101.0</v>
      </c>
      <c r="D108" s="191">
        <v>195.0</v>
      </c>
      <c r="E108" s="191">
        <v>244.0</v>
      </c>
      <c r="F108" s="191">
        <f t="shared" si="6"/>
        <v>0</v>
      </c>
      <c r="G108" s="191">
        <f t="shared" si="7"/>
        <v>141.76461</v>
      </c>
      <c r="H108" s="219">
        <f t="shared" si="8"/>
        <v>141.76461</v>
      </c>
      <c r="I108" s="218">
        <v>5.0</v>
      </c>
      <c r="J108" s="194">
        <f t="shared" si="9"/>
        <v>708.82305</v>
      </c>
      <c r="K108" s="139"/>
      <c r="L108" s="197"/>
      <c r="M108" s="198"/>
      <c r="N108" s="198"/>
      <c r="O108" s="139"/>
      <c r="P108" s="139"/>
      <c r="Q108" s="141">
        <v>29.5</v>
      </c>
      <c r="R108" s="187">
        <f t="shared" si="10"/>
        <v>2.44</v>
      </c>
      <c r="S108" s="181">
        <f t="shared" si="11"/>
        <v>5</v>
      </c>
      <c r="T108" s="181">
        <f t="shared" si="12"/>
        <v>12.2</v>
      </c>
      <c r="U108" s="186">
        <f t="shared" si="13"/>
        <v>141.76461</v>
      </c>
      <c r="V108" s="187">
        <f t="shared" ref="V108:W108" si="98">C108/100</f>
        <v>1.01</v>
      </c>
      <c r="W108" s="187">
        <f t="shared" si="98"/>
        <v>1.95</v>
      </c>
      <c r="X108" s="187">
        <f t="shared" si="15"/>
        <v>12.2</v>
      </c>
      <c r="Y108" s="189">
        <f t="shared" si="16"/>
        <v>24.0279</v>
      </c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</row>
    <row r="109" ht="27.0" customHeight="1">
      <c r="A109" s="181">
        <v>82.0</v>
      </c>
      <c r="B109" s="191" t="s">
        <v>56</v>
      </c>
      <c r="C109" s="191">
        <v>101.0</v>
      </c>
      <c r="D109" s="191">
        <v>195.0</v>
      </c>
      <c r="E109" s="191">
        <v>245.0</v>
      </c>
      <c r="F109" s="191">
        <f t="shared" si="6"/>
        <v>0</v>
      </c>
      <c r="G109" s="191">
        <f t="shared" si="7"/>
        <v>142.3456125</v>
      </c>
      <c r="H109" s="219">
        <f t="shared" si="8"/>
        <v>142.3456125</v>
      </c>
      <c r="I109" s="218">
        <v>4.0</v>
      </c>
      <c r="J109" s="194">
        <f t="shared" si="9"/>
        <v>569.38245</v>
      </c>
      <c r="K109" s="139"/>
      <c r="L109" s="197"/>
      <c r="M109" s="198"/>
      <c r="N109" s="198"/>
      <c r="O109" s="139"/>
      <c r="P109" s="139"/>
      <c r="Q109" s="141">
        <v>29.5</v>
      </c>
      <c r="R109" s="187">
        <f t="shared" si="10"/>
        <v>2.45</v>
      </c>
      <c r="S109" s="181">
        <f t="shared" si="11"/>
        <v>4</v>
      </c>
      <c r="T109" s="181">
        <f t="shared" si="12"/>
        <v>9.8</v>
      </c>
      <c r="U109" s="186">
        <f t="shared" si="13"/>
        <v>142.3456125</v>
      </c>
      <c r="V109" s="187">
        <f t="shared" ref="V109:W109" si="99">C109/100</f>
        <v>1.01</v>
      </c>
      <c r="W109" s="187">
        <f t="shared" si="99"/>
        <v>1.95</v>
      </c>
      <c r="X109" s="187">
        <f t="shared" si="15"/>
        <v>9.8</v>
      </c>
      <c r="Y109" s="189">
        <f t="shared" si="16"/>
        <v>19.3011</v>
      </c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</row>
    <row r="110" ht="27.0" customHeight="1">
      <c r="A110" s="181">
        <v>83.0</v>
      </c>
      <c r="B110" s="191" t="s">
        <v>56</v>
      </c>
      <c r="C110" s="191">
        <v>101.0</v>
      </c>
      <c r="D110" s="191">
        <v>195.0</v>
      </c>
      <c r="E110" s="191">
        <v>201.0</v>
      </c>
      <c r="F110" s="191">
        <f t="shared" si="6"/>
        <v>0</v>
      </c>
      <c r="G110" s="191">
        <f t="shared" si="7"/>
        <v>116.7815025</v>
      </c>
      <c r="H110" s="219">
        <f t="shared" si="8"/>
        <v>116.7815025</v>
      </c>
      <c r="I110" s="218">
        <v>2.0</v>
      </c>
      <c r="J110" s="194">
        <f t="shared" si="9"/>
        <v>233.563005</v>
      </c>
      <c r="K110" s="139"/>
      <c r="L110" s="197"/>
      <c r="M110" s="198"/>
      <c r="N110" s="198"/>
      <c r="O110" s="139"/>
      <c r="P110" s="139"/>
      <c r="Q110" s="141">
        <v>29.5</v>
      </c>
      <c r="R110" s="187">
        <f t="shared" si="10"/>
        <v>2.01</v>
      </c>
      <c r="S110" s="181">
        <f t="shared" si="11"/>
        <v>2</v>
      </c>
      <c r="T110" s="181">
        <f t="shared" si="12"/>
        <v>4.02</v>
      </c>
      <c r="U110" s="186">
        <f t="shared" si="13"/>
        <v>116.7815025</v>
      </c>
      <c r="V110" s="187">
        <f t="shared" ref="V110:W110" si="100">C110/100</f>
        <v>1.01</v>
      </c>
      <c r="W110" s="187">
        <f t="shared" si="100"/>
        <v>1.95</v>
      </c>
      <c r="X110" s="187">
        <f t="shared" si="15"/>
        <v>4.02</v>
      </c>
      <c r="Y110" s="189">
        <f t="shared" si="16"/>
        <v>7.91739</v>
      </c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</row>
    <row r="111" ht="27.0" customHeight="1">
      <c r="A111" s="181">
        <v>84.0</v>
      </c>
      <c r="B111" s="191" t="s">
        <v>56</v>
      </c>
      <c r="C111" s="191">
        <v>101.0</v>
      </c>
      <c r="D111" s="191">
        <v>195.0</v>
      </c>
      <c r="E111" s="191">
        <v>203.0</v>
      </c>
      <c r="F111" s="191">
        <f t="shared" si="6"/>
        <v>0</v>
      </c>
      <c r="G111" s="191">
        <f t="shared" si="7"/>
        <v>117.9435075</v>
      </c>
      <c r="H111" s="219">
        <f t="shared" si="8"/>
        <v>117.9435075</v>
      </c>
      <c r="I111" s="218">
        <v>1.0</v>
      </c>
      <c r="J111" s="194">
        <f t="shared" si="9"/>
        <v>117.9435075</v>
      </c>
      <c r="K111" s="139"/>
      <c r="L111" s="197"/>
      <c r="M111" s="198"/>
      <c r="N111" s="198"/>
      <c r="O111" s="139"/>
      <c r="P111" s="139"/>
      <c r="Q111" s="141">
        <v>29.5</v>
      </c>
      <c r="R111" s="187">
        <f t="shared" si="10"/>
        <v>2.03</v>
      </c>
      <c r="S111" s="181">
        <f t="shared" si="11"/>
        <v>1</v>
      </c>
      <c r="T111" s="181">
        <f t="shared" si="12"/>
        <v>2.03</v>
      </c>
      <c r="U111" s="186">
        <f t="shared" si="13"/>
        <v>117.9435075</v>
      </c>
      <c r="V111" s="187">
        <f t="shared" ref="V111:W111" si="101">C111/100</f>
        <v>1.01</v>
      </c>
      <c r="W111" s="187">
        <f t="shared" si="101"/>
        <v>1.95</v>
      </c>
      <c r="X111" s="187">
        <f t="shared" si="15"/>
        <v>2.03</v>
      </c>
      <c r="Y111" s="189">
        <f t="shared" si="16"/>
        <v>3.998085</v>
      </c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</row>
    <row r="112" ht="27.0" customHeight="1">
      <c r="A112" s="181">
        <v>85.0</v>
      </c>
      <c r="B112" s="191" t="s">
        <v>56</v>
      </c>
      <c r="C112" s="191">
        <v>101.0</v>
      </c>
      <c r="D112" s="191">
        <v>195.0</v>
      </c>
      <c r="E112" s="191">
        <v>202.0</v>
      </c>
      <c r="F112" s="191">
        <f t="shared" si="6"/>
        <v>0</v>
      </c>
      <c r="G112" s="191">
        <f t="shared" si="7"/>
        <v>117.362505</v>
      </c>
      <c r="H112" s="219">
        <f t="shared" si="8"/>
        <v>117.362505</v>
      </c>
      <c r="I112" s="218">
        <v>6.0</v>
      </c>
      <c r="J112" s="194">
        <f t="shared" si="9"/>
        <v>704.17503</v>
      </c>
      <c r="K112" s="139"/>
      <c r="L112" s="197"/>
      <c r="M112" s="198"/>
      <c r="N112" s="198"/>
      <c r="O112" s="139"/>
      <c r="P112" s="139"/>
      <c r="Q112" s="141">
        <v>29.5</v>
      </c>
      <c r="R112" s="187">
        <f t="shared" si="10"/>
        <v>2.02</v>
      </c>
      <c r="S112" s="181">
        <f t="shared" si="11"/>
        <v>6</v>
      </c>
      <c r="T112" s="181">
        <f t="shared" si="12"/>
        <v>12.12</v>
      </c>
      <c r="U112" s="186">
        <f t="shared" si="13"/>
        <v>117.362505</v>
      </c>
      <c r="V112" s="187">
        <f t="shared" ref="V112:W112" si="102">C112/100</f>
        <v>1.01</v>
      </c>
      <c r="W112" s="187">
        <f t="shared" si="102"/>
        <v>1.95</v>
      </c>
      <c r="X112" s="187">
        <f t="shared" si="15"/>
        <v>12.12</v>
      </c>
      <c r="Y112" s="189">
        <f t="shared" si="16"/>
        <v>23.87034</v>
      </c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</row>
    <row r="113" ht="27.0" customHeight="1">
      <c r="A113" s="181">
        <v>86.0</v>
      </c>
      <c r="B113" s="191" t="s">
        <v>56</v>
      </c>
      <c r="C113" s="191">
        <v>101.0</v>
      </c>
      <c r="D113" s="191">
        <v>195.0</v>
      </c>
      <c r="E113" s="191">
        <v>236.0</v>
      </c>
      <c r="F113" s="191">
        <f t="shared" si="6"/>
        <v>0</v>
      </c>
      <c r="G113" s="191">
        <f t="shared" si="7"/>
        <v>137.11659</v>
      </c>
      <c r="H113" s="219">
        <f t="shared" si="8"/>
        <v>137.11659</v>
      </c>
      <c r="I113" s="218">
        <v>4.0</v>
      </c>
      <c r="J113" s="194">
        <f t="shared" si="9"/>
        <v>548.46636</v>
      </c>
      <c r="K113" s="139"/>
      <c r="L113" s="197"/>
      <c r="M113" s="198"/>
      <c r="N113" s="198"/>
      <c r="O113" s="139"/>
      <c r="P113" s="139"/>
      <c r="Q113" s="141">
        <v>29.5</v>
      </c>
      <c r="R113" s="187">
        <f t="shared" si="10"/>
        <v>2.36</v>
      </c>
      <c r="S113" s="181">
        <f t="shared" si="11"/>
        <v>4</v>
      </c>
      <c r="T113" s="181">
        <f t="shared" si="12"/>
        <v>9.44</v>
      </c>
      <c r="U113" s="186">
        <f t="shared" si="13"/>
        <v>137.11659</v>
      </c>
      <c r="V113" s="187">
        <f t="shared" ref="V113:W113" si="103">C113/100</f>
        <v>1.01</v>
      </c>
      <c r="W113" s="187">
        <f t="shared" si="103"/>
        <v>1.95</v>
      </c>
      <c r="X113" s="187">
        <f t="shared" si="15"/>
        <v>9.44</v>
      </c>
      <c r="Y113" s="189">
        <f t="shared" si="16"/>
        <v>18.59208</v>
      </c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</row>
    <row r="114" ht="27.0" customHeight="1">
      <c r="A114" s="181">
        <v>87.0</v>
      </c>
      <c r="B114" s="191" t="s">
        <v>56</v>
      </c>
      <c r="C114" s="191">
        <v>101.0</v>
      </c>
      <c r="D114" s="191">
        <v>195.0</v>
      </c>
      <c r="E114" s="191">
        <v>235.0</v>
      </c>
      <c r="F114" s="191">
        <f t="shared" si="6"/>
        <v>0</v>
      </c>
      <c r="G114" s="191">
        <f t="shared" si="7"/>
        <v>136.5355875</v>
      </c>
      <c r="H114" s="219">
        <f t="shared" si="8"/>
        <v>136.5355875</v>
      </c>
      <c r="I114" s="218">
        <v>1.0</v>
      </c>
      <c r="J114" s="194">
        <f t="shared" si="9"/>
        <v>136.5355875</v>
      </c>
      <c r="K114" s="139"/>
      <c r="L114" s="197"/>
      <c r="M114" s="198"/>
      <c r="N114" s="198"/>
      <c r="O114" s="139"/>
      <c r="P114" s="139"/>
      <c r="Q114" s="141">
        <v>29.5</v>
      </c>
      <c r="R114" s="187">
        <f t="shared" si="10"/>
        <v>2.35</v>
      </c>
      <c r="S114" s="181">
        <f t="shared" si="11"/>
        <v>1</v>
      </c>
      <c r="T114" s="181">
        <f t="shared" si="12"/>
        <v>2.35</v>
      </c>
      <c r="U114" s="186">
        <f t="shared" si="13"/>
        <v>136.5355875</v>
      </c>
      <c r="V114" s="187">
        <f t="shared" ref="V114:W114" si="104">C114/100</f>
        <v>1.01</v>
      </c>
      <c r="W114" s="187">
        <f t="shared" si="104"/>
        <v>1.95</v>
      </c>
      <c r="X114" s="187">
        <f t="shared" si="15"/>
        <v>2.35</v>
      </c>
      <c r="Y114" s="189">
        <f t="shared" si="16"/>
        <v>4.628325</v>
      </c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</row>
    <row r="115" ht="27.0" customHeight="1">
      <c r="A115" s="181">
        <v>88.0</v>
      </c>
      <c r="B115" s="191" t="s">
        <v>56</v>
      </c>
      <c r="C115" s="191">
        <v>102.0</v>
      </c>
      <c r="D115" s="191">
        <v>195.0</v>
      </c>
      <c r="E115" s="191">
        <v>236.0</v>
      </c>
      <c r="F115" s="191">
        <f t="shared" si="6"/>
        <v>0</v>
      </c>
      <c r="G115" s="191">
        <f t="shared" si="7"/>
        <v>138.47418</v>
      </c>
      <c r="H115" s="219">
        <f t="shared" si="8"/>
        <v>138.47418</v>
      </c>
      <c r="I115" s="218">
        <v>4.0</v>
      </c>
      <c r="J115" s="194">
        <f t="shared" si="9"/>
        <v>553.89672</v>
      </c>
      <c r="K115" s="139"/>
      <c r="L115" s="197"/>
      <c r="M115" s="198"/>
      <c r="N115" s="198"/>
      <c r="O115" s="139"/>
      <c r="P115" s="139"/>
      <c r="Q115" s="141">
        <v>29.5</v>
      </c>
      <c r="R115" s="187">
        <f t="shared" si="10"/>
        <v>2.36</v>
      </c>
      <c r="S115" s="181">
        <f t="shared" si="11"/>
        <v>4</v>
      </c>
      <c r="T115" s="181">
        <f t="shared" si="12"/>
        <v>9.44</v>
      </c>
      <c r="U115" s="186">
        <f t="shared" si="13"/>
        <v>138.47418</v>
      </c>
      <c r="V115" s="187">
        <f t="shared" ref="V115:W115" si="105">C115/100</f>
        <v>1.02</v>
      </c>
      <c r="W115" s="187">
        <f t="shared" si="105"/>
        <v>1.95</v>
      </c>
      <c r="X115" s="187">
        <f t="shared" si="15"/>
        <v>9.44</v>
      </c>
      <c r="Y115" s="189">
        <f t="shared" si="16"/>
        <v>18.77616</v>
      </c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</row>
    <row r="116" ht="27.0" customHeight="1">
      <c r="A116" s="181">
        <v>89.0</v>
      </c>
      <c r="B116" s="191" t="s">
        <v>56</v>
      </c>
      <c r="C116" s="191">
        <v>102.0</v>
      </c>
      <c r="D116" s="191">
        <v>195.0</v>
      </c>
      <c r="E116" s="191">
        <v>235.0</v>
      </c>
      <c r="F116" s="191">
        <f t="shared" si="6"/>
        <v>0</v>
      </c>
      <c r="G116" s="191">
        <f t="shared" si="7"/>
        <v>137.887425</v>
      </c>
      <c r="H116" s="219">
        <f t="shared" si="8"/>
        <v>137.887425</v>
      </c>
      <c r="I116" s="218">
        <v>2.0</v>
      </c>
      <c r="J116" s="194">
        <f t="shared" si="9"/>
        <v>275.77485</v>
      </c>
      <c r="K116" s="139"/>
      <c r="L116" s="197"/>
      <c r="M116" s="198"/>
      <c r="N116" s="198"/>
      <c r="O116" s="139"/>
      <c r="P116" s="139"/>
      <c r="Q116" s="141">
        <v>29.5</v>
      </c>
      <c r="R116" s="187">
        <f t="shared" si="10"/>
        <v>2.35</v>
      </c>
      <c r="S116" s="181">
        <f t="shared" si="11"/>
        <v>2</v>
      </c>
      <c r="T116" s="181">
        <f t="shared" si="12"/>
        <v>4.7</v>
      </c>
      <c r="U116" s="186">
        <f t="shared" si="13"/>
        <v>137.887425</v>
      </c>
      <c r="V116" s="187">
        <f t="shared" ref="V116:W116" si="106">C116/100</f>
        <v>1.02</v>
      </c>
      <c r="W116" s="187">
        <f t="shared" si="106"/>
        <v>1.95</v>
      </c>
      <c r="X116" s="187">
        <f t="shared" si="15"/>
        <v>4.7</v>
      </c>
      <c r="Y116" s="189">
        <f t="shared" si="16"/>
        <v>9.3483</v>
      </c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ht="27.0" customHeight="1">
      <c r="A117" s="181">
        <v>90.0</v>
      </c>
      <c r="B117" s="191" t="s">
        <v>56</v>
      </c>
      <c r="C117" s="191">
        <v>103.0</v>
      </c>
      <c r="D117" s="191">
        <v>195.0</v>
      </c>
      <c r="E117" s="191">
        <v>236.0</v>
      </c>
      <c r="F117" s="191">
        <f t="shared" si="6"/>
        <v>0</v>
      </c>
      <c r="G117" s="191">
        <f t="shared" si="7"/>
        <v>139.83177</v>
      </c>
      <c r="H117" s="219">
        <f t="shared" si="8"/>
        <v>139.83177</v>
      </c>
      <c r="I117" s="218">
        <v>2.0</v>
      </c>
      <c r="J117" s="194">
        <f t="shared" si="9"/>
        <v>279.66354</v>
      </c>
      <c r="K117" s="139"/>
      <c r="L117" s="197"/>
      <c r="M117" s="198"/>
      <c r="N117" s="198"/>
      <c r="O117" s="139"/>
      <c r="P117" s="139"/>
      <c r="Q117" s="141">
        <v>29.5</v>
      </c>
      <c r="R117" s="187">
        <f t="shared" si="10"/>
        <v>2.36</v>
      </c>
      <c r="S117" s="181">
        <f t="shared" si="11"/>
        <v>2</v>
      </c>
      <c r="T117" s="181">
        <f t="shared" si="12"/>
        <v>4.72</v>
      </c>
      <c r="U117" s="186">
        <f t="shared" si="13"/>
        <v>139.83177</v>
      </c>
      <c r="V117" s="187">
        <f t="shared" ref="V117:W117" si="107">C117/100</f>
        <v>1.03</v>
      </c>
      <c r="W117" s="187">
        <f t="shared" si="107"/>
        <v>1.95</v>
      </c>
      <c r="X117" s="187">
        <f t="shared" si="15"/>
        <v>4.72</v>
      </c>
      <c r="Y117" s="189">
        <f t="shared" si="16"/>
        <v>9.48012</v>
      </c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</row>
    <row r="118" ht="27.0" customHeight="1">
      <c r="A118" s="181">
        <v>91.0</v>
      </c>
      <c r="B118" s="191" t="s">
        <v>56</v>
      </c>
      <c r="C118" s="191">
        <v>103.0</v>
      </c>
      <c r="D118" s="191">
        <v>195.0</v>
      </c>
      <c r="E118" s="191">
        <v>235.0</v>
      </c>
      <c r="F118" s="191">
        <f t="shared" si="6"/>
        <v>0</v>
      </c>
      <c r="G118" s="191">
        <f t="shared" si="7"/>
        <v>139.2392625</v>
      </c>
      <c r="H118" s="219">
        <f t="shared" si="8"/>
        <v>139.2392625</v>
      </c>
      <c r="I118" s="218">
        <v>1.0</v>
      </c>
      <c r="J118" s="194">
        <f t="shared" si="9"/>
        <v>139.2392625</v>
      </c>
      <c r="K118" s="139"/>
      <c r="L118" s="197"/>
      <c r="M118" s="198"/>
      <c r="N118" s="198"/>
      <c r="O118" s="139"/>
      <c r="P118" s="139"/>
      <c r="Q118" s="141">
        <v>29.5</v>
      </c>
      <c r="R118" s="187">
        <f t="shared" si="10"/>
        <v>2.35</v>
      </c>
      <c r="S118" s="181">
        <f t="shared" si="11"/>
        <v>1</v>
      </c>
      <c r="T118" s="181">
        <f t="shared" si="12"/>
        <v>2.35</v>
      </c>
      <c r="U118" s="186">
        <f t="shared" si="13"/>
        <v>139.2392625</v>
      </c>
      <c r="V118" s="187">
        <f t="shared" ref="V118:W118" si="108">C118/100</f>
        <v>1.03</v>
      </c>
      <c r="W118" s="187">
        <f t="shared" si="108"/>
        <v>1.95</v>
      </c>
      <c r="X118" s="187">
        <f t="shared" si="15"/>
        <v>2.35</v>
      </c>
      <c r="Y118" s="189">
        <f t="shared" si="16"/>
        <v>4.719975</v>
      </c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</row>
    <row r="119" ht="27.0" customHeight="1">
      <c r="A119" s="181">
        <v>92.0</v>
      </c>
      <c r="B119" s="191" t="s">
        <v>56</v>
      </c>
      <c r="C119" s="191">
        <v>102.0</v>
      </c>
      <c r="D119" s="191">
        <v>195.0</v>
      </c>
      <c r="E119" s="191">
        <v>240.0</v>
      </c>
      <c r="F119" s="191">
        <f t="shared" si="6"/>
        <v>0</v>
      </c>
      <c r="G119" s="191">
        <f t="shared" si="7"/>
        <v>140.8212</v>
      </c>
      <c r="H119" s="219">
        <f t="shared" si="8"/>
        <v>140.8212</v>
      </c>
      <c r="I119" s="218">
        <v>1.0</v>
      </c>
      <c r="J119" s="194">
        <f t="shared" si="9"/>
        <v>140.8212</v>
      </c>
      <c r="K119" s="139"/>
      <c r="L119" s="197"/>
      <c r="M119" s="198"/>
      <c r="N119" s="198"/>
      <c r="O119" s="139"/>
      <c r="P119" s="139"/>
      <c r="Q119" s="141">
        <v>29.5</v>
      </c>
      <c r="R119" s="187">
        <f t="shared" si="10"/>
        <v>2.4</v>
      </c>
      <c r="S119" s="181">
        <f t="shared" si="11"/>
        <v>1</v>
      </c>
      <c r="T119" s="181">
        <f t="shared" si="12"/>
        <v>2.4</v>
      </c>
      <c r="U119" s="186">
        <f t="shared" si="13"/>
        <v>140.8212</v>
      </c>
      <c r="V119" s="187">
        <f t="shared" ref="V119:W119" si="109">C119/100</f>
        <v>1.02</v>
      </c>
      <c r="W119" s="187">
        <f t="shared" si="109"/>
        <v>1.95</v>
      </c>
      <c r="X119" s="187">
        <f t="shared" si="15"/>
        <v>2.4</v>
      </c>
      <c r="Y119" s="189">
        <f t="shared" si="16"/>
        <v>4.7736</v>
      </c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</row>
    <row r="120" ht="27.0" customHeight="1">
      <c r="A120" s="181">
        <v>93.0</v>
      </c>
      <c r="B120" s="191" t="s">
        <v>56</v>
      </c>
      <c r="C120" s="191">
        <v>99.0</v>
      </c>
      <c r="D120" s="191">
        <v>195.0</v>
      </c>
      <c r="E120" s="191">
        <v>235.0</v>
      </c>
      <c r="F120" s="191">
        <f t="shared" si="6"/>
        <v>0</v>
      </c>
      <c r="G120" s="191">
        <f t="shared" si="7"/>
        <v>133.8319125</v>
      </c>
      <c r="H120" s="219">
        <f t="shared" si="8"/>
        <v>133.8319125</v>
      </c>
      <c r="I120" s="218">
        <v>1.0</v>
      </c>
      <c r="J120" s="194">
        <f t="shared" si="9"/>
        <v>133.8319125</v>
      </c>
      <c r="K120" s="139"/>
      <c r="L120" s="197"/>
      <c r="M120" s="198"/>
      <c r="N120" s="198"/>
      <c r="O120" s="139"/>
      <c r="P120" s="139"/>
      <c r="Q120" s="141">
        <v>29.5</v>
      </c>
      <c r="R120" s="187">
        <f t="shared" si="10"/>
        <v>2.35</v>
      </c>
      <c r="S120" s="181">
        <f t="shared" si="11"/>
        <v>1</v>
      </c>
      <c r="T120" s="181">
        <f t="shared" si="12"/>
        <v>2.35</v>
      </c>
      <c r="U120" s="186">
        <f t="shared" si="13"/>
        <v>133.8319125</v>
      </c>
      <c r="V120" s="187">
        <f t="shared" ref="V120:W120" si="110">C120/100</f>
        <v>0.99</v>
      </c>
      <c r="W120" s="187">
        <f t="shared" si="110"/>
        <v>1.95</v>
      </c>
      <c r="X120" s="187">
        <f t="shared" si="15"/>
        <v>2.35</v>
      </c>
      <c r="Y120" s="189">
        <f t="shared" si="16"/>
        <v>4.536675</v>
      </c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</row>
    <row r="121" ht="27.0" customHeight="1">
      <c r="A121" s="181">
        <v>94.0</v>
      </c>
      <c r="B121" s="191" t="s">
        <v>56</v>
      </c>
      <c r="C121" s="191">
        <v>74.0</v>
      </c>
      <c r="D121" s="191">
        <v>195.0</v>
      </c>
      <c r="E121" s="191">
        <v>304.0</v>
      </c>
      <c r="F121" s="191">
        <f t="shared" si="6"/>
        <v>0</v>
      </c>
      <c r="G121" s="191">
        <f t="shared" si="7"/>
        <v>129.40824</v>
      </c>
      <c r="H121" s="219">
        <f t="shared" si="8"/>
        <v>129.40824</v>
      </c>
      <c r="I121" s="218">
        <v>1.0</v>
      </c>
      <c r="J121" s="194">
        <f t="shared" si="9"/>
        <v>129.40824</v>
      </c>
      <c r="K121" s="139"/>
      <c r="L121" s="197"/>
      <c r="M121" s="198"/>
      <c r="N121" s="198"/>
      <c r="O121" s="139"/>
      <c r="P121" s="139"/>
      <c r="Q121" s="141">
        <v>29.5</v>
      </c>
      <c r="R121" s="187">
        <f t="shared" si="10"/>
        <v>3.04</v>
      </c>
      <c r="S121" s="181">
        <f t="shared" si="11"/>
        <v>1</v>
      </c>
      <c r="T121" s="181">
        <f t="shared" si="12"/>
        <v>3.04</v>
      </c>
      <c r="U121" s="186">
        <f t="shared" si="13"/>
        <v>129.40824</v>
      </c>
      <c r="V121" s="187">
        <f t="shared" ref="V121:W121" si="111">C121/100</f>
        <v>0.74</v>
      </c>
      <c r="W121" s="187">
        <f t="shared" si="111"/>
        <v>1.95</v>
      </c>
      <c r="X121" s="187">
        <f t="shared" si="15"/>
        <v>3.04</v>
      </c>
      <c r="Y121" s="189">
        <f t="shared" si="16"/>
        <v>4.38672</v>
      </c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</row>
    <row r="122" ht="27.0" customHeight="1">
      <c r="A122" s="181">
        <v>95.0</v>
      </c>
      <c r="B122" s="191" t="s">
        <v>56</v>
      </c>
      <c r="C122" s="191">
        <v>101.0</v>
      </c>
      <c r="D122" s="191">
        <v>195.0</v>
      </c>
      <c r="E122" s="191">
        <v>237.0</v>
      </c>
      <c r="F122" s="191">
        <f t="shared" si="6"/>
        <v>0</v>
      </c>
      <c r="G122" s="191">
        <f t="shared" si="7"/>
        <v>137.6975925</v>
      </c>
      <c r="H122" s="219">
        <f t="shared" si="8"/>
        <v>137.6975925</v>
      </c>
      <c r="I122" s="218">
        <v>2.0</v>
      </c>
      <c r="J122" s="194">
        <f t="shared" si="9"/>
        <v>275.395185</v>
      </c>
      <c r="K122" s="139"/>
      <c r="L122" s="197"/>
      <c r="M122" s="198"/>
      <c r="N122" s="198"/>
      <c r="O122" s="139"/>
      <c r="P122" s="139"/>
      <c r="Q122" s="141">
        <v>29.5</v>
      </c>
      <c r="R122" s="187">
        <f t="shared" si="10"/>
        <v>2.37</v>
      </c>
      <c r="S122" s="181">
        <f t="shared" si="11"/>
        <v>2</v>
      </c>
      <c r="T122" s="181">
        <f t="shared" si="12"/>
        <v>4.74</v>
      </c>
      <c r="U122" s="186">
        <f t="shared" si="13"/>
        <v>137.6975925</v>
      </c>
      <c r="V122" s="187">
        <f t="shared" ref="V122:W122" si="112">C122/100</f>
        <v>1.01</v>
      </c>
      <c r="W122" s="187">
        <f t="shared" si="112"/>
        <v>1.95</v>
      </c>
      <c r="X122" s="187">
        <f t="shared" si="15"/>
        <v>4.74</v>
      </c>
      <c r="Y122" s="189">
        <f t="shared" si="16"/>
        <v>9.33543</v>
      </c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</row>
    <row r="123" ht="27.0" customHeight="1">
      <c r="A123" s="181">
        <v>96.0</v>
      </c>
      <c r="B123" s="191" t="s">
        <v>56</v>
      </c>
      <c r="C123" s="191">
        <v>100.0</v>
      </c>
      <c r="D123" s="191">
        <v>195.0</v>
      </c>
      <c r="E123" s="191">
        <v>203.0</v>
      </c>
      <c r="F123" s="191">
        <f t="shared" si="6"/>
        <v>0</v>
      </c>
      <c r="G123" s="191">
        <f t="shared" si="7"/>
        <v>116.77575</v>
      </c>
      <c r="H123" s="219">
        <f t="shared" si="8"/>
        <v>116.77575</v>
      </c>
      <c r="I123" s="218">
        <v>1.0</v>
      </c>
      <c r="J123" s="194">
        <f t="shared" si="9"/>
        <v>116.77575</v>
      </c>
      <c r="K123" s="139"/>
      <c r="L123" s="197"/>
      <c r="M123" s="198"/>
      <c r="N123" s="198"/>
      <c r="O123" s="139"/>
      <c r="P123" s="139"/>
      <c r="Q123" s="141">
        <v>29.5</v>
      </c>
      <c r="R123" s="187">
        <f t="shared" si="10"/>
        <v>2.03</v>
      </c>
      <c r="S123" s="181">
        <f t="shared" si="11"/>
        <v>1</v>
      </c>
      <c r="T123" s="181">
        <f t="shared" si="12"/>
        <v>2.03</v>
      </c>
      <c r="U123" s="186">
        <f t="shared" si="13"/>
        <v>116.77575</v>
      </c>
      <c r="V123" s="187">
        <f t="shared" ref="V123:W123" si="113">C123/100</f>
        <v>1</v>
      </c>
      <c r="W123" s="187">
        <f t="shared" si="113"/>
        <v>1.95</v>
      </c>
      <c r="X123" s="187">
        <f t="shared" si="15"/>
        <v>2.03</v>
      </c>
      <c r="Y123" s="189">
        <f t="shared" si="16"/>
        <v>3.9585</v>
      </c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</row>
    <row r="124" ht="27.0" customHeight="1">
      <c r="A124" s="181">
        <v>97.0</v>
      </c>
      <c r="B124" s="191" t="s">
        <v>56</v>
      </c>
      <c r="C124" s="191">
        <v>96.0</v>
      </c>
      <c r="D124" s="191">
        <v>195.0</v>
      </c>
      <c r="E124" s="191">
        <v>243.0</v>
      </c>
      <c r="F124" s="191">
        <f t="shared" si="6"/>
        <v>0</v>
      </c>
      <c r="G124" s="191">
        <f t="shared" si="7"/>
        <v>134.19432</v>
      </c>
      <c r="H124" s="219">
        <f t="shared" si="8"/>
        <v>134.19432</v>
      </c>
      <c r="I124" s="218">
        <v>1.0</v>
      </c>
      <c r="J124" s="194">
        <f t="shared" si="9"/>
        <v>134.19432</v>
      </c>
      <c r="K124" s="139"/>
      <c r="L124" s="197"/>
      <c r="M124" s="198"/>
      <c r="N124" s="198"/>
      <c r="O124" s="139"/>
      <c r="P124" s="139"/>
      <c r="Q124" s="141">
        <v>29.5</v>
      </c>
      <c r="R124" s="187">
        <f t="shared" si="10"/>
        <v>2.43</v>
      </c>
      <c r="S124" s="181">
        <f t="shared" si="11"/>
        <v>1</v>
      </c>
      <c r="T124" s="181">
        <f t="shared" si="12"/>
        <v>2.43</v>
      </c>
      <c r="U124" s="186">
        <f t="shared" si="13"/>
        <v>134.19432</v>
      </c>
      <c r="V124" s="187">
        <f t="shared" ref="V124:W124" si="114">C124/100</f>
        <v>0.96</v>
      </c>
      <c r="W124" s="187">
        <f t="shared" si="114"/>
        <v>1.95</v>
      </c>
      <c r="X124" s="187">
        <f t="shared" si="15"/>
        <v>2.43</v>
      </c>
      <c r="Y124" s="189">
        <f t="shared" si="16"/>
        <v>4.54896</v>
      </c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</row>
    <row r="125" ht="27.0" customHeight="1">
      <c r="A125" s="181">
        <v>98.0</v>
      </c>
      <c r="B125" s="182" t="s">
        <v>68</v>
      </c>
      <c r="C125" s="183">
        <v>50.0</v>
      </c>
      <c r="D125" s="183">
        <v>168.0</v>
      </c>
      <c r="E125" s="183">
        <v>165.0</v>
      </c>
      <c r="F125" s="183">
        <f t="shared" si="6"/>
        <v>0.8</v>
      </c>
      <c r="G125" s="183">
        <f t="shared" si="7"/>
        <v>40.887</v>
      </c>
      <c r="H125" s="184">
        <f t="shared" si="8"/>
        <v>32.7096</v>
      </c>
      <c r="I125" s="183">
        <v>1.0</v>
      </c>
      <c r="J125" s="194">
        <f t="shared" si="9"/>
        <v>32.7096</v>
      </c>
      <c r="K125" s="139"/>
      <c r="L125" s="197"/>
      <c r="M125" s="198"/>
      <c r="N125" s="198"/>
      <c r="O125" s="139"/>
      <c r="P125" s="139"/>
      <c r="Q125" s="141">
        <v>29.5</v>
      </c>
      <c r="R125" s="187">
        <f t="shared" si="10"/>
        <v>1.65</v>
      </c>
      <c r="S125" s="181">
        <f t="shared" si="11"/>
        <v>1</v>
      </c>
      <c r="T125" s="181">
        <f t="shared" si="12"/>
        <v>1.65</v>
      </c>
      <c r="U125" s="186">
        <f t="shared" si="13"/>
        <v>40.887</v>
      </c>
      <c r="V125" s="187">
        <f t="shared" ref="V125:W125" si="115">C125/100</f>
        <v>0.5</v>
      </c>
      <c r="W125" s="187">
        <f t="shared" si="115"/>
        <v>1.68</v>
      </c>
      <c r="X125" s="187">
        <f t="shared" si="15"/>
        <v>1.65</v>
      </c>
      <c r="Y125" s="189">
        <f t="shared" si="16"/>
        <v>1.386</v>
      </c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</row>
    <row r="126" ht="27.0" customHeight="1">
      <c r="A126" s="181">
        <v>99.0</v>
      </c>
      <c r="B126" s="191" t="s">
        <v>58</v>
      </c>
      <c r="C126" s="191">
        <v>80.0</v>
      </c>
      <c r="D126" s="191">
        <v>168.0</v>
      </c>
      <c r="E126" s="191">
        <v>167.0</v>
      </c>
      <c r="F126" s="191">
        <f t="shared" si="6"/>
        <v>0</v>
      </c>
      <c r="G126" s="191">
        <f t="shared" si="7"/>
        <v>66.21216</v>
      </c>
      <c r="H126" s="219">
        <f t="shared" si="8"/>
        <v>66.21216</v>
      </c>
      <c r="I126" s="218">
        <v>1.0</v>
      </c>
      <c r="J126" s="194">
        <f t="shared" si="9"/>
        <v>66.21216</v>
      </c>
      <c r="K126" s="139"/>
      <c r="L126" s="197"/>
      <c r="M126" s="198"/>
      <c r="N126" s="198"/>
      <c r="O126" s="139"/>
      <c r="P126" s="139"/>
      <c r="Q126" s="141">
        <v>29.5</v>
      </c>
      <c r="R126" s="187">
        <f t="shared" si="10"/>
        <v>1.67</v>
      </c>
      <c r="S126" s="181">
        <f t="shared" si="11"/>
        <v>1</v>
      </c>
      <c r="T126" s="181">
        <f t="shared" si="12"/>
        <v>1.67</v>
      </c>
      <c r="U126" s="186">
        <f t="shared" si="13"/>
        <v>66.21216</v>
      </c>
      <c r="V126" s="187">
        <f t="shared" ref="V126:W126" si="116">C126/100</f>
        <v>0.8</v>
      </c>
      <c r="W126" s="187">
        <f t="shared" si="116"/>
        <v>1.68</v>
      </c>
      <c r="X126" s="187">
        <f t="shared" si="15"/>
        <v>1.67</v>
      </c>
      <c r="Y126" s="189">
        <f t="shared" si="16"/>
        <v>2.24448</v>
      </c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</row>
    <row r="127" ht="27.0" customHeight="1">
      <c r="A127" s="181">
        <v>100.0</v>
      </c>
      <c r="B127" s="191" t="s">
        <v>58</v>
      </c>
      <c r="C127" s="191">
        <v>90.0</v>
      </c>
      <c r="D127" s="191">
        <v>168.0</v>
      </c>
      <c r="E127" s="191">
        <v>167.0</v>
      </c>
      <c r="F127" s="191">
        <f t="shared" si="6"/>
        <v>0</v>
      </c>
      <c r="G127" s="191">
        <f t="shared" si="7"/>
        <v>74.48868</v>
      </c>
      <c r="H127" s="219">
        <f t="shared" si="8"/>
        <v>74.48868</v>
      </c>
      <c r="I127" s="218">
        <v>1.0</v>
      </c>
      <c r="J127" s="194">
        <f t="shared" si="9"/>
        <v>74.48868</v>
      </c>
      <c r="K127" s="139"/>
      <c r="L127" s="197"/>
      <c r="M127" s="198"/>
      <c r="N127" s="198"/>
      <c r="O127" s="139"/>
      <c r="P127" s="139"/>
      <c r="Q127" s="141">
        <v>29.5</v>
      </c>
      <c r="R127" s="187">
        <f t="shared" si="10"/>
        <v>1.67</v>
      </c>
      <c r="S127" s="181">
        <f t="shared" si="11"/>
        <v>1</v>
      </c>
      <c r="T127" s="181">
        <f t="shared" si="12"/>
        <v>1.67</v>
      </c>
      <c r="U127" s="186">
        <f t="shared" si="13"/>
        <v>74.48868</v>
      </c>
      <c r="V127" s="187">
        <f t="shared" ref="V127:W127" si="117">C127/100</f>
        <v>0.9</v>
      </c>
      <c r="W127" s="187">
        <f t="shared" si="117"/>
        <v>1.68</v>
      </c>
      <c r="X127" s="187">
        <f t="shared" si="15"/>
        <v>1.67</v>
      </c>
      <c r="Y127" s="189">
        <f t="shared" si="16"/>
        <v>2.52504</v>
      </c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</row>
    <row r="128" ht="27.0" customHeight="1">
      <c r="A128" s="181">
        <v>101.0</v>
      </c>
      <c r="B128" s="191" t="s">
        <v>58</v>
      </c>
      <c r="C128" s="191">
        <v>73.0</v>
      </c>
      <c r="D128" s="191">
        <v>168.0</v>
      </c>
      <c r="E128" s="191">
        <v>170.0</v>
      </c>
      <c r="F128" s="191">
        <f t="shared" si="6"/>
        <v>0</v>
      </c>
      <c r="G128" s="191">
        <f t="shared" si="7"/>
        <v>61.50396</v>
      </c>
      <c r="H128" s="219">
        <f t="shared" si="8"/>
        <v>61.50396</v>
      </c>
      <c r="I128" s="218">
        <v>1.0</v>
      </c>
      <c r="J128" s="194">
        <f t="shared" si="9"/>
        <v>61.50396</v>
      </c>
      <c r="K128" s="139"/>
      <c r="L128" s="197"/>
      <c r="M128" s="198"/>
      <c r="N128" s="198"/>
      <c r="O128" s="139"/>
      <c r="P128" s="139"/>
      <c r="Q128" s="141">
        <v>29.5</v>
      </c>
      <c r="R128" s="187">
        <f t="shared" si="10"/>
        <v>1.7</v>
      </c>
      <c r="S128" s="181">
        <f t="shared" si="11"/>
        <v>1</v>
      </c>
      <c r="T128" s="181">
        <f t="shared" si="12"/>
        <v>1.7</v>
      </c>
      <c r="U128" s="186">
        <f t="shared" si="13"/>
        <v>61.50396</v>
      </c>
      <c r="V128" s="187">
        <f t="shared" ref="V128:W128" si="118">C128/100</f>
        <v>0.73</v>
      </c>
      <c r="W128" s="187">
        <f t="shared" si="118"/>
        <v>1.68</v>
      </c>
      <c r="X128" s="187">
        <f t="shared" si="15"/>
        <v>1.7</v>
      </c>
      <c r="Y128" s="189">
        <f t="shared" si="16"/>
        <v>2.08488</v>
      </c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</row>
    <row r="129" ht="27.0" customHeight="1">
      <c r="A129" s="181">
        <v>102.0</v>
      </c>
      <c r="B129" s="191" t="s">
        <v>58</v>
      </c>
      <c r="C129" s="191">
        <v>78.0</v>
      </c>
      <c r="D129" s="191">
        <v>168.0</v>
      </c>
      <c r="E129" s="191">
        <v>186.0</v>
      </c>
      <c r="F129" s="191">
        <f t="shared" si="6"/>
        <v>0</v>
      </c>
      <c r="G129" s="191">
        <f t="shared" si="7"/>
        <v>71.901648</v>
      </c>
      <c r="H129" s="219">
        <f t="shared" si="8"/>
        <v>71.901648</v>
      </c>
      <c r="I129" s="218">
        <v>1.0</v>
      </c>
      <c r="J129" s="194">
        <f t="shared" si="9"/>
        <v>71.901648</v>
      </c>
      <c r="K129" s="139"/>
      <c r="L129" s="197"/>
      <c r="M129" s="198"/>
      <c r="N129" s="198"/>
      <c r="O129" s="139"/>
      <c r="P129" s="139"/>
      <c r="Q129" s="141">
        <v>29.5</v>
      </c>
      <c r="R129" s="187">
        <f t="shared" si="10"/>
        <v>1.86</v>
      </c>
      <c r="S129" s="181">
        <f t="shared" si="11"/>
        <v>1</v>
      </c>
      <c r="T129" s="181">
        <f t="shared" si="12"/>
        <v>1.86</v>
      </c>
      <c r="U129" s="186">
        <f t="shared" si="13"/>
        <v>71.901648</v>
      </c>
      <c r="V129" s="187">
        <f t="shared" ref="V129:W129" si="119">C129/100</f>
        <v>0.78</v>
      </c>
      <c r="W129" s="187">
        <f t="shared" si="119"/>
        <v>1.68</v>
      </c>
      <c r="X129" s="187">
        <f t="shared" si="15"/>
        <v>1.86</v>
      </c>
      <c r="Y129" s="189">
        <f t="shared" si="16"/>
        <v>2.437344</v>
      </c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</row>
    <row r="130" ht="27.0" customHeight="1">
      <c r="A130" s="181">
        <v>103.0</v>
      </c>
      <c r="B130" s="191" t="s">
        <v>58</v>
      </c>
      <c r="C130" s="191">
        <v>96.0</v>
      </c>
      <c r="D130" s="191">
        <v>168.0</v>
      </c>
      <c r="E130" s="191">
        <v>170.0</v>
      </c>
      <c r="F130" s="191">
        <f t="shared" si="6"/>
        <v>0</v>
      </c>
      <c r="G130" s="191">
        <f t="shared" si="7"/>
        <v>80.88192</v>
      </c>
      <c r="H130" s="219">
        <f t="shared" si="8"/>
        <v>80.88192</v>
      </c>
      <c r="I130" s="218">
        <v>1.0</v>
      </c>
      <c r="J130" s="194">
        <f t="shared" si="9"/>
        <v>80.88192</v>
      </c>
      <c r="K130" s="139"/>
      <c r="L130" s="197"/>
      <c r="M130" s="198"/>
      <c r="N130" s="198"/>
      <c r="O130" s="139"/>
      <c r="P130" s="139"/>
      <c r="Q130" s="141">
        <v>29.5</v>
      </c>
      <c r="R130" s="187">
        <f t="shared" si="10"/>
        <v>1.7</v>
      </c>
      <c r="S130" s="181">
        <f t="shared" si="11"/>
        <v>1</v>
      </c>
      <c r="T130" s="181">
        <f t="shared" si="12"/>
        <v>1.7</v>
      </c>
      <c r="U130" s="186">
        <f t="shared" si="13"/>
        <v>80.88192</v>
      </c>
      <c r="V130" s="187">
        <f t="shared" ref="V130:W130" si="120">C130/100</f>
        <v>0.96</v>
      </c>
      <c r="W130" s="187">
        <f t="shared" si="120"/>
        <v>1.68</v>
      </c>
      <c r="X130" s="187">
        <f t="shared" si="15"/>
        <v>1.7</v>
      </c>
      <c r="Y130" s="189">
        <f t="shared" si="16"/>
        <v>2.74176</v>
      </c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</row>
    <row r="131" ht="27.0" customHeight="1">
      <c r="A131" s="181">
        <v>104.0</v>
      </c>
      <c r="B131" s="191" t="s">
        <v>58</v>
      </c>
      <c r="C131" s="191">
        <v>89.0</v>
      </c>
      <c r="D131" s="191">
        <v>168.0</v>
      </c>
      <c r="E131" s="191">
        <v>165.0</v>
      </c>
      <c r="F131" s="191">
        <f t="shared" si="6"/>
        <v>0</v>
      </c>
      <c r="G131" s="191">
        <f t="shared" si="7"/>
        <v>72.77886</v>
      </c>
      <c r="H131" s="219">
        <f t="shared" si="8"/>
        <v>72.77886</v>
      </c>
      <c r="I131" s="218">
        <v>1.0</v>
      </c>
      <c r="J131" s="194">
        <f t="shared" si="9"/>
        <v>72.77886</v>
      </c>
      <c r="K131" s="139"/>
      <c r="L131" s="197"/>
      <c r="M131" s="198"/>
      <c r="N131" s="198"/>
      <c r="O131" s="139"/>
      <c r="P131" s="139"/>
      <c r="Q131" s="141">
        <v>29.5</v>
      </c>
      <c r="R131" s="187">
        <f t="shared" si="10"/>
        <v>1.65</v>
      </c>
      <c r="S131" s="181">
        <f t="shared" si="11"/>
        <v>1</v>
      </c>
      <c r="T131" s="181">
        <f t="shared" si="12"/>
        <v>1.65</v>
      </c>
      <c r="U131" s="186">
        <f t="shared" si="13"/>
        <v>72.77886</v>
      </c>
      <c r="V131" s="187">
        <f t="shared" ref="V131:W131" si="121">C131/100</f>
        <v>0.89</v>
      </c>
      <c r="W131" s="187">
        <f t="shared" si="121"/>
        <v>1.68</v>
      </c>
      <c r="X131" s="187">
        <f t="shared" si="15"/>
        <v>1.65</v>
      </c>
      <c r="Y131" s="189">
        <f t="shared" si="16"/>
        <v>2.46708</v>
      </c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</row>
    <row r="132" ht="27.0" customHeight="1">
      <c r="A132" s="181">
        <v>105.0</v>
      </c>
      <c r="B132" s="191" t="s">
        <v>58</v>
      </c>
      <c r="C132" s="191">
        <v>97.0</v>
      </c>
      <c r="D132" s="191">
        <v>168.0</v>
      </c>
      <c r="E132" s="191">
        <v>170.0</v>
      </c>
      <c r="F132" s="191">
        <f t="shared" si="6"/>
        <v>0</v>
      </c>
      <c r="G132" s="191">
        <f t="shared" si="7"/>
        <v>81.72444</v>
      </c>
      <c r="H132" s="219">
        <f t="shared" si="8"/>
        <v>81.72444</v>
      </c>
      <c r="I132" s="218">
        <v>1.0</v>
      </c>
      <c r="J132" s="194">
        <f t="shared" si="9"/>
        <v>81.72444</v>
      </c>
      <c r="K132" s="139"/>
      <c r="L132" s="197"/>
      <c r="M132" s="198"/>
      <c r="N132" s="198"/>
      <c r="O132" s="139"/>
      <c r="P132" s="139"/>
      <c r="Q132" s="141">
        <v>29.5</v>
      </c>
      <c r="R132" s="187">
        <f t="shared" si="10"/>
        <v>1.7</v>
      </c>
      <c r="S132" s="181">
        <f t="shared" si="11"/>
        <v>1</v>
      </c>
      <c r="T132" s="181">
        <f t="shared" si="12"/>
        <v>1.7</v>
      </c>
      <c r="U132" s="186">
        <f t="shared" si="13"/>
        <v>81.72444</v>
      </c>
      <c r="V132" s="187">
        <f t="shared" ref="V132:W132" si="122">C132/100</f>
        <v>0.97</v>
      </c>
      <c r="W132" s="187">
        <f t="shared" si="122"/>
        <v>1.68</v>
      </c>
      <c r="X132" s="187">
        <f t="shared" si="15"/>
        <v>1.7</v>
      </c>
      <c r="Y132" s="189">
        <f t="shared" si="16"/>
        <v>2.77032</v>
      </c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</row>
    <row r="133" ht="27.0" customHeight="1">
      <c r="A133" s="181">
        <v>106.0</v>
      </c>
      <c r="B133" s="191" t="s">
        <v>58</v>
      </c>
      <c r="C133" s="191">
        <v>95.0</v>
      </c>
      <c r="D133" s="191">
        <v>168.0</v>
      </c>
      <c r="E133" s="191">
        <v>167.0</v>
      </c>
      <c r="F133" s="191">
        <f t="shared" si="6"/>
        <v>0</v>
      </c>
      <c r="G133" s="191">
        <f t="shared" si="7"/>
        <v>78.62694</v>
      </c>
      <c r="H133" s="219">
        <f t="shared" si="8"/>
        <v>78.62694</v>
      </c>
      <c r="I133" s="218">
        <v>1.0</v>
      </c>
      <c r="J133" s="194">
        <f t="shared" si="9"/>
        <v>78.62694</v>
      </c>
      <c r="K133" s="139"/>
      <c r="L133" s="197"/>
      <c r="M133" s="198"/>
      <c r="N133" s="198"/>
      <c r="O133" s="139"/>
      <c r="P133" s="139"/>
      <c r="Q133" s="141">
        <v>29.5</v>
      </c>
      <c r="R133" s="187">
        <f t="shared" si="10"/>
        <v>1.67</v>
      </c>
      <c r="S133" s="181">
        <f t="shared" si="11"/>
        <v>1</v>
      </c>
      <c r="T133" s="181">
        <f t="shared" si="12"/>
        <v>1.67</v>
      </c>
      <c r="U133" s="186">
        <f t="shared" si="13"/>
        <v>78.62694</v>
      </c>
      <c r="V133" s="187">
        <f t="shared" ref="V133:W133" si="123">C133/100</f>
        <v>0.95</v>
      </c>
      <c r="W133" s="187">
        <f t="shared" si="123"/>
        <v>1.68</v>
      </c>
      <c r="X133" s="187">
        <f t="shared" si="15"/>
        <v>1.67</v>
      </c>
      <c r="Y133" s="189">
        <f t="shared" si="16"/>
        <v>2.66532</v>
      </c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</row>
    <row r="134" ht="27.0" customHeight="1">
      <c r="A134" s="181">
        <v>107.0</v>
      </c>
      <c r="B134" s="191" t="s">
        <v>58</v>
      </c>
      <c r="C134" s="191">
        <v>87.0</v>
      </c>
      <c r="D134" s="191">
        <v>168.0</v>
      </c>
      <c r="E134" s="191">
        <v>167.0</v>
      </c>
      <c r="F134" s="191">
        <f t="shared" si="6"/>
        <v>0</v>
      </c>
      <c r="G134" s="191">
        <f t="shared" si="7"/>
        <v>72.005724</v>
      </c>
      <c r="H134" s="219">
        <f t="shared" si="8"/>
        <v>72.005724</v>
      </c>
      <c r="I134" s="218">
        <v>1.0</v>
      </c>
      <c r="J134" s="194">
        <f t="shared" si="9"/>
        <v>72.005724</v>
      </c>
      <c r="K134" s="139"/>
      <c r="L134" s="197"/>
      <c r="M134" s="198"/>
      <c r="N134" s="198"/>
      <c r="O134" s="139"/>
      <c r="P134" s="139"/>
      <c r="Q134" s="141">
        <v>29.5</v>
      </c>
      <c r="R134" s="187">
        <f t="shared" si="10"/>
        <v>1.67</v>
      </c>
      <c r="S134" s="181">
        <f t="shared" si="11"/>
        <v>1</v>
      </c>
      <c r="T134" s="181">
        <f t="shared" si="12"/>
        <v>1.67</v>
      </c>
      <c r="U134" s="186">
        <f t="shared" si="13"/>
        <v>72.005724</v>
      </c>
      <c r="V134" s="187">
        <f t="shared" ref="V134:W134" si="124">C134/100</f>
        <v>0.87</v>
      </c>
      <c r="W134" s="187">
        <f t="shared" si="124"/>
        <v>1.68</v>
      </c>
      <c r="X134" s="187">
        <f t="shared" si="15"/>
        <v>1.67</v>
      </c>
      <c r="Y134" s="189">
        <f t="shared" si="16"/>
        <v>2.440872</v>
      </c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</row>
    <row r="135" ht="27.0" customHeight="1">
      <c r="A135" s="181">
        <v>108.0</v>
      </c>
      <c r="B135" s="191" t="s">
        <v>58</v>
      </c>
      <c r="C135" s="191">
        <v>94.0</v>
      </c>
      <c r="D135" s="191">
        <v>168.0</v>
      </c>
      <c r="E135" s="191">
        <v>170.0</v>
      </c>
      <c r="F135" s="191">
        <f t="shared" si="6"/>
        <v>0</v>
      </c>
      <c r="G135" s="191">
        <f t="shared" si="7"/>
        <v>79.19688</v>
      </c>
      <c r="H135" s="219">
        <f t="shared" si="8"/>
        <v>79.19688</v>
      </c>
      <c r="I135" s="218">
        <v>4.0</v>
      </c>
      <c r="J135" s="194">
        <f t="shared" si="9"/>
        <v>316.78752</v>
      </c>
      <c r="K135" s="139"/>
      <c r="L135" s="197"/>
      <c r="M135" s="198"/>
      <c r="N135" s="198"/>
      <c r="O135" s="139"/>
      <c r="P135" s="139"/>
      <c r="Q135" s="141">
        <v>29.5</v>
      </c>
      <c r="R135" s="187">
        <f t="shared" si="10"/>
        <v>1.7</v>
      </c>
      <c r="S135" s="181">
        <f t="shared" si="11"/>
        <v>4</v>
      </c>
      <c r="T135" s="181">
        <f t="shared" si="12"/>
        <v>6.8</v>
      </c>
      <c r="U135" s="186">
        <f t="shared" si="13"/>
        <v>79.19688</v>
      </c>
      <c r="V135" s="187">
        <f t="shared" ref="V135:W135" si="125">C135/100</f>
        <v>0.94</v>
      </c>
      <c r="W135" s="187">
        <f t="shared" si="125"/>
        <v>1.68</v>
      </c>
      <c r="X135" s="187">
        <f t="shared" si="15"/>
        <v>6.8</v>
      </c>
      <c r="Y135" s="189">
        <f t="shared" si="16"/>
        <v>10.73856</v>
      </c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</row>
    <row r="136" ht="27.0" customHeight="1">
      <c r="A136" s="181">
        <v>109.0</v>
      </c>
      <c r="B136" s="182" t="s">
        <v>68</v>
      </c>
      <c r="C136" s="183">
        <v>79.0</v>
      </c>
      <c r="D136" s="183">
        <v>168.0</v>
      </c>
      <c r="E136" s="183">
        <v>170.0</v>
      </c>
      <c r="F136" s="183">
        <f t="shared" si="6"/>
        <v>0.8</v>
      </c>
      <c r="G136" s="183">
        <f t="shared" si="7"/>
        <v>66.55908</v>
      </c>
      <c r="H136" s="184">
        <f t="shared" si="8"/>
        <v>53.247264</v>
      </c>
      <c r="I136" s="183">
        <v>1.0</v>
      </c>
      <c r="J136" s="194">
        <f t="shared" si="9"/>
        <v>53.247264</v>
      </c>
      <c r="K136" s="139"/>
      <c r="L136" s="197"/>
      <c r="M136" s="198"/>
      <c r="N136" s="198"/>
      <c r="O136" s="139"/>
      <c r="P136" s="139"/>
      <c r="Q136" s="141">
        <v>29.5</v>
      </c>
      <c r="R136" s="187">
        <f t="shared" si="10"/>
        <v>1.7</v>
      </c>
      <c r="S136" s="181">
        <f t="shared" si="11"/>
        <v>1</v>
      </c>
      <c r="T136" s="181">
        <f t="shared" si="12"/>
        <v>1.7</v>
      </c>
      <c r="U136" s="186">
        <f t="shared" si="13"/>
        <v>66.55908</v>
      </c>
      <c r="V136" s="187">
        <f t="shared" ref="V136:W136" si="126">C136/100</f>
        <v>0.79</v>
      </c>
      <c r="W136" s="187">
        <f t="shared" si="126"/>
        <v>1.68</v>
      </c>
      <c r="X136" s="187">
        <f t="shared" si="15"/>
        <v>1.7</v>
      </c>
      <c r="Y136" s="189">
        <f t="shared" si="16"/>
        <v>2.25624</v>
      </c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</row>
    <row r="137" ht="27.0" customHeight="1">
      <c r="A137" s="181">
        <v>110.0</v>
      </c>
      <c r="B137" s="191" t="s">
        <v>58</v>
      </c>
      <c r="C137" s="191">
        <v>93.0</v>
      </c>
      <c r="D137" s="191">
        <v>168.0</v>
      </c>
      <c r="E137" s="191">
        <v>155.0</v>
      </c>
      <c r="F137" s="191">
        <f t="shared" si="6"/>
        <v>0</v>
      </c>
      <c r="G137" s="191">
        <f t="shared" si="7"/>
        <v>71.44074</v>
      </c>
      <c r="H137" s="219">
        <f t="shared" si="8"/>
        <v>71.44074</v>
      </c>
      <c r="I137" s="218">
        <v>1.0</v>
      </c>
      <c r="J137" s="194">
        <f t="shared" si="9"/>
        <v>71.44074</v>
      </c>
      <c r="K137" s="139"/>
      <c r="L137" s="197"/>
      <c r="M137" s="198"/>
      <c r="N137" s="198"/>
      <c r="O137" s="139"/>
      <c r="P137" s="139"/>
      <c r="Q137" s="141">
        <v>29.5</v>
      </c>
      <c r="R137" s="187">
        <f t="shared" si="10"/>
        <v>1.55</v>
      </c>
      <c r="S137" s="181">
        <f t="shared" si="11"/>
        <v>1</v>
      </c>
      <c r="T137" s="181">
        <f t="shared" si="12"/>
        <v>1.55</v>
      </c>
      <c r="U137" s="186">
        <f t="shared" si="13"/>
        <v>71.44074</v>
      </c>
      <c r="V137" s="187">
        <f t="shared" ref="V137:W137" si="127">C137/100</f>
        <v>0.93</v>
      </c>
      <c r="W137" s="187">
        <f t="shared" si="127"/>
        <v>1.68</v>
      </c>
      <c r="X137" s="187">
        <f t="shared" si="15"/>
        <v>1.55</v>
      </c>
      <c r="Y137" s="189">
        <f t="shared" si="16"/>
        <v>2.42172</v>
      </c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</row>
    <row r="138" ht="27.0" customHeight="1">
      <c r="A138" s="181">
        <v>111.0</v>
      </c>
      <c r="B138" s="191" t="s">
        <v>58</v>
      </c>
      <c r="C138" s="191">
        <v>91.0</v>
      </c>
      <c r="D138" s="191">
        <v>168.0</v>
      </c>
      <c r="E138" s="191">
        <v>152.0</v>
      </c>
      <c r="F138" s="191">
        <f t="shared" si="6"/>
        <v>0</v>
      </c>
      <c r="G138" s="191">
        <f t="shared" si="7"/>
        <v>68.551392</v>
      </c>
      <c r="H138" s="219">
        <f t="shared" si="8"/>
        <v>68.551392</v>
      </c>
      <c r="I138" s="218">
        <v>1.0</v>
      </c>
      <c r="J138" s="194">
        <f t="shared" si="9"/>
        <v>68.551392</v>
      </c>
      <c r="K138" s="139"/>
      <c r="L138" s="197"/>
      <c r="M138" s="198"/>
      <c r="N138" s="198"/>
      <c r="O138" s="139"/>
      <c r="P138" s="139"/>
      <c r="Q138" s="141">
        <v>29.5</v>
      </c>
      <c r="R138" s="187">
        <f t="shared" si="10"/>
        <v>1.52</v>
      </c>
      <c r="S138" s="181">
        <f t="shared" si="11"/>
        <v>1</v>
      </c>
      <c r="T138" s="181">
        <f t="shared" si="12"/>
        <v>1.52</v>
      </c>
      <c r="U138" s="186">
        <f t="shared" si="13"/>
        <v>68.551392</v>
      </c>
      <c r="V138" s="187">
        <f t="shared" ref="V138:W138" si="128">C138/100</f>
        <v>0.91</v>
      </c>
      <c r="W138" s="187">
        <f t="shared" si="128"/>
        <v>1.68</v>
      </c>
      <c r="X138" s="187">
        <f t="shared" si="15"/>
        <v>1.52</v>
      </c>
      <c r="Y138" s="189">
        <f t="shared" si="16"/>
        <v>2.323776</v>
      </c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</row>
    <row r="139" ht="27.0" customHeight="1">
      <c r="A139" s="181">
        <v>112.0</v>
      </c>
      <c r="B139" s="191" t="s">
        <v>58</v>
      </c>
      <c r="C139" s="191">
        <v>92.0</v>
      </c>
      <c r="D139" s="191">
        <v>168.0</v>
      </c>
      <c r="E139" s="191">
        <v>153.0</v>
      </c>
      <c r="F139" s="191">
        <f t="shared" si="6"/>
        <v>0</v>
      </c>
      <c r="G139" s="191">
        <f t="shared" si="7"/>
        <v>69.760656</v>
      </c>
      <c r="H139" s="219">
        <f t="shared" si="8"/>
        <v>69.760656</v>
      </c>
      <c r="I139" s="218">
        <v>1.0</v>
      </c>
      <c r="J139" s="194">
        <f t="shared" si="9"/>
        <v>69.760656</v>
      </c>
      <c r="K139" s="139"/>
      <c r="L139" s="197"/>
      <c r="M139" s="198"/>
      <c r="N139" s="198"/>
      <c r="O139" s="139"/>
      <c r="P139" s="139"/>
      <c r="Q139" s="141">
        <v>29.5</v>
      </c>
      <c r="R139" s="187">
        <f t="shared" si="10"/>
        <v>1.53</v>
      </c>
      <c r="S139" s="181">
        <f t="shared" si="11"/>
        <v>1</v>
      </c>
      <c r="T139" s="181">
        <f t="shared" si="12"/>
        <v>1.53</v>
      </c>
      <c r="U139" s="186">
        <f t="shared" si="13"/>
        <v>69.760656</v>
      </c>
      <c r="V139" s="187">
        <f t="shared" ref="V139:W139" si="129">C139/100</f>
        <v>0.92</v>
      </c>
      <c r="W139" s="187">
        <f t="shared" si="129"/>
        <v>1.68</v>
      </c>
      <c r="X139" s="187">
        <f t="shared" si="15"/>
        <v>1.53</v>
      </c>
      <c r="Y139" s="189">
        <f t="shared" si="16"/>
        <v>2.364768</v>
      </c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</row>
    <row r="140" ht="27.0" customHeight="1">
      <c r="A140" s="181">
        <v>113.0</v>
      </c>
      <c r="B140" s="191" t="s">
        <v>58</v>
      </c>
      <c r="C140" s="191">
        <v>94.0</v>
      </c>
      <c r="D140" s="191">
        <v>168.0</v>
      </c>
      <c r="E140" s="191">
        <v>153.0</v>
      </c>
      <c r="F140" s="191">
        <f t="shared" si="6"/>
        <v>0</v>
      </c>
      <c r="G140" s="191">
        <f t="shared" si="7"/>
        <v>71.277192</v>
      </c>
      <c r="H140" s="219">
        <f t="shared" si="8"/>
        <v>71.277192</v>
      </c>
      <c r="I140" s="218">
        <v>2.0</v>
      </c>
      <c r="J140" s="194">
        <f t="shared" si="9"/>
        <v>142.554384</v>
      </c>
      <c r="K140" s="139"/>
      <c r="L140" s="197"/>
      <c r="M140" s="198"/>
      <c r="N140" s="198"/>
      <c r="O140" s="139"/>
      <c r="P140" s="139"/>
      <c r="Q140" s="141">
        <v>29.5</v>
      </c>
      <c r="R140" s="187">
        <f t="shared" si="10"/>
        <v>1.53</v>
      </c>
      <c r="S140" s="181">
        <f t="shared" si="11"/>
        <v>2</v>
      </c>
      <c r="T140" s="181">
        <f t="shared" si="12"/>
        <v>3.06</v>
      </c>
      <c r="U140" s="186">
        <f t="shared" si="13"/>
        <v>71.277192</v>
      </c>
      <c r="V140" s="187">
        <f t="shared" ref="V140:W140" si="130">C140/100</f>
        <v>0.94</v>
      </c>
      <c r="W140" s="187">
        <f t="shared" si="130"/>
        <v>1.68</v>
      </c>
      <c r="X140" s="187">
        <f t="shared" si="15"/>
        <v>3.06</v>
      </c>
      <c r="Y140" s="189">
        <f t="shared" si="16"/>
        <v>4.832352</v>
      </c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</row>
    <row r="141" ht="27.0" customHeight="1">
      <c r="A141" s="181">
        <v>114.0</v>
      </c>
      <c r="B141" s="191" t="s">
        <v>58</v>
      </c>
      <c r="C141" s="191">
        <v>75.0</v>
      </c>
      <c r="D141" s="191">
        <v>168.0</v>
      </c>
      <c r="E141" s="191">
        <v>200.0</v>
      </c>
      <c r="F141" s="191">
        <f t="shared" si="6"/>
        <v>0</v>
      </c>
      <c r="G141" s="191">
        <f t="shared" si="7"/>
        <v>74.34</v>
      </c>
      <c r="H141" s="219">
        <f t="shared" si="8"/>
        <v>74.34</v>
      </c>
      <c r="I141" s="218">
        <v>1.0</v>
      </c>
      <c r="J141" s="194">
        <f t="shared" si="9"/>
        <v>74.34</v>
      </c>
      <c r="K141" s="139"/>
      <c r="L141" s="197"/>
      <c r="M141" s="198"/>
      <c r="N141" s="198"/>
      <c r="O141" s="139"/>
      <c r="P141" s="139"/>
      <c r="Q141" s="141">
        <v>29.5</v>
      </c>
      <c r="R141" s="187">
        <f t="shared" si="10"/>
        <v>2</v>
      </c>
      <c r="S141" s="181">
        <f t="shared" si="11"/>
        <v>1</v>
      </c>
      <c r="T141" s="181">
        <f t="shared" si="12"/>
        <v>2</v>
      </c>
      <c r="U141" s="186">
        <f t="shared" si="13"/>
        <v>74.34</v>
      </c>
      <c r="V141" s="187">
        <f t="shared" ref="V141:W141" si="131">C141/100</f>
        <v>0.75</v>
      </c>
      <c r="W141" s="187">
        <f t="shared" si="131"/>
        <v>1.68</v>
      </c>
      <c r="X141" s="187">
        <f t="shared" si="15"/>
        <v>2</v>
      </c>
      <c r="Y141" s="189">
        <f t="shared" si="16"/>
        <v>2.52</v>
      </c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</row>
    <row r="142" ht="27.0" customHeight="1">
      <c r="A142" s="181">
        <v>115.0</v>
      </c>
      <c r="B142" s="191" t="s">
        <v>58</v>
      </c>
      <c r="C142" s="191">
        <v>94.0</v>
      </c>
      <c r="D142" s="191">
        <v>168.0</v>
      </c>
      <c r="E142" s="191">
        <v>152.0</v>
      </c>
      <c r="F142" s="191">
        <f t="shared" si="6"/>
        <v>0</v>
      </c>
      <c r="G142" s="191">
        <f t="shared" si="7"/>
        <v>70.811328</v>
      </c>
      <c r="H142" s="219">
        <f t="shared" si="8"/>
        <v>70.811328</v>
      </c>
      <c r="I142" s="218">
        <v>1.0</v>
      </c>
      <c r="J142" s="194">
        <f t="shared" si="9"/>
        <v>70.811328</v>
      </c>
      <c r="K142" s="139"/>
      <c r="L142" s="197"/>
      <c r="M142" s="198"/>
      <c r="N142" s="198"/>
      <c r="O142" s="139"/>
      <c r="P142" s="139"/>
      <c r="Q142" s="141">
        <v>29.5</v>
      </c>
      <c r="R142" s="187">
        <f t="shared" si="10"/>
        <v>1.52</v>
      </c>
      <c r="S142" s="181">
        <f t="shared" si="11"/>
        <v>1</v>
      </c>
      <c r="T142" s="181">
        <f t="shared" si="12"/>
        <v>1.52</v>
      </c>
      <c r="U142" s="186">
        <f t="shared" si="13"/>
        <v>70.811328</v>
      </c>
      <c r="V142" s="187">
        <f t="shared" ref="V142:W142" si="132">C142/100</f>
        <v>0.94</v>
      </c>
      <c r="W142" s="187">
        <f t="shared" si="132"/>
        <v>1.68</v>
      </c>
      <c r="X142" s="187">
        <f t="shared" si="15"/>
        <v>1.52</v>
      </c>
      <c r="Y142" s="189">
        <f t="shared" si="16"/>
        <v>2.400384</v>
      </c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</row>
    <row r="143" ht="27.0" customHeight="1">
      <c r="A143" s="181">
        <v>116.0</v>
      </c>
      <c r="B143" s="191" t="s">
        <v>58</v>
      </c>
      <c r="C143" s="191">
        <v>89.0</v>
      </c>
      <c r="D143" s="191">
        <v>168.0</v>
      </c>
      <c r="E143" s="191">
        <v>170.0</v>
      </c>
      <c r="F143" s="191">
        <f t="shared" si="6"/>
        <v>0</v>
      </c>
      <c r="G143" s="191">
        <f t="shared" si="7"/>
        <v>74.98428</v>
      </c>
      <c r="H143" s="219">
        <f t="shared" si="8"/>
        <v>74.98428</v>
      </c>
      <c r="I143" s="218">
        <v>1.0</v>
      </c>
      <c r="J143" s="194">
        <f t="shared" si="9"/>
        <v>74.98428</v>
      </c>
      <c r="K143" s="139"/>
      <c r="L143" s="197"/>
      <c r="M143" s="198"/>
      <c r="N143" s="198"/>
      <c r="O143" s="139"/>
      <c r="P143" s="139"/>
      <c r="Q143" s="141">
        <v>29.5</v>
      </c>
      <c r="R143" s="187">
        <f t="shared" si="10"/>
        <v>1.7</v>
      </c>
      <c r="S143" s="181">
        <f t="shared" si="11"/>
        <v>1</v>
      </c>
      <c r="T143" s="181">
        <f t="shared" si="12"/>
        <v>1.7</v>
      </c>
      <c r="U143" s="186">
        <f t="shared" si="13"/>
        <v>74.98428</v>
      </c>
      <c r="V143" s="187">
        <f t="shared" ref="V143:W143" si="133">C143/100</f>
        <v>0.89</v>
      </c>
      <c r="W143" s="187">
        <f t="shared" si="133"/>
        <v>1.68</v>
      </c>
      <c r="X143" s="187">
        <f t="shared" si="15"/>
        <v>1.7</v>
      </c>
      <c r="Y143" s="189">
        <f t="shared" si="16"/>
        <v>2.54184</v>
      </c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</row>
    <row r="144" ht="27.0" customHeight="1">
      <c r="A144" s="181">
        <v>117.0</v>
      </c>
      <c r="B144" s="191" t="s">
        <v>58</v>
      </c>
      <c r="C144" s="191">
        <v>87.0</v>
      </c>
      <c r="D144" s="191">
        <v>168.0</v>
      </c>
      <c r="E144" s="191">
        <v>170.0</v>
      </c>
      <c r="F144" s="191">
        <f t="shared" si="6"/>
        <v>0</v>
      </c>
      <c r="G144" s="191">
        <f t="shared" si="7"/>
        <v>73.29924</v>
      </c>
      <c r="H144" s="219">
        <f t="shared" si="8"/>
        <v>73.29924</v>
      </c>
      <c r="I144" s="218">
        <v>1.0</v>
      </c>
      <c r="J144" s="194">
        <f t="shared" si="9"/>
        <v>73.29924</v>
      </c>
      <c r="K144" s="139"/>
      <c r="L144" s="197"/>
      <c r="M144" s="198"/>
      <c r="N144" s="198"/>
      <c r="O144" s="139"/>
      <c r="P144" s="139"/>
      <c r="Q144" s="141">
        <v>29.5</v>
      </c>
      <c r="R144" s="187">
        <f t="shared" si="10"/>
        <v>1.7</v>
      </c>
      <c r="S144" s="181">
        <f t="shared" si="11"/>
        <v>1</v>
      </c>
      <c r="T144" s="181">
        <f t="shared" si="12"/>
        <v>1.7</v>
      </c>
      <c r="U144" s="186">
        <f t="shared" si="13"/>
        <v>73.29924</v>
      </c>
      <c r="V144" s="187">
        <f t="shared" ref="V144:W144" si="134">C144/100</f>
        <v>0.87</v>
      </c>
      <c r="W144" s="187">
        <f t="shared" si="134"/>
        <v>1.68</v>
      </c>
      <c r="X144" s="187">
        <f t="shared" si="15"/>
        <v>1.7</v>
      </c>
      <c r="Y144" s="189">
        <f t="shared" si="16"/>
        <v>2.48472</v>
      </c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</row>
    <row r="145" ht="27.0" customHeight="1">
      <c r="A145" s="181">
        <v>118.0</v>
      </c>
      <c r="B145" s="182" t="s">
        <v>92</v>
      </c>
      <c r="C145" s="183">
        <v>82.0</v>
      </c>
      <c r="D145" s="183">
        <v>207.0</v>
      </c>
      <c r="E145" s="183">
        <v>286.0</v>
      </c>
      <c r="F145" s="183">
        <f t="shared" si="6"/>
        <v>0.8</v>
      </c>
      <c r="G145" s="183">
        <f t="shared" si="7"/>
        <v>152.918766</v>
      </c>
      <c r="H145" s="184">
        <f t="shared" si="8"/>
        <v>122.3350128</v>
      </c>
      <c r="I145" s="183">
        <v>1.0</v>
      </c>
      <c r="J145" s="194">
        <f t="shared" si="9"/>
        <v>122.3350128</v>
      </c>
      <c r="K145" s="139"/>
      <c r="L145" s="197"/>
      <c r="M145" s="198"/>
      <c r="N145" s="198"/>
      <c r="O145" s="139"/>
      <c r="P145" s="139"/>
      <c r="Q145" s="141">
        <v>31.5</v>
      </c>
      <c r="R145" s="187">
        <f t="shared" si="10"/>
        <v>2.86</v>
      </c>
      <c r="S145" s="181">
        <f t="shared" si="11"/>
        <v>1</v>
      </c>
      <c r="T145" s="181">
        <f t="shared" si="12"/>
        <v>2.86</v>
      </c>
      <c r="U145" s="186">
        <f t="shared" si="13"/>
        <v>152.918766</v>
      </c>
      <c r="V145" s="187">
        <f t="shared" ref="V145:W145" si="135">C145/100</f>
        <v>0.82</v>
      </c>
      <c r="W145" s="187">
        <f t="shared" si="135"/>
        <v>2.07</v>
      </c>
      <c r="X145" s="187">
        <f t="shared" si="15"/>
        <v>2.86</v>
      </c>
      <c r="Y145" s="189">
        <f t="shared" si="16"/>
        <v>4.854564</v>
      </c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</row>
    <row r="146" ht="27.0" customHeight="1">
      <c r="A146" s="181">
        <v>119.0</v>
      </c>
      <c r="B146" s="191" t="s">
        <v>84</v>
      </c>
      <c r="C146" s="191">
        <v>101.0</v>
      </c>
      <c r="D146" s="191">
        <v>207.0</v>
      </c>
      <c r="E146" s="191">
        <v>285.0</v>
      </c>
      <c r="F146" s="191">
        <f t="shared" si="6"/>
        <v>0</v>
      </c>
      <c r="G146" s="191">
        <f t="shared" si="7"/>
        <v>187.6925925</v>
      </c>
      <c r="H146" s="219">
        <f t="shared" si="8"/>
        <v>187.6925925</v>
      </c>
      <c r="I146" s="218">
        <v>2.0</v>
      </c>
      <c r="J146" s="194">
        <f t="shared" si="9"/>
        <v>375.385185</v>
      </c>
      <c r="K146" s="139"/>
      <c r="L146" s="197"/>
      <c r="M146" s="198"/>
      <c r="N146" s="198"/>
      <c r="O146" s="139"/>
      <c r="P146" s="139"/>
      <c r="Q146" s="141">
        <v>31.5</v>
      </c>
      <c r="R146" s="187">
        <f t="shared" si="10"/>
        <v>2.85</v>
      </c>
      <c r="S146" s="181">
        <f t="shared" si="11"/>
        <v>2</v>
      </c>
      <c r="T146" s="181">
        <f t="shared" si="12"/>
        <v>5.7</v>
      </c>
      <c r="U146" s="186">
        <f t="shared" si="13"/>
        <v>187.6925925</v>
      </c>
      <c r="V146" s="187">
        <f t="shared" ref="V146:W146" si="136">C146/100</f>
        <v>1.01</v>
      </c>
      <c r="W146" s="187">
        <f t="shared" si="136"/>
        <v>2.07</v>
      </c>
      <c r="X146" s="187">
        <f t="shared" si="15"/>
        <v>5.7</v>
      </c>
      <c r="Y146" s="189">
        <f t="shared" si="16"/>
        <v>11.91699</v>
      </c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</row>
    <row r="147" ht="27.0" customHeight="1">
      <c r="A147" s="181">
        <v>120.0</v>
      </c>
      <c r="B147" s="191" t="s">
        <v>84</v>
      </c>
      <c r="C147" s="191">
        <v>100.0</v>
      </c>
      <c r="D147" s="191">
        <v>207.0</v>
      </c>
      <c r="E147" s="191">
        <v>286.0</v>
      </c>
      <c r="F147" s="191">
        <f t="shared" si="6"/>
        <v>0</v>
      </c>
      <c r="G147" s="191">
        <f t="shared" si="7"/>
        <v>186.4863</v>
      </c>
      <c r="H147" s="219">
        <f t="shared" si="8"/>
        <v>186.4863</v>
      </c>
      <c r="I147" s="218">
        <v>3.0</v>
      </c>
      <c r="J147" s="194">
        <f t="shared" si="9"/>
        <v>559.4589</v>
      </c>
      <c r="K147" s="139"/>
      <c r="L147" s="197"/>
      <c r="M147" s="198"/>
      <c r="N147" s="198"/>
      <c r="O147" s="139"/>
      <c r="P147" s="139"/>
      <c r="Q147" s="141">
        <v>31.5</v>
      </c>
      <c r="R147" s="187">
        <f t="shared" si="10"/>
        <v>2.86</v>
      </c>
      <c r="S147" s="181">
        <f t="shared" si="11"/>
        <v>3</v>
      </c>
      <c r="T147" s="181">
        <f t="shared" si="12"/>
        <v>8.58</v>
      </c>
      <c r="U147" s="186">
        <f t="shared" si="13"/>
        <v>186.4863</v>
      </c>
      <c r="V147" s="187">
        <f t="shared" ref="V147:W147" si="137">C147/100</f>
        <v>1</v>
      </c>
      <c r="W147" s="187">
        <f t="shared" si="137"/>
        <v>2.07</v>
      </c>
      <c r="X147" s="187">
        <f t="shared" si="15"/>
        <v>8.58</v>
      </c>
      <c r="Y147" s="189">
        <f t="shared" si="16"/>
        <v>17.7606</v>
      </c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</row>
    <row r="148" ht="27.0" customHeight="1">
      <c r="A148" s="181">
        <v>121.0</v>
      </c>
      <c r="B148" s="191" t="s">
        <v>84</v>
      </c>
      <c r="C148" s="191">
        <v>100.0</v>
      </c>
      <c r="D148" s="191">
        <v>207.0</v>
      </c>
      <c r="E148" s="191">
        <v>285.0</v>
      </c>
      <c r="F148" s="191">
        <f t="shared" si="6"/>
        <v>0</v>
      </c>
      <c r="G148" s="191">
        <f t="shared" si="7"/>
        <v>185.83425</v>
      </c>
      <c r="H148" s="219">
        <f t="shared" si="8"/>
        <v>185.83425</v>
      </c>
      <c r="I148" s="218">
        <v>3.0</v>
      </c>
      <c r="J148" s="194">
        <f t="shared" si="9"/>
        <v>557.50275</v>
      </c>
      <c r="K148" s="139"/>
      <c r="L148" s="197"/>
      <c r="M148" s="198"/>
      <c r="N148" s="198"/>
      <c r="O148" s="139"/>
      <c r="P148" s="139"/>
      <c r="Q148" s="141">
        <v>31.5</v>
      </c>
      <c r="R148" s="187">
        <f t="shared" si="10"/>
        <v>2.85</v>
      </c>
      <c r="S148" s="181">
        <f t="shared" si="11"/>
        <v>3</v>
      </c>
      <c r="T148" s="181">
        <f t="shared" si="12"/>
        <v>8.55</v>
      </c>
      <c r="U148" s="186">
        <f t="shared" si="13"/>
        <v>185.83425</v>
      </c>
      <c r="V148" s="187">
        <f t="shared" ref="V148:W148" si="138">C148/100</f>
        <v>1</v>
      </c>
      <c r="W148" s="187">
        <f t="shared" si="138"/>
        <v>2.07</v>
      </c>
      <c r="X148" s="187">
        <f t="shared" si="15"/>
        <v>8.55</v>
      </c>
      <c r="Y148" s="189">
        <f t="shared" si="16"/>
        <v>17.6985</v>
      </c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</row>
    <row r="149" ht="27.0" customHeight="1">
      <c r="A149" s="181">
        <v>122.0</v>
      </c>
      <c r="B149" s="191" t="s">
        <v>84</v>
      </c>
      <c r="C149" s="191">
        <v>101.0</v>
      </c>
      <c r="D149" s="191">
        <v>207.0</v>
      </c>
      <c r="E149" s="191">
        <v>284.0</v>
      </c>
      <c r="F149" s="191">
        <f t="shared" si="6"/>
        <v>0</v>
      </c>
      <c r="G149" s="191">
        <f t="shared" si="7"/>
        <v>187.034022</v>
      </c>
      <c r="H149" s="219">
        <f t="shared" si="8"/>
        <v>187.034022</v>
      </c>
      <c r="I149" s="218">
        <v>1.0</v>
      </c>
      <c r="J149" s="194">
        <f t="shared" si="9"/>
        <v>187.034022</v>
      </c>
      <c r="K149" s="139"/>
      <c r="L149" s="197"/>
      <c r="M149" s="198"/>
      <c r="N149" s="198"/>
      <c r="O149" s="139"/>
      <c r="P149" s="139"/>
      <c r="Q149" s="141">
        <v>31.5</v>
      </c>
      <c r="R149" s="187">
        <f t="shared" si="10"/>
        <v>2.84</v>
      </c>
      <c r="S149" s="181">
        <f t="shared" si="11"/>
        <v>1</v>
      </c>
      <c r="T149" s="181">
        <f t="shared" si="12"/>
        <v>2.84</v>
      </c>
      <c r="U149" s="186">
        <f t="shared" si="13"/>
        <v>187.034022</v>
      </c>
      <c r="V149" s="187">
        <f t="shared" ref="V149:W149" si="139">C149/100</f>
        <v>1.01</v>
      </c>
      <c r="W149" s="187">
        <f t="shared" si="139"/>
        <v>2.07</v>
      </c>
      <c r="X149" s="187">
        <f t="shared" si="15"/>
        <v>2.84</v>
      </c>
      <c r="Y149" s="189">
        <f t="shared" si="16"/>
        <v>5.937588</v>
      </c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</row>
    <row r="150" ht="27.0" customHeight="1">
      <c r="A150" s="181">
        <v>123.0</v>
      </c>
      <c r="B150" s="191" t="s">
        <v>84</v>
      </c>
      <c r="C150" s="191">
        <v>85.0</v>
      </c>
      <c r="D150" s="191">
        <v>207.0</v>
      </c>
      <c r="E150" s="191">
        <v>235.0</v>
      </c>
      <c r="F150" s="191">
        <f t="shared" si="6"/>
        <v>0</v>
      </c>
      <c r="G150" s="191">
        <f t="shared" si="7"/>
        <v>130.2469875</v>
      </c>
      <c r="H150" s="219">
        <f t="shared" si="8"/>
        <v>130.2469875</v>
      </c>
      <c r="I150" s="218">
        <v>1.0</v>
      </c>
      <c r="J150" s="194">
        <f t="shared" si="9"/>
        <v>130.2469875</v>
      </c>
      <c r="K150" s="139"/>
      <c r="L150" s="197"/>
      <c r="M150" s="198"/>
      <c r="N150" s="198"/>
      <c r="O150" s="139"/>
      <c r="P150" s="139"/>
      <c r="Q150" s="141">
        <v>31.5</v>
      </c>
      <c r="R150" s="187">
        <f t="shared" si="10"/>
        <v>2.35</v>
      </c>
      <c r="S150" s="181">
        <f t="shared" si="11"/>
        <v>1</v>
      </c>
      <c r="T150" s="181">
        <f t="shared" si="12"/>
        <v>2.35</v>
      </c>
      <c r="U150" s="186">
        <f t="shared" si="13"/>
        <v>130.2469875</v>
      </c>
      <c r="V150" s="187">
        <f t="shared" ref="V150:W150" si="140">C150/100</f>
        <v>0.85</v>
      </c>
      <c r="W150" s="187">
        <f t="shared" si="140"/>
        <v>2.07</v>
      </c>
      <c r="X150" s="187">
        <f t="shared" si="15"/>
        <v>2.35</v>
      </c>
      <c r="Y150" s="189">
        <f t="shared" si="16"/>
        <v>4.134825</v>
      </c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</row>
    <row r="151" ht="27.0" customHeight="1">
      <c r="A151" s="181">
        <v>124.0</v>
      </c>
      <c r="B151" s="191" t="s">
        <v>84</v>
      </c>
      <c r="C151" s="191">
        <v>98.0</v>
      </c>
      <c r="D151" s="191">
        <v>207.0</v>
      </c>
      <c r="E151" s="191">
        <v>286.0</v>
      </c>
      <c r="F151" s="191">
        <f t="shared" si="6"/>
        <v>0</v>
      </c>
      <c r="G151" s="191">
        <f t="shared" si="7"/>
        <v>182.756574</v>
      </c>
      <c r="H151" s="219">
        <f t="shared" si="8"/>
        <v>182.756574</v>
      </c>
      <c r="I151" s="218">
        <v>1.0</v>
      </c>
      <c r="J151" s="194">
        <f t="shared" si="9"/>
        <v>182.756574</v>
      </c>
      <c r="K151" s="139"/>
      <c r="L151" s="197"/>
      <c r="M151" s="198"/>
      <c r="N151" s="198"/>
      <c r="O151" s="139"/>
      <c r="P151" s="139"/>
      <c r="Q151" s="141">
        <v>31.5</v>
      </c>
      <c r="R151" s="187">
        <f t="shared" si="10"/>
        <v>2.86</v>
      </c>
      <c r="S151" s="181">
        <f t="shared" si="11"/>
        <v>1</v>
      </c>
      <c r="T151" s="181">
        <f t="shared" si="12"/>
        <v>2.86</v>
      </c>
      <c r="U151" s="186">
        <f t="shared" si="13"/>
        <v>182.756574</v>
      </c>
      <c r="V151" s="187">
        <f t="shared" ref="V151:W151" si="141">C151/100</f>
        <v>0.98</v>
      </c>
      <c r="W151" s="187">
        <f t="shared" si="141"/>
        <v>2.07</v>
      </c>
      <c r="X151" s="187">
        <f t="shared" si="15"/>
        <v>2.86</v>
      </c>
      <c r="Y151" s="189">
        <f t="shared" si="16"/>
        <v>5.801796</v>
      </c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</row>
    <row r="152" ht="27.0" customHeight="1">
      <c r="A152" s="181">
        <v>125.0</v>
      </c>
      <c r="B152" s="191" t="s">
        <v>84</v>
      </c>
      <c r="C152" s="191">
        <v>98.0</v>
      </c>
      <c r="D152" s="191">
        <v>207.0</v>
      </c>
      <c r="E152" s="191">
        <v>284.0</v>
      </c>
      <c r="F152" s="191">
        <f t="shared" si="6"/>
        <v>0</v>
      </c>
      <c r="G152" s="191">
        <f t="shared" si="7"/>
        <v>181.478556</v>
      </c>
      <c r="H152" s="219">
        <f t="shared" si="8"/>
        <v>181.478556</v>
      </c>
      <c r="I152" s="218">
        <v>1.0</v>
      </c>
      <c r="J152" s="194">
        <f t="shared" si="9"/>
        <v>181.478556</v>
      </c>
      <c r="K152" s="139"/>
      <c r="L152" s="197"/>
      <c r="M152" s="198"/>
      <c r="N152" s="198"/>
      <c r="O152" s="139"/>
      <c r="P152" s="139"/>
      <c r="Q152" s="141">
        <v>31.5</v>
      </c>
      <c r="R152" s="187">
        <f t="shared" si="10"/>
        <v>2.84</v>
      </c>
      <c r="S152" s="181">
        <f t="shared" si="11"/>
        <v>1</v>
      </c>
      <c r="T152" s="181">
        <f t="shared" si="12"/>
        <v>2.84</v>
      </c>
      <c r="U152" s="186">
        <f t="shared" si="13"/>
        <v>181.478556</v>
      </c>
      <c r="V152" s="187">
        <f t="shared" ref="V152:W152" si="142">C152/100</f>
        <v>0.98</v>
      </c>
      <c r="W152" s="187">
        <f t="shared" si="142"/>
        <v>2.07</v>
      </c>
      <c r="X152" s="187">
        <f t="shared" si="15"/>
        <v>2.84</v>
      </c>
      <c r="Y152" s="189">
        <f t="shared" si="16"/>
        <v>5.761224</v>
      </c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</row>
    <row r="153" ht="27.0" customHeight="1">
      <c r="A153" s="181">
        <v>126.0</v>
      </c>
      <c r="B153" s="191" t="s">
        <v>84</v>
      </c>
      <c r="C153" s="191">
        <v>98.0</v>
      </c>
      <c r="D153" s="191">
        <v>207.0</v>
      </c>
      <c r="E153" s="191">
        <v>285.0</v>
      </c>
      <c r="F153" s="191">
        <f t="shared" si="6"/>
        <v>0</v>
      </c>
      <c r="G153" s="191">
        <f t="shared" si="7"/>
        <v>182.117565</v>
      </c>
      <c r="H153" s="219">
        <f t="shared" si="8"/>
        <v>182.117565</v>
      </c>
      <c r="I153" s="218">
        <v>1.0</v>
      </c>
      <c r="J153" s="194">
        <f t="shared" si="9"/>
        <v>182.117565</v>
      </c>
      <c r="K153" s="139"/>
      <c r="L153" s="197"/>
      <c r="M153" s="198"/>
      <c r="N153" s="198"/>
      <c r="O153" s="139"/>
      <c r="P153" s="139"/>
      <c r="Q153" s="141">
        <v>31.5</v>
      </c>
      <c r="R153" s="187">
        <f t="shared" si="10"/>
        <v>2.85</v>
      </c>
      <c r="S153" s="181">
        <f t="shared" si="11"/>
        <v>1</v>
      </c>
      <c r="T153" s="181">
        <f t="shared" si="12"/>
        <v>2.85</v>
      </c>
      <c r="U153" s="186">
        <f t="shared" si="13"/>
        <v>182.117565</v>
      </c>
      <c r="V153" s="187">
        <f t="shared" ref="V153:W153" si="143">C153/100</f>
        <v>0.98</v>
      </c>
      <c r="W153" s="187">
        <f t="shared" si="143"/>
        <v>2.07</v>
      </c>
      <c r="X153" s="187">
        <f t="shared" si="15"/>
        <v>2.85</v>
      </c>
      <c r="Y153" s="189">
        <f t="shared" si="16"/>
        <v>5.78151</v>
      </c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</row>
    <row r="154" ht="27.0" customHeight="1">
      <c r="A154" s="181">
        <v>127.0</v>
      </c>
      <c r="B154" s="191" t="s">
        <v>84</v>
      </c>
      <c r="C154" s="191">
        <v>99.0</v>
      </c>
      <c r="D154" s="191">
        <v>207.0</v>
      </c>
      <c r="E154" s="191">
        <v>285.0</v>
      </c>
      <c r="F154" s="191">
        <f t="shared" si="6"/>
        <v>0</v>
      </c>
      <c r="G154" s="191">
        <f t="shared" si="7"/>
        <v>183.9759075</v>
      </c>
      <c r="H154" s="219">
        <f t="shared" si="8"/>
        <v>183.9759075</v>
      </c>
      <c r="I154" s="218">
        <v>1.0</v>
      </c>
      <c r="J154" s="194">
        <f t="shared" si="9"/>
        <v>183.9759075</v>
      </c>
      <c r="K154" s="139"/>
      <c r="L154" s="197"/>
      <c r="M154" s="198"/>
      <c r="N154" s="198"/>
      <c r="O154" s="139"/>
      <c r="P154" s="139"/>
      <c r="Q154" s="141">
        <v>31.5</v>
      </c>
      <c r="R154" s="187">
        <f t="shared" si="10"/>
        <v>2.85</v>
      </c>
      <c r="S154" s="181">
        <f t="shared" si="11"/>
        <v>1</v>
      </c>
      <c r="T154" s="181">
        <f t="shared" si="12"/>
        <v>2.85</v>
      </c>
      <c r="U154" s="186">
        <f t="shared" si="13"/>
        <v>183.9759075</v>
      </c>
      <c r="V154" s="187">
        <f t="shared" ref="V154:W154" si="144">C154/100</f>
        <v>0.99</v>
      </c>
      <c r="W154" s="187">
        <f t="shared" si="144"/>
        <v>2.07</v>
      </c>
      <c r="X154" s="187">
        <f t="shared" si="15"/>
        <v>2.85</v>
      </c>
      <c r="Y154" s="189">
        <f t="shared" si="16"/>
        <v>5.840505</v>
      </c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</row>
    <row r="155" ht="27.0" customHeight="1">
      <c r="A155" s="181">
        <v>128.0</v>
      </c>
      <c r="B155" s="191" t="s">
        <v>84</v>
      </c>
      <c r="C155" s="191">
        <v>88.0</v>
      </c>
      <c r="D155" s="191">
        <v>207.0</v>
      </c>
      <c r="E155" s="191">
        <v>285.0</v>
      </c>
      <c r="F155" s="191">
        <f t="shared" si="6"/>
        <v>0</v>
      </c>
      <c r="G155" s="191">
        <f t="shared" si="7"/>
        <v>163.53414</v>
      </c>
      <c r="H155" s="219">
        <f t="shared" si="8"/>
        <v>163.53414</v>
      </c>
      <c r="I155" s="218">
        <v>1.0</v>
      </c>
      <c r="J155" s="194">
        <f t="shared" si="9"/>
        <v>163.53414</v>
      </c>
      <c r="K155" s="139"/>
      <c r="L155" s="197"/>
      <c r="M155" s="198"/>
      <c r="N155" s="198"/>
      <c r="O155" s="139"/>
      <c r="P155" s="139"/>
      <c r="Q155" s="141">
        <v>31.5</v>
      </c>
      <c r="R155" s="187">
        <f t="shared" si="10"/>
        <v>2.85</v>
      </c>
      <c r="S155" s="181">
        <f t="shared" si="11"/>
        <v>1</v>
      </c>
      <c r="T155" s="181">
        <f t="shared" si="12"/>
        <v>2.85</v>
      </c>
      <c r="U155" s="186">
        <f t="shared" si="13"/>
        <v>163.53414</v>
      </c>
      <c r="V155" s="187">
        <f t="shared" ref="V155:W155" si="145">C155/100</f>
        <v>0.88</v>
      </c>
      <c r="W155" s="187">
        <f t="shared" si="145"/>
        <v>2.07</v>
      </c>
      <c r="X155" s="187">
        <f t="shared" si="15"/>
        <v>2.85</v>
      </c>
      <c r="Y155" s="189">
        <f t="shared" si="16"/>
        <v>5.19156</v>
      </c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</row>
    <row r="156" ht="27.0" customHeight="1">
      <c r="A156" s="181">
        <v>129.0</v>
      </c>
      <c r="B156" s="191" t="s">
        <v>84</v>
      </c>
      <c r="C156" s="191">
        <v>96.0</v>
      </c>
      <c r="D156" s="191">
        <v>207.0</v>
      </c>
      <c r="E156" s="191">
        <v>285.0</v>
      </c>
      <c r="F156" s="191">
        <f t="shared" si="6"/>
        <v>0</v>
      </c>
      <c r="G156" s="191">
        <f t="shared" si="7"/>
        <v>178.40088</v>
      </c>
      <c r="H156" s="219">
        <f t="shared" si="8"/>
        <v>178.40088</v>
      </c>
      <c r="I156" s="218">
        <v>1.0</v>
      </c>
      <c r="J156" s="194">
        <f t="shared" si="9"/>
        <v>178.40088</v>
      </c>
      <c r="K156" s="139"/>
      <c r="L156" s="197"/>
      <c r="M156" s="198"/>
      <c r="N156" s="198"/>
      <c r="O156" s="139"/>
      <c r="P156" s="139"/>
      <c r="Q156" s="141">
        <v>31.5</v>
      </c>
      <c r="R156" s="187">
        <f t="shared" si="10"/>
        <v>2.85</v>
      </c>
      <c r="S156" s="181">
        <f t="shared" si="11"/>
        <v>1</v>
      </c>
      <c r="T156" s="181">
        <f t="shared" si="12"/>
        <v>2.85</v>
      </c>
      <c r="U156" s="186">
        <f t="shared" si="13"/>
        <v>178.40088</v>
      </c>
      <c r="V156" s="187">
        <f t="shared" ref="V156:W156" si="146">C156/100</f>
        <v>0.96</v>
      </c>
      <c r="W156" s="187">
        <f t="shared" si="146"/>
        <v>2.07</v>
      </c>
      <c r="X156" s="187">
        <f t="shared" si="15"/>
        <v>2.85</v>
      </c>
      <c r="Y156" s="189">
        <f t="shared" si="16"/>
        <v>5.66352</v>
      </c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</row>
    <row r="157" ht="27.0" customHeight="1">
      <c r="A157" s="181">
        <v>130.0</v>
      </c>
      <c r="B157" s="191" t="s">
        <v>84</v>
      </c>
      <c r="C157" s="191">
        <v>99.0</v>
      </c>
      <c r="D157" s="191">
        <v>207.0</v>
      </c>
      <c r="E157" s="191">
        <v>286.0</v>
      </c>
      <c r="F157" s="191">
        <f t="shared" si="6"/>
        <v>0</v>
      </c>
      <c r="G157" s="191">
        <f t="shared" si="7"/>
        <v>184.621437</v>
      </c>
      <c r="H157" s="219">
        <f t="shared" si="8"/>
        <v>184.621437</v>
      </c>
      <c r="I157" s="218">
        <v>1.0</v>
      </c>
      <c r="J157" s="194">
        <f t="shared" si="9"/>
        <v>184.621437</v>
      </c>
      <c r="K157" s="139"/>
      <c r="L157" s="197"/>
      <c r="M157" s="198"/>
      <c r="N157" s="198"/>
      <c r="O157" s="139"/>
      <c r="P157" s="139"/>
      <c r="Q157" s="141">
        <v>31.5</v>
      </c>
      <c r="R157" s="187">
        <f t="shared" si="10"/>
        <v>2.86</v>
      </c>
      <c r="S157" s="181">
        <f t="shared" si="11"/>
        <v>1</v>
      </c>
      <c r="T157" s="181">
        <f t="shared" si="12"/>
        <v>2.86</v>
      </c>
      <c r="U157" s="186">
        <f t="shared" si="13"/>
        <v>184.621437</v>
      </c>
      <c r="V157" s="187">
        <f t="shared" ref="V157:W157" si="147">C157/100</f>
        <v>0.99</v>
      </c>
      <c r="W157" s="187">
        <f t="shared" si="147"/>
        <v>2.07</v>
      </c>
      <c r="X157" s="187">
        <f t="shared" si="15"/>
        <v>2.86</v>
      </c>
      <c r="Y157" s="189">
        <f t="shared" si="16"/>
        <v>5.860998</v>
      </c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</row>
    <row r="158" ht="27.0" customHeight="1">
      <c r="A158" s="181">
        <v>131.0</v>
      </c>
      <c r="B158" s="182" t="s">
        <v>70</v>
      </c>
      <c r="C158" s="191">
        <v>62.0</v>
      </c>
      <c r="D158" s="191">
        <v>206.0</v>
      </c>
      <c r="E158" s="191">
        <v>93.0</v>
      </c>
      <c r="F158" s="191">
        <f t="shared" si="6"/>
        <v>0.8</v>
      </c>
      <c r="G158" s="191">
        <f t="shared" si="7"/>
        <v>37.415574</v>
      </c>
      <c r="H158" s="219">
        <f t="shared" si="8"/>
        <v>29.9324592</v>
      </c>
      <c r="I158" s="218">
        <v>1.0</v>
      </c>
      <c r="J158" s="194">
        <f t="shared" si="9"/>
        <v>29.9324592</v>
      </c>
      <c r="K158" s="139"/>
      <c r="L158" s="197"/>
      <c r="M158" s="198"/>
      <c r="N158" s="198"/>
      <c r="O158" s="139"/>
      <c r="P158" s="139"/>
      <c r="Q158" s="141">
        <v>31.5</v>
      </c>
      <c r="R158" s="187">
        <f t="shared" si="10"/>
        <v>0.93</v>
      </c>
      <c r="S158" s="181">
        <f t="shared" si="11"/>
        <v>1</v>
      </c>
      <c r="T158" s="181">
        <f t="shared" si="12"/>
        <v>0.93</v>
      </c>
      <c r="U158" s="186">
        <f t="shared" si="13"/>
        <v>37.415574</v>
      </c>
      <c r="V158" s="187">
        <f t="shared" ref="V158:W158" si="148">C158/100</f>
        <v>0.62</v>
      </c>
      <c r="W158" s="187">
        <f t="shared" si="148"/>
        <v>2.06</v>
      </c>
      <c r="X158" s="187">
        <f t="shared" si="15"/>
        <v>0.93</v>
      </c>
      <c r="Y158" s="189">
        <f t="shared" si="16"/>
        <v>1.187796</v>
      </c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</row>
    <row r="159" ht="27.0" customHeight="1">
      <c r="A159" s="181">
        <v>132.0</v>
      </c>
      <c r="B159" s="191" t="s">
        <v>60</v>
      </c>
      <c r="C159" s="191">
        <v>68.0</v>
      </c>
      <c r="D159" s="191">
        <v>206.0</v>
      </c>
      <c r="E159" s="191">
        <v>193.0</v>
      </c>
      <c r="F159" s="191">
        <f t="shared" si="6"/>
        <v>0</v>
      </c>
      <c r="G159" s="191">
        <f t="shared" si="7"/>
        <v>95.975812</v>
      </c>
      <c r="H159" s="219">
        <f t="shared" si="8"/>
        <v>95.975812</v>
      </c>
      <c r="I159" s="218">
        <v>1.0</v>
      </c>
      <c r="J159" s="194">
        <f t="shared" si="9"/>
        <v>95.975812</v>
      </c>
      <c r="K159" s="139"/>
      <c r="L159" s="197"/>
      <c r="M159" s="198"/>
      <c r="N159" s="198"/>
      <c r="O159" s="139"/>
      <c r="P159" s="139"/>
      <c r="Q159" s="141">
        <v>35.5</v>
      </c>
      <c r="R159" s="187">
        <f t="shared" si="10"/>
        <v>1.93</v>
      </c>
      <c r="S159" s="181">
        <f t="shared" si="11"/>
        <v>1</v>
      </c>
      <c r="T159" s="181">
        <f t="shared" si="12"/>
        <v>1.93</v>
      </c>
      <c r="U159" s="186">
        <f t="shared" si="13"/>
        <v>95.975812</v>
      </c>
      <c r="V159" s="187">
        <f t="shared" ref="V159:W159" si="149">C159/100</f>
        <v>0.68</v>
      </c>
      <c r="W159" s="187">
        <f t="shared" si="149"/>
        <v>2.06</v>
      </c>
      <c r="X159" s="187">
        <f t="shared" si="15"/>
        <v>1.93</v>
      </c>
      <c r="Y159" s="189">
        <f t="shared" si="16"/>
        <v>2.703544</v>
      </c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</row>
    <row r="160" ht="27.0" customHeight="1">
      <c r="A160" s="181">
        <v>133.0</v>
      </c>
      <c r="B160" s="182" t="s">
        <v>69</v>
      </c>
      <c r="C160" s="191">
        <v>52.0</v>
      </c>
      <c r="D160" s="191">
        <v>204.0</v>
      </c>
      <c r="E160" s="191">
        <v>113.0</v>
      </c>
      <c r="F160" s="191">
        <f t="shared" si="6"/>
        <v>0.8</v>
      </c>
      <c r="G160" s="191">
        <f t="shared" si="7"/>
        <v>42.553992</v>
      </c>
      <c r="H160" s="219">
        <f t="shared" si="8"/>
        <v>34.0431936</v>
      </c>
      <c r="I160" s="218">
        <v>1.0</v>
      </c>
      <c r="J160" s="194">
        <f t="shared" si="9"/>
        <v>34.0431936</v>
      </c>
      <c r="K160" s="139"/>
      <c r="L160" s="197"/>
      <c r="M160" s="198"/>
      <c r="N160" s="198"/>
      <c r="O160" s="139"/>
      <c r="P160" s="139"/>
      <c r="Q160" s="141">
        <v>35.5</v>
      </c>
      <c r="R160" s="187">
        <f t="shared" si="10"/>
        <v>1.13</v>
      </c>
      <c r="S160" s="181">
        <f t="shared" si="11"/>
        <v>1</v>
      </c>
      <c r="T160" s="181">
        <f t="shared" si="12"/>
        <v>1.13</v>
      </c>
      <c r="U160" s="186">
        <f t="shared" si="13"/>
        <v>42.553992</v>
      </c>
      <c r="V160" s="187">
        <f t="shared" ref="V160:W160" si="150">C160/100</f>
        <v>0.52</v>
      </c>
      <c r="W160" s="187">
        <f t="shared" si="150"/>
        <v>2.04</v>
      </c>
      <c r="X160" s="187">
        <f t="shared" si="15"/>
        <v>1.13</v>
      </c>
      <c r="Y160" s="189">
        <f t="shared" si="16"/>
        <v>1.198704</v>
      </c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</row>
    <row r="161" ht="27.0" customHeight="1">
      <c r="A161" s="181">
        <v>134.0</v>
      </c>
      <c r="B161" s="191" t="s">
        <v>59</v>
      </c>
      <c r="C161" s="191">
        <v>62.0</v>
      </c>
      <c r="D161" s="191">
        <v>204.0</v>
      </c>
      <c r="E161" s="191">
        <v>227.0</v>
      </c>
      <c r="F161" s="191">
        <f t="shared" si="6"/>
        <v>0</v>
      </c>
      <c r="G161" s="191">
        <f t="shared" si="7"/>
        <v>101.923908</v>
      </c>
      <c r="H161" s="219">
        <f t="shared" si="8"/>
        <v>101.923908</v>
      </c>
      <c r="I161" s="218">
        <v>1.0</v>
      </c>
      <c r="J161" s="194">
        <f t="shared" si="9"/>
        <v>101.923908</v>
      </c>
      <c r="K161" s="139"/>
      <c r="L161" s="197"/>
      <c r="M161" s="198"/>
      <c r="N161" s="198"/>
      <c r="O161" s="139"/>
      <c r="P161" s="139"/>
      <c r="Q161" s="141">
        <v>35.5</v>
      </c>
      <c r="R161" s="187">
        <f t="shared" si="10"/>
        <v>2.27</v>
      </c>
      <c r="S161" s="181">
        <f t="shared" si="11"/>
        <v>1</v>
      </c>
      <c r="T161" s="181">
        <f t="shared" si="12"/>
        <v>2.27</v>
      </c>
      <c r="U161" s="186">
        <f t="shared" si="13"/>
        <v>101.923908</v>
      </c>
      <c r="V161" s="187">
        <f t="shared" ref="V161:W161" si="151">C161/100</f>
        <v>0.62</v>
      </c>
      <c r="W161" s="187">
        <f t="shared" si="151"/>
        <v>2.04</v>
      </c>
      <c r="X161" s="187">
        <f t="shared" si="15"/>
        <v>2.27</v>
      </c>
      <c r="Y161" s="189">
        <f t="shared" si="16"/>
        <v>2.871096</v>
      </c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</row>
    <row r="162" ht="27.0" customHeight="1">
      <c r="A162" s="181">
        <v>135.0</v>
      </c>
      <c r="B162" s="182" t="s">
        <v>93</v>
      </c>
      <c r="C162" s="191">
        <v>77.0</v>
      </c>
      <c r="D162" s="191">
        <v>200.0</v>
      </c>
      <c r="E162" s="191">
        <v>229.0</v>
      </c>
      <c r="F162" s="191">
        <f t="shared" si="6"/>
        <v>0.8</v>
      </c>
      <c r="G162" s="191">
        <f t="shared" si="7"/>
        <v>93.4549</v>
      </c>
      <c r="H162" s="219">
        <f t="shared" si="8"/>
        <v>74.76392</v>
      </c>
      <c r="I162" s="218">
        <v>1.0</v>
      </c>
      <c r="J162" s="194">
        <f t="shared" si="9"/>
        <v>74.76392</v>
      </c>
      <c r="K162" s="139"/>
      <c r="L162" s="197"/>
      <c r="M162" s="198"/>
      <c r="N162" s="198"/>
      <c r="O162" s="139"/>
      <c r="P162" s="139"/>
      <c r="Q162" s="141">
        <v>26.5</v>
      </c>
      <c r="R162" s="187">
        <f t="shared" si="10"/>
        <v>2.29</v>
      </c>
      <c r="S162" s="181">
        <f t="shared" si="11"/>
        <v>1</v>
      </c>
      <c r="T162" s="181">
        <f t="shared" si="12"/>
        <v>2.29</v>
      </c>
      <c r="U162" s="186">
        <f t="shared" si="13"/>
        <v>93.4549</v>
      </c>
      <c r="V162" s="187">
        <f t="shared" ref="V162:W162" si="152">C162/100</f>
        <v>0.77</v>
      </c>
      <c r="W162" s="187">
        <f t="shared" si="152"/>
        <v>2</v>
      </c>
      <c r="X162" s="187">
        <f t="shared" si="15"/>
        <v>2.29</v>
      </c>
      <c r="Y162" s="189">
        <f t="shared" si="16"/>
        <v>3.5266</v>
      </c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</row>
    <row r="163" ht="27.0" customHeight="1">
      <c r="A163" s="181">
        <v>136.0</v>
      </c>
      <c r="B163" s="191" t="s">
        <v>85</v>
      </c>
      <c r="C163" s="191">
        <v>58.0</v>
      </c>
      <c r="D163" s="191">
        <v>206.0</v>
      </c>
      <c r="E163" s="191">
        <v>200.0</v>
      </c>
      <c r="F163" s="191">
        <f t="shared" si="6"/>
        <v>0</v>
      </c>
      <c r="G163" s="191">
        <f t="shared" si="7"/>
        <v>63.3244</v>
      </c>
      <c r="H163" s="219">
        <f t="shared" si="8"/>
        <v>63.3244</v>
      </c>
      <c r="I163" s="218">
        <v>1.0</v>
      </c>
      <c r="J163" s="194">
        <f t="shared" si="9"/>
        <v>63.3244</v>
      </c>
      <c r="K163" s="139"/>
      <c r="L163" s="197"/>
      <c r="M163" s="198"/>
      <c r="N163" s="198"/>
      <c r="O163" s="139"/>
      <c r="P163" s="139"/>
      <c r="Q163" s="141">
        <v>26.5</v>
      </c>
      <c r="R163" s="187">
        <f t="shared" si="10"/>
        <v>2</v>
      </c>
      <c r="S163" s="181">
        <f t="shared" si="11"/>
        <v>1</v>
      </c>
      <c r="T163" s="181">
        <f t="shared" si="12"/>
        <v>2</v>
      </c>
      <c r="U163" s="186">
        <f t="shared" si="13"/>
        <v>63.3244</v>
      </c>
      <c r="V163" s="187">
        <f t="shared" ref="V163:W163" si="153">C163/100</f>
        <v>0.58</v>
      </c>
      <c r="W163" s="187">
        <f t="shared" si="153"/>
        <v>2.06</v>
      </c>
      <c r="X163" s="187">
        <f t="shared" si="15"/>
        <v>2</v>
      </c>
      <c r="Y163" s="189">
        <f t="shared" si="16"/>
        <v>2.3896</v>
      </c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</row>
    <row r="164" ht="27.0" customHeight="1">
      <c r="A164" s="181">
        <v>137.0</v>
      </c>
      <c r="B164" s="182" t="s">
        <v>94</v>
      </c>
      <c r="C164" s="191">
        <v>62.0</v>
      </c>
      <c r="D164" s="191">
        <v>206.0</v>
      </c>
      <c r="E164" s="191">
        <v>132.0</v>
      </c>
      <c r="F164" s="191">
        <f t="shared" si="6"/>
        <v>0.8</v>
      </c>
      <c r="G164" s="191">
        <f t="shared" si="7"/>
        <v>49.734168</v>
      </c>
      <c r="H164" s="219">
        <f t="shared" si="8"/>
        <v>39.7873344</v>
      </c>
      <c r="I164" s="218">
        <v>1.0</v>
      </c>
      <c r="J164" s="194">
        <f t="shared" si="9"/>
        <v>39.7873344</v>
      </c>
      <c r="K164" s="139"/>
      <c r="L164" s="197"/>
      <c r="M164" s="198"/>
      <c r="N164" s="198"/>
      <c r="O164" s="139"/>
      <c r="P164" s="139"/>
      <c r="Q164" s="141">
        <v>29.5</v>
      </c>
      <c r="R164" s="187">
        <f t="shared" si="10"/>
        <v>1.32</v>
      </c>
      <c r="S164" s="181">
        <f t="shared" si="11"/>
        <v>1</v>
      </c>
      <c r="T164" s="181">
        <f t="shared" si="12"/>
        <v>1.32</v>
      </c>
      <c r="U164" s="186">
        <f t="shared" si="13"/>
        <v>49.734168</v>
      </c>
      <c r="V164" s="187">
        <f t="shared" ref="V164:W164" si="154">C164/100</f>
        <v>0.62</v>
      </c>
      <c r="W164" s="187">
        <f t="shared" si="154"/>
        <v>2.06</v>
      </c>
      <c r="X164" s="187">
        <f t="shared" si="15"/>
        <v>1.32</v>
      </c>
      <c r="Y164" s="189">
        <f t="shared" si="16"/>
        <v>1.685904</v>
      </c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</row>
    <row r="165" ht="27.0" customHeight="1">
      <c r="A165" s="181">
        <v>138.0</v>
      </c>
      <c r="B165" s="191" t="s">
        <v>95</v>
      </c>
      <c r="C165" s="191">
        <v>73.0</v>
      </c>
      <c r="D165" s="191">
        <v>206.0</v>
      </c>
      <c r="E165" s="191">
        <v>210.0</v>
      </c>
      <c r="F165" s="191">
        <f t="shared" si="6"/>
        <v>0</v>
      </c>
      <c r="G165" s="191">
        <f t="shared" si="7"/>
        <v>93.16041</v>
      </c>
      <c r="H165" s="219">
        <f t="shared" si="8"/>
        <v>93.16041</v>
      </c>
      <c r="I165" s="218">
        <v>1.0</v>
      </c>
      <c r="J165" s="194">
        <f t="shared" si="9"/>
        <v>93.16041</v>
      </c>
      <c r="K165" s="139"/>
      <c r="L165" s="197"/>
      <c r="M165" s="198"/>
      <c r="N165" s="198"/>
      <c r="O165" s="139"/>
      <c r="P165" s="139"/>
      <c r="Q165" s="141">
        <v>29.5</v>
      </c>
      <c r="R165" s="187">
        <f t="shared" si="10"/>
        <v>2.1</v>
      </c>
      <c r="S165" s="181">
        <f t="shared" si="11"/>
        <v>1</v>
      </c>
      <c r="T165" s="181">
        <f t="shared" si="12"/>
        <v>2.1</v>
      </c>
      <c r="U165" s="186">
        <f t="shared" si="13"/>
        <v>93.16041</v>
      </c>
      <c r="V165" s="187">
        <f t="shared" ref="V165:W165" si="155">C165/100</f>
        <v>0.73</v>
      </c>
      <c r="W165" s="187">
        <f t="shared" si="155"/>
        <v>2.06</v>
      </c>
      <c r="X165" s="187">
        <f t="shared" si="15"/>
        <v>2.1</v>
      </c>
      <c r="Y165" s="189">
        <f t="shared" si="16"/>
        <v>3.15798</v>
      </c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</row>
    <row r="166" ht="27.0" customHeight="1">
      <c r="A166" s="160"/>
      <c r="B166" s="176"/>
      <c r="C166" s="176"/>
      <c r="D166" s="176"/>
      <c r="E166" s="176"/>
      <c r="F166" s="176"/>
      <c r="G166" s="176"/>
      <c r="H166" s="179"/>
      <c r="I166" s="160"/>
      <c r="J166" s="203">
        <f>+Q224</f>
        <v>293.2</v>
      </c>
      <c r="K166" s="139"/>
      <c r="L166" s="139"/>
      <c r="M166" s="139"/>
      <c r="N166" s="139"/>
      <c r="O166" s="139"/>
      <c r="P166" s="139"/>
      <c r="Q166" s="204"/>
      <c r="R166" s="187">
        <f t="shared" si="10"/>
        <v>0</v>
      </c>
      <c r="S166" s="181" t="str">
        <f t="shared" si="11"/>
        <v/>
      </c>
      <c r="T166" s="181">
        <f t="shared" si="12"/>
        <v>0</v>
      </c>
      <c r="U166" s="186"/>
      <c r="V166" s="187">
        <f t="shared" ref="V166:W166" si="156">C166/100</f>
        <v>0</v>
      </c>
      <c r="W166" s="187">
        <f t="shared" si="156"/>
        <v>0</v>
      </c>
      <c r="X166" s="187">
        <f t="shared" si="15"/>
        <v>0</v>
      </c>
      <c r="Y166" s="189">
        <f t="shared" si="16"/>
        <v>0</v>
      </c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</row>
    <row r="167" ht="27.0" customHeight="1">
      <c r="A167" s="160"/>
      <c r="B167" s="205"/>
      <c r="C167" s="205"/>
      <c r="D167" s="205"/>
      <c r="E167" s="205"/>
      <c r="F167" s="205"/>
      <c r="G167" s="205"/>
      <c r="H167" s="206"/>
      <c r="I167" s="207">
        <f>SUM(I28:I165)</f>
        <v>226</v>
      </c>
      <c r="J167" s="208">
        <f>SUM(J28:J166)</f>
        <v>25828.82484</v>
      </c>
      <c r="K167" s="209"/>
      <c r="L167" s="209"/>
      <c r="M167" s="209"/>
      <c r="N167" s="209"/>
      <c r="O167" s="209"/>
      <c r="P167" s="209"/>
      <c r="Q167" s="141"/>
      <c r="R167" s="209">
        <f>SUMIFS($S$28:$S$165,$R$28:$R$165,"&gt;=3")</f>
        <v>1</v>
      </c>
      <c r="S167" s="209">
        <f t="shared" ref="S167:T167" si="157">SUM(S28:S165)</f>
        <v>226</v>
      </c>
      <c r="T167" s="209">
        <f t="shared" si="157"/>
        <v>490.61</v>
      </c>
      <c r="U167" s="209"/>
      <c r="V167" s="209"/>
      <c r="W167" s="209"/>
      <c r="X167" s="209"/>
      <c r="Y167" s="210">
        <f>SUM(Y28:Y166)</f>
        <v>989.905927</v>
      </c>
      <c r="Z167" s="209"/>
      <c r="AA167" s="209"/>
      <c r="AB167" s="209"/>
      <c r="AC167" s="209"/>
      <c r="AD167" s="209"/>
      <c r="AE167" s="209"/>
      <c r="AF167" s="209"/>
      <c r="AG167" s="209"/>
      <c r="AH167" s="209"/>
      <c r="AI167" s="209"/>
      <c r="AJ167" s="209"/>
      <c r="AK167" s="209"/>
      <c r="AL167" s="209"/>
      <c r="AM167" s="209"/>
      <c r="AN167" s="209"/>
      <c r="AO167" s="209"/>
      <c r="AP167" s="209"/>
      <c r="AQ167" s="209"/>
      <c r="AR167" s="209"/>
      <c r="AS167" s="209"/>
    </row>
    <row r="168" ht="29.25" customHeight="1">
      <c r="A168" s="139"/>
      <c r="B168" s="139"/>
      <c r="C168" s="139"/>
      <c r="D168" s="139"/>
      <c r="E168" s="139"/>
      <c r="F168" s="139"/>
      <c r="G168" s="139"/>
      <c r="H168" s="140"/>
      <c r="I168" s="139"/>
      <c r="J168" s="139"/>
      <c r="K168" s="139"/>
      <c r="L168" s="139"/>
      <c r="M168" s="139"/>
      <c r="N168" s="139"/>
      <c r="O168" s="139"/>
      <c r="P168" s="139"/>
      <c r="Q168" s="141"/>
      <c r="R168" s="186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</row>
    <row r="169" ht="29.25" customHeight="1">
      <c r="A169" s="139"/>
      <c r="B169" s="139"/>
      <c r="C169" s="139"/>
      <c r="D169" s="139"/>
      <c r="E169" s="139"/>
      <c r="F169" s="139"/>
      <c r="G169" s="139"/>
      <c r="H169" s="140"/>
      <c r="I169" s="139"/>
      <c r="J169" s="139"/>
      <c r="K169" s="139"/>
      <c r="L169" s="139"/>
      <c r="M169" s="139"/>
      <c r="N169" s="139"/>
      <c r="O169" s="139"/>
      <c r="P169" s="139"/>
      <c r="Q169" s="204"/>
      <c r="R169" s="139"/>
      <c r="S169" s="139" t="s">
        <v>48</v>
      </c>
      <c r="T169" s="139" t="s">
        <v>72</v>
      </c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</row>
    <row r="170" ht="29.25" customHeight="1">
      <c r="A170" s="139"/>
      <c r="B170" s="139"/>
      <c r="C170" s="139"/>
      <c r="D170" s="139"/>
      <c r="E170" s="139"/>
      <c r="F170" s="139"/>
      <c r="G170" s="139"/>
      <c r="H170" s="140"/>
      <c r="I170" s="139"/>
      <c r="J170" s="139"/>
      <c r="K170" s="139"/>
      <c r="L170" s="139"/>
      <c r="M170" s="139"/>
      <c r="N170" s="139"/>
      <c r="O170" s="139"/>
      <c r="P170" s="139"/>
      <c r="Q170" s="141"/>
      <c r="R170" s="139" t="s">
        <v>31</v>
      </c>
      <c r="S170" s="211">
        <f>SUMIFS($J$28:$J$165,$R$28:$R$165,"&gt;=3")</f>
        <v>129.40824</v>
      </c>
      <c r="T170" s="212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</row>
    <row r="171" ht="29.25" customHeight="1">
      <c r="A171" s="139" t="s">
        <v>32</v>
      </c>
      <c r="B171" s="139"/>
      <c r="C171" s="139"/>
      <c r="D171" s="139" t="s">
        <v>33</v>
      </c>
      <c r="E171" s="139"/>
      <c r="F171" s="139"/>
      <c r="G171" s="139"/>
      <c r="H171" s="140"/>
      <c r="I171" s="139"/>
      <c r="J171" s="139"/>
      <c r="K171" s="139"/>
      <c r="L171" s="139"/>
      <c r="M171" s="139"/>
      <c r="N171" s="139"/>
      <c r="O171" s="139"/>
      <c r="P171" s="139"/>
      <c r="Q171" s="141"/>
      <c r="R171" s="139" t="s">
        <v>34</v>
      </c>
      <c r="S171" s="213">
        <f>J167-S170</f>
        <v>25699.4166</v>
      </c>
      <c r="T171" s="212">
        <f>+SUMIFS($T$28:$T$165,$R$28:$R$165,"&gt;=3")</f>
        <v>3.04</v>
      </c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</row>
    <row r="172" ht="29.25" customHeight="1">
      <c r="A172" s="139"/>
      <c r="B172" s="139"/>
      <c r="C172" s="139"/>
      <c r="D172" s="139"/>
      <c r="E172" s="139"/>
      <c r="F172" s="139"/>
      <c r="G172" s="139"/>
      <c r="H172" s="140"/>
      <c r="I172" s="139"/>
      <c r="J172" s="139"/>
      <c r="K172" s="139"/>
      <c r="L172" s="139"/>
      <c r="M172" s="139"/>
      <c r="N172" s="139"/>
      <c r="O172" s="139"/>
      <c r="P172" s="139"/>
      <c r="Q172" s="204"/>
      <c r="R172" s="139"/>
      <c r="S172" s="214">
        <f>+I167</f>
        <v>226</v>
      </c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</row>
    <row r="173" ht="39.0" customHeight="1">
      <c r="A173" s="176"/>
      <c r="B173" s="160" t="s">
        <v>12</v>
      </c>
      <c r="C173" s="177" t="s">
        <v>73</v>
      </c>
      <c r="D173" s="52"/>
      <c r="E173" s="53"/>
      <c r="F173" s="178"/>
      <c r="G173" s="178"/>
      <c r="H173" s="179" t="s">
        <v>14</v>
      </c>
      <c r="I173" s="160" t="s">
        <v>15</v>
      </c>
      <c r="J173" s="160" t="s">
        <v>16</v>
      </c>
      <c r="K173" s="139"/>
      <c r="L173" s="139"/>
      <c r="M173" s="139"/>
      <c r="N173" s="139"/>
      <c r="O173" s="139"/>
      <c r="P173" s="139"/>
      <c r="Q173" s="141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</row>
    <row r="174" ht="27.0" customHeight="1">
      <c r="A174" s="154">
        <v>1.0</v>
      </c>
      <c r="B174" s="215" t="s">
        <v>79</v>
      </c>
      <c r="C174" s="215">
        <v>90.0</v>
      </c>
      <c r="D174" s="215">
        <v>284.0</v>
      </c>
      <c r="E174" s="215">
        <v>206.0</v>
      </c>
      <c r="F174" s="215">
        <f t="shared" ref="F174:F187" si="158">1-VALUE(IF(RIGHT(B174, 1)="%", RIGHT(B174, 3), 0))</f>
        <v>0.2</v>
      </c>
      <c r="G174" s="215">
        <f t="shared" ref="G174:G187" si="159">+Q174*C174/100*D174/100*E174/100</f>
        <v>0</v>
      </c>
      <c r="H174" s="216">
        <f t="shared" ref="H174:H187" si="160">IF(F174=0, G174, F174*G174)</f>
        <v>0</v>
      </c>
      <c r="I174" s="215">
        <v>1.0</v>
      </c>
      <c r="J174" s="217">
        <f t="shared" ref="J174:J187" si="161">+I174*H174</f>
        <v>0</v>
      </c>
      <c r="K174" s="139"/>
      <c r="L174" s="176">
        <f t="shared" ref="L174:L181" si="162">D174*25.4/1000</f>
        <v>7.2136</v>
      </c>
      <c r="M174" s="160">
        <f t="shared" ref="M174:M177" si="163">+I174</f>
        <v>1</v>
      </c>
      <c r="N174" s="160">
        <f t="shared" ref="N174:N177" si="164">M174*L174</f>
        <v>7.2136</v>
      </c>
      <c r="O174" s="139"/>
      <c r="P174" s="139"/>
      <c r="Q174" s="141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</row>
    <row r="175" ht="27.0" customHeight="1">
      <c r="A175" s="160">
        <v>2.0</v>
      </c>
      <c r="B175" s="218" t="s">
        <v>87</v>
      </c>
      <c r="C175" s="218">
        <v>72.0</v>
      </c>
      <c r="D175" s="218">
        <v>205.0</v>
      </c>
      <c r="E175" s="218">
        <v>208.0</v>
      </c>
      <c r="F175" s="218">
        <f t="shared" si="158"/>
        <v>0.2</v>
      </c>
      <c r="G175" s="218">
        <f t="shared" si="159"/>
        <v>0</v>
      </c>
      <c r="H175" s="219">
        <f t="shared" si="160"/>
        <v>0</v>
      </c>
      <c r="I175" s="218">
        <v>1.0</v>
      </c>
      <c r="J175" s="194">
        <f t="shared" si="161"/>
        <v>0</v>
      </c>
      <c r="K175" s="139"/>
      <c r="L175" s="176">
        <f t="shared" si="162"/>
        <v>5.207</v>
      </c>
      <c r="M175" s="160">
        <f t="shared" si="163"/>
        <v>1</v>
      </c>
      <c r="N175" s="160">
        <f t="shared" si="164"/>
        <v>5.207</v>
      </c>
      <c r="O175" s="139"/>
      <c r="P175" s="139"/>
      <c r="Q175" s="141"/>
      <c r="R175" s="139"/>
      <c r="S175" s="220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</row>
    <row r="176" ht="27.0" customHeight="1">
      <c r="A176" s="160">
        <v>3.0</v>
      </c>
      <c r="B176" s="218" t="s">
        <v>87</v>
      </c>
      <c r="C176" s="218">
        <v>50.0</v>
      </c>
      <c r="D176" s="218">
        <v>205.0</v>
      </c>
      <c r="E176" s="218">
        <v>209.0</v>
      </c>
      <c r="F176" s="218">
        <f t="shared" si="158"/>
        <v>0.2</v>
      </c>
      <c r="G176" s="218">
        <f t="shared" si="159"/>
        <v>0</v>
      </c>
      <c r="H176" s="219">
        <f t="shared" si="160"/>
        <v>0</v>
      </c>
      <c r="I176" s="218">
        <v>1.0</v>
      </c>
      <c r="J176" s="194">
        <f t="shared" si="161"/>
        <v>0</v>
      </c>
      <c r="K176" s="139"/>
      <c r="L176" s="176">
        <f t="shared" si="162"/>
        <v>5.207</v>
      </c>
      <c r="M176" s="160">
        <f t="shared" si="163"/>
        <v>1</v>
      </c>
      <c r="N176" s="160">
        <f t="shared" si="164"/>
        <v>5.207</v>
      </c>
      <c r="O176" s="139"/>
      <c r="P176" s="139"/>
      <c r="Q176" s="141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</row>
    <row r="177" ht="27.0" customHeight="1">
      <c r="A177" s="160">
        <v>4.0</v>
      </c>
      <c r="B177" s="218" t="s">
        <v>88</v>
      </c>
      <c r="C177" s="218">
        <v>85.0</v>
      </c>
      <c r="D177" s="218">
        <v>205.0</v>
      </c>
      <c r="E177" s="218">
        <v>207.0</v>
      </c>
      <c r="F177" s="218">
        <f t="shared" si="158"/>
        <v>0.2</v>
      </c>
      <c r="G177" s="218">
        <f t="shared" si="159"/>
        <v>0</v>
      </c>
      <c r="H177" s="219">
        <f t="shared" si="160"/>
        <v>0</v>
      </c>
      <c r="I177" s="218">
        <v>1.0</v>
      </c>
      <c r="J177" s="194">
        <f t="shared" si="161"/>
        <v>0</v>
      </c>
      <c r="K177" s="139"/>
      <c r="L177" s="176">
        <f t="shared" si="162"/>
        <v>5.207</v>
      </c>
      <c r="M177" s="160">
        <f t="shared" si="163"/>
        <v>1</v>
      </c>
      <c r="N177" s="160">
        <f t="shared" si="164"/>
        <v>5.207</v>
      </c>
      <c r="O177" s="139"/>
      <c r="P177" s="139"/>
      <c r="Q177" s="141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</row>
    <row r="178" ht="27.0" customHeight="1">
      <c r="A178" s="160">
        <v>5.0</v>
      </c>
      <c r="B178" s="218" t="s">
        <v>90</v>
      </c>
      <c r="C178" s="218">
        <v>83.0</v>
      </c>
      <c r="D178" s="218">
        <v>205.0</v>
      </c>
      <c r="E178" s="218">
        <v>208.0</v>
      </c>
      <c r="F178" s="218">
        <f t="shared" si="158"/>
        <v>0.2</v>
      </c>
      <c r="G178" s="218">
        <f t="shared" si="159"/>
        <v>0</v>
      </c>
      <c r="H178" s="219">
        <f t="shared" si="160"/>
        <v>0</v>
      </c>
      <c r="I178" s="218">
        <v>1.0</v>
      </c>
      <c r="J178" s="194">
        <f t="shared" si="161"/>
        <v>0</v>
      </c>
      <c r="K178" s="139"/>
      <c r="L178" s="139">
        <f t="shared" si="162"/>
        <v>5.207</v>
      </c>
      <c r="M178" s="221"/>
      <c r="N178" s="221"/>
      <c r="O178" s="139"/>
      <c r="P178" s="139"/>
      <c r="Q178" s="141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</row>
    <row r="179" ht="27.0" customHeight="1">
      <c r="A179" s="160">
        <v>6.0</v>
      </c>
      <c r="B179" s="218" t="s">
        <v>65</v>
      </c>
      <c r="C179" s="218">
        <v>95.0</v>
      </c>
      <c r="D179" s="218">
        <v>203.0</v>
      </c>
      <c r="E179" s="218">
        <v>252.0</v>
      </c>
      <c r="F179" s="218">
        <f t="shared" si="158"/>
        <v>0.2</v>
      </c>
      <c r="G179" s="218">
        <f t="shared" si="159"/>
        <v>0</v>
      </c>
      <c r="H179" s="219">
        <f t="shared" si="160"/>
        <v>0</v>
      </c>
      <c r="I179" s="218">
        <v>1.0</v>
      </c>
      <c r="J179" s="194">
        <f t="shared" si="161"/>
        <v>0</v>
      </c>
      <c r="K179" s="139"/>
      <c r="L179" s="139">
        <f t="shared" si="162"/>
        <v>5.1562</v>
      </c>
      <c r="M179" s="221"/>
      <c r="N179" s="221"/>
      <c r="O179" s="139"/>
      <c r="P179" s="139"/>
      <c r="Q179" s="141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</row>
    <row r="180" ht="27.0" customHeight="1">
      <c r="A180" s="160">
        <v>7.0</v>
      </c>
      <c r="B180" s="218" t="s">
        <v>65</v>
      </c>
      <c r="C180" s="218">
        <v>96.0</v>
      </c>
      <c r="D180" s="218">
        <v>195.0</v>
      </c>
      <c r="E180" s="218">
        <v>235.0</v>
      </c>
      <c r="F180" s="218">
        <f t="shared" si="158"/>
        <v>0.2</v>
      </c>
      <c r="G180" s="218">
        <f t="shared" si="159"/>
        <v>0</v>
      </c>
      <c r="H180" s="219">
        <f t="shared" si="160"/>
        <v>0</v>
      </c>
      <c r="I180" s="218">
        <v>1.0</v>
      </c>
      <c r="J180" s="194">
        <f t="shared" si="161"/>
        <v>0</v>
      </c>
      <c r="K180" s="139"/>
      <c r="L180" s="139">
        <f t="shared" si="162"/>
        <v>4.953</v>
      </c>
      <c r="M180" s="221"/>
      <c r="N180" s="221"/>
      <c r="O180" s="139"/>
      <c r="P180" s="139"/>
      <c r="Q180" s="141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</row>
    <row r="181" ht="27.0" customHeight="1">
      <c r="A181" s="160">
        <v>8.0</v>
      </c>
      <c r="B181" s="218" t="s">
        <v>68</v>
      </c>
      <c r="C181" s="218">
        <v>50.0</v>
      </c>
      <c r="D181" s="218">
        <v>168.0</v>
      </c>
      <c r="E181" s="218">
        <v>165.0</v>
      </c>
      <c r="F181" s="218">
        <f t="shared" si="158"/>
        <v>0.2</v>
      </c>
      <c r="G181" s="218">
        <f t="shared" si="159"/>
        <v>0</v>
      </c>
      <c r="H181" s="219">
        <f t="shared" si="160"/>
        <v>0</v>
      </c>
      <c r="I181" s="218">
        <v>1.0</v>
      </c>
      <c r="J181" s="194">
        <f t="shared" si="161"/>
        <v>0</v>
      </c>
      <c r="K181" s="139"/>
      <c r="L181" s="139">
        <f t="shared" si="162"/>
        <v>4.2672</v>
      </c>
      <c r="M181" s="221"/>
      <c r="N181" s="221"/>
      <c r="O181" s="139"/>
      <c r="P181" s="139"/>
      <c r="Q181" s="141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</row>
    <row r="182" ht="27.0" customHeight="1">
      <c r="A182" s="160">
        <v>9.0</v>
      </c>
      <c r="B182" s="191" t="s">
        <v>68</v>
      </c>
      <c r="C182" s="191">
        <v>79.0</v>
      </c>
      <c r="D182" s="191">
        <v>168.0</v>
      </c>
      <c r="E182" s="191">
        <v>170.0</v>
      </c>
      <c r="F182" s="191">
        <f t="shared" si="158"/>
        <v>0.2</v>
      </c>
      <c r="G182" s="191">
        <f t="shared" si="159"/>
        <v>0</v>
      </c>
      <c r="H182" s="192">
        <f t="shared" si="160"/>
        <v>0</v>
      </c>
      <c r="I182" s="191">
        <v>1.0</v>
      </c>
      <c r="J182" s="194">
        <f t="shared" si="161"/>
        <v>0</v>
      </c>
      <c r="K182" s="139"/>
      <c r="L182" s="139"/>
      <c r="M182" s="221"/>
      <c r="N182" s="221"/>
      <c r="O182" s="139"/>
      <c r="P182" s="139"/>
      <c r="Q182" s="141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</row>
    <row r="183" ht="27.0" customHeight="1">
      <c r="A183" s="160"/>
      <c r="B183" s="191" t="s">
        <v>92</v>
      </c>
      <c r="C183" s="191">
        <v>82.0</v>
      </c>
      <c r="D183" s="191">
        <v>207.0</v>
      </c>
      <c r="E183" s="191">
        <v>286.0</v>
      </c>
      <c r="F183" s="191">
        <f t="shared" si="158"/>
        <v>0.2</v>
      </c>
      <c r="G183" s="191">
        <f t="shared" si="159"/>
        <v>0</v>
      </c>
      <c r="H183" s="192">
        <f t="shared" si="160"/>
        <v>0</v>
      </c>
      <c r="I183" s="191">
        <v>1.0</v>
      </c>
      <c r="J183" s="194">
        <f t="shared" si="161"/>
        <v>0</v>
      </c>
      <c r="K183" s="139"/>
      <c r="L183" s="139"/>
      <c r="M183" s="221"/>
      <c r="N183" s="221"/>
      <c r="O183" s="139"/>
      <c r="P183" s="139"/>
      <c r="Q183" s="141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</row>
    <row r="184" ht="27.0" customHeight="1">
      <c r="A184" s="160"/>
      <c r="B184" s="191" t="s">
        <v>70</v>
      </c>
      <c r="C184" s="191">
        <v>62.0</v>
      </c>
      <c r="D184" s="191">
        <v>206.0</v>
      </c>
      <c r="E184" s="191">
        <v>93.0</v>
      </c>
      <c r="F184" s="191">
        <f t="shared" si="158"/>
        <v>0.2</v>
      </c>
      <c r="G184" s="191">
        <f t="shared" si="159"/>
        <v>0</v>
      </c>
      <c r="H184" s="192">
        <f t="shared" si="160"/>
        <v>0</v>
      </c>
      <c r="I184" s="191">
        <v>1.0</v>
      </c>
      <c r="J184" s="194">
        <f t="shared" si="161"/>
        <v>0</v>
      </c>
      <c r="K184" s="139"/>
      <c r="L184" s="139"/>
      <c r="M184" s="221"/>
      <c r="N184" s="221"/>
      <c r="O184" s="139"/>
      <c r="P184" s="139"/>
      <c r="Q184" s="141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</row>
    <row r="185" ht="27.0" customHeight="1">
      <c r="A185" s="160"/>
      <c r="B185" s="191" t="s">
        <v>69</v>
      </c>
      <c r="C185" s="191">
        <v>52.0</v>
      </c>
      <c r="D185" s="191">
        <v>204.0</v>
      </c>
      <c r="E185" s="191">
        <v>113.0</v>
      </c>
      <c r="F185" s="191">
        <f t="shared" si="158"/>
        <v>0.2</v>
      </c>
      <c r="G185" s="191">
        <f t="shared" si="159"/>
        <v>0</v>
      </c>
      <c r="H185" s="192">
        <f t="shared" si="160"/>
        <v>0</v>
      </c>
      <c r="I185" s="191">
        <v>1.0</v>
      </c>
      <c r="J185" s="194">
        <f t="shared" si="161"/>
        <v>0</v>
      </c>
      <c r="K185" s="139"/>
      <c r="L185" s="139"/>
      <c r="M185" s="221"/>
      <c r="N185" s="221"/>
      <c r="O185" s="139"/>
      <c r="P185" s="139"/>
      <c r="Q185" s="141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</row>
    <row r="186" ht="27.0" customHeight="1">
      <c r="A186" s="160"/>
      <c r="B186" s="191" t="s">
        <v>93</v>
      </c>
      <c r="C186" s="191">
        <v>77.0</v>
      </c>
      <c r="D186" s="191">
        <v>200.0</v>
      </c>
      <c r="E186" s="191">
        <v>229.0</v>
      </c>
      <c r="F186" s="191">
        <f t="shared" si="158"/>
        <v>0.2</v>
      </c>
      <c r="G186" s="191">
        <f t="shared" si="159"/>
        <v>0</v>
      </c>
      <c r="H186" s="192">
        <f t="shared" si="160"/>
        <v>0</v>
      </c>
      <c r="I186" s="191">
        <v>1.0</v>
      </c>
      <c r="J186" s="194">
        <f t="shared" si="161"/>
        <v>0</v>
      </c>
      <c r="K186" s="139"/>
      <c r="L186" s="139"/>
      <c r="M186" s="221"/>
      <c r="N186" s="221"/>
      <c r="O186" s="139"/>
      <c r="P186" s="139"/>
      <c r="Q186" s="141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</row>
    <row r="187" ht="27.0" customHeight="1">
      <c r="A187" s="160">
        <v>10.0</v>
      </c>
      <c r="B187" s="191" t="s">
        <v>94</v>
      </c>
      <c r="C187" s="191">
        <v>62.0</v>
      </c>
      <c r="D187" s="191">
        <v>206.0</v>
      </c>
      <c r="E187" s="191">
        <v>132.0</v>
      </c>
      <c r="F187" s="191">
        <f t="shared" si="158"/>
        <v>0.2</v>
      </c>
      <c r="G187" s="191">
        <f t="shared" si="159"/>
        <v>0</v>
      </c>
      <c r="H187" s="192">
        <f t="shared" si="160"/>
        <v>0</v>
      </c>
      <c r="I187" s="191">
        <v>1.0</v>
      </c>
      <c r="J187" s="194">
        <f t="shared" si="161"/>
        <v>0</v>
      </c>
      <c r="K187" s="139"/>
      <c r="L187" s="139"/>
      <c r="M187" s="221"/>
      <c r="N187" s="221"/>
      <c r="O187" s="139"/>
      <c r="P187" s="139"/>
      <c r="Q187" s="141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</row>
    <row r="188" ht="24.75" customHeight="1">
      <c r="A188" s="160"/>
      <c r="B188" s="197"/>
      <c r="C188" s="197"/>
      <c r="D188" s="197"/>
      <c r="E188" s="197"/>
      <c r="F188" s="197"/>
      <c r="G188" s="197"/>
      <c r="H188" s="269" t="s">
        <v>38</v>
      </c>
      <c r="I188" s="197"/>
      <c r="J188" s="226">
        <f>SUM(J174:J187)</f>
        <v>0</v>
      </c>
      <c r="K188" s="139"/>
      <c r="L188" s="139"/>
      <c r="M188" s="139"/>
      <c r="N188" s="139"/>
      <c r="O188" s="139"/>
      <c r="P188" s="139"/>
      <c r="Q188" s="141"/>
      <c r="R188" s="227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</row>
    <row r="189" ht="18.75" customHeight="1">
      <c r="A189" s="174"/>
      <c r="B189" s="144"/>
      <c r="C189" s="144"/>
      <c r="D189" s="144"/>
      <c r="E189" s="144"/>
      <c r="F189" s="144"/>
      <c r="G189" s="144"/>
      <c r="H189" s="145"/>
      <c r="I189" s="144"/>
      <c r="J189" s="175"/>
      <c r="K189" s="139"/>
      <c r="L189" s="139"/>
      <c r="M189" s="139"/>
      <c r="N189" s="139"/>
      <c r="O189" s="139"/>
      <c r="P189" s="139"/>
      <c r="Q189" s="141"/>
      <c r="R189" s="227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</row>
    <row r="190" ht="18.75" customHeight="1">
      <c r="A190" s="139"/>
      <c r="B190" s="139"/>
      <c r="C190" s="139"/>
      <c r="D190" s="139"/>
      <c r="E190" s="139"/>
      <c r="F190" s="139"/>
      <c r="G190" s="139"/>
      <c r="H190" s="140"/>
      <c r="I190" s="139"/>
      <c r="J190" s="139"/>
      <c r="K190" s="139"/>
      <c r="L190" s="139"/>
      <c r="M190" s="139"/>
      <c r="N190" s="139"/>
      <c r="O190" s="139"/>
      <c r="P190" s="139"/>
      <c r="Q190" s="141"/>
      <c r="R190" s="227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</row>
    <row r="191" ht="18.75" customHeight="1">
      <c r="A191" s="139"/>
      <c r="B191" s="139"/>
      <c r="C191" s="139"/>
      <c r="D191" s="139"/>
      <c r="E191" s="139"/>
      <c r="F191" s="139"/>
      <c r="G191" s="139"/>
      <c r="H191" s="140"/>
      <c r="I191" s="139"/>
      <c r="J191" s="139"/>
      <c r="K191" s="139"/>
      <c r="L191" s="139"/>
      <c r="M191" s="139"/>
      <c r="N191" s="139"/>
      <c r="O191" s="139"/>
      <c r="P191" s="139"/>
      <c r="Q191" s="141"/>
      <c r="R191" s="227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</row>
    <row r="192" ht="18.75" customHeight="1">
      <c r="A192" s="139" t="s">
        <v>39</v>
      </c>
      <c r="B192" s="139"/>
      <c r="C192" s="139"/>
      <c r="D192" s="139"/>
      <c r="E192" s="139"/>
      <c r="F192" s="139"/>
      <c r="G192" s="139"/>
      <c r="H192" s="140"/>
      <c r="I192" s="139"/>
      <c r="J192" s="139"/>
      <c r="K192" s="139"/>
      <c r="L192" s="139"/>
      <c r="M192" s="139"/>
      <c r="N192" s="139"/>
      <c r="O192" s="139"/>
      <c r="P192" s="139"/>
      <c r="Q192" s="141"/>
      <c r="R192" s="227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</row>
    <row r="193" ht="18.75" customHeight="1">
      <c r="A193" s="139"/>
      <c r="B193" s="139"/>
      <c r="C193" s="139"/>
      <c r="D193" s="139"/>
      <c r="E193" s="139"/>
      <c r="F193" s="139"/>
      <c r="G193" s="139"/>
      <c r="H193" s="140"/>
      <c r="I193" s="139"/>
      <c r="J193" s="139"/>
      <c r="K193" s="139"/>
      <c r="L193" s="139"/>
      <c r="M193" s="139"/>
      <c r="N193" s="139"/>
      <c r="O193" s="139"/>
      <c r="P193" s="139"/>
      <c r="Q193" s="141"/>
      <c r="R193" s="227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</row>
    <row r="194" ht="42.0" customHeight="1">
      <c r="A194" s="176"/>
      <c r="B194" s="160" t="s">
        <v>12</v>
      </c>
      <c r="C194" s="177" t="s">
        <v>74</v>
      </c>
      <c r="D194" s="52"/>
      <c r="E194" s="53"/>
      <c r="F194" s="228"/>
      <c r="G194" s="228"/>
      <c r="H194" s="179" t="s">
        <v>14</v>
      </c>
      <c r="I194" s="224" t="s">
        <v>15</v>
      </c>
      <c r="J194" s="160" t="s">
        <v>16</v>
      </c>
      <c r="K194" s="139"/>
      <c r="L194" s="139"/>
      <c r="M194" s="139"/>
      <c r="N194" s="139"/>
      <c r="O194" s="139"/>
      <c r="P194" s="139"/>
      <c r="Q194" s="141"/>
      <c r="R194" s="227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</row>
    <row r="195" ht="24.75" customHeight="1">
      <c r="A195" s="160">
        <v>1.0</v>
      </c>
      <c r="B195" s="233" t="s">
        <v>76</v>
      </c>
      <c r="C195" s="181"/>
      <c r="D195" s="181"/>
      <c r="E195" s="181"/>
      <c r="F195" s="181"/>
      <c r="G195" s="181"/>
      <c r="H195" s="232">
        <v>30.0</v>
      </c>
      <c r="I195" s="181">
        <v>1.0</v>
      </c>
      <c r="J195" s="194">
        <f t="shared" ref="J195:J222" si="165">+I195*H195</f>
        <v>30</v>
      </c>
      <c r="K195" s="176"/>
      <c r="L195" s="176"/>
      <c r="M195" s="176"/>
      <c r="N195" s="176"/>
      <c r="O195" s="176"/>
      <c r="P195" s="176"/>
      <c r="Q195" s="231"/>
      <c r="R195" s="227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</row>
    <row r="196" ht="24.75" customHeight="1">
      <c r="A196" s="160">
        <v>2.0</v>
      </c>
      <c r="B196" s="234" t="s">
        <v>76</v>
      </c>
      <c r="C196" s="181"/>
      <c r="D196" s="181"/>
      <c r="E196" s="181"/>
      <c r="F196" s="181"/>
      <c r="G196" s="181"/>
      <c r="H196" s="232">
        <v>19.0</v>
      </c>
      <c r="I196" s="181">
        <v>1.0</v>
      </c>
      <c r="J196" s="194">
        <f t="shared" si="165"/>
        <v>19</v>
      </c>
      <c r="K196" s="176"/>
      <c r="L196" s="176"/>
      <c r="M196" s="176"/>
      <c r="N196" s="176"/>
      <c r="O196" s="176"/>
      <c r="P196" s="176"/>
      <c r="Q196" s="231"/>
      <c r="R196" s="227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</row>
    <row r="197" ht="24.75" customHeight="1">
      <c r="A197" s="160">
        <v>3.0</v>
      </c>
      <c r="B197" s="233" t="s">
        <v>82</v>
      </c>
      <c r="C197" s="181"/>
      <c r="D197" s="181"/>
      <c r="E197" s="181"/>
      <c r="F197" s="181"/>
      <c r="G197" s="181"/>
      <c r="H197" s="232">
        <v>25.0</v>
      </c>
      <c r="I197" s="181">
        <v>1.0</v>
      </c>
      <c r="J197" s="194">
        <f t="shared" si="165"/>
        <v>25</v>
      </c>
      <c r="K197" s="176"/>
      <c r="L197" s="176"/>
      <c r="M197" s="176"/>
      <c r="N197" s="176"/>
      <c r="O197" s="176"/>
      <c r="P197" s="176"/>
      <c r="Q197" s="231"/>
      <c r="R197" s="227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</row>
    <row r="198" ht="24.75" customHeight="1">
      <c r="A198" s="160">
        <v>4.0</v>
      </c>
      <c r="B198" s="234" t="s">
        <v>82</v>
      </c>
      <c r="C198" s="181"/>
      <c r="D198" s="181"/>
      <c r="E198" s="181"/>
      <c r="F198" s="181"/>
      <c r="G198" s="181"/>
      <c r="H198" s="232">
        <v>21.0</v>
      </c>
      <c r="I198" s="181">
        <v>1.0</v>
      </c>
      <c r="J198" s="194">
        <f t="shared" si="165"/>
        <v>21</v>
      </c>
      <c r="K198" s="176"/>
      <c r="L198" s="176"/>
      <c r="M198" s="176"/>
      <c r="N198" s="176"/>
      <c r="O198" s="176"/>
      <c r="P198" s="176"/>
      <c r="Q198" s="231"/>
      <c r="R198" s="227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</row>
    <row r="199" ht="24.75" customHeight="1">
      <c r="A199" s="160">
        <v>5.0</v>
      </c>
      <c r="B199" s="233" t="s">
        <v>82</v>
      </c>
      <c r="C199" s="181"/>
      <c r="D199" s="181"/>
      <c r="E199" s="181"/>
      <c r="F199" s="181"/>
      <c r="G199" s="181"/>
      <c r="H199" s="232">
        <v>30.0</v>
      </c>
      <c r="I199" s="181">
        <v>1.0</v>
      </c>
      <c r="J199" s="194">
        <f t="shared" si="165"/>
        <v>30</v>
      </c>
      <c r="K199" s="176"/>
      <c r="L199" s="176"/>
      <c r="M199" s="176"/>
      <c r="N199" s="176"/>
      <c r="O199" s="176"/>
      <c r="P199" s="176"/>
      <c r="Q199" s="231"/>
      <c r="R199" s="227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</row>
    <row r="200" ht="24.75" customHeight="1">
      <c r="A200" s="160">
        <v>6.0</v>
      </c>
      <c r="B200" s="234" t="s">
        <v>82</v>
      </c>
      <c r="C200" s="181"/>
      <c r="D200" s="181"/>
      <c r="E200" s="181"/>
      <c r="F200" s="181"/>
      <c r="G200" s="181"/>
      <c r="H200" s="232">
        <v>22.0</v>
      </c>
      <c r="I200" s="181">
        <v>1.0</v>
      </c>
      <c r="J200" s="194">
        <f t="shared" si="165"/>
        <v>22</v>
      </c>
      <c r="K200" s="176"/>
      <c r="L200" s="176"/>
      <c r="M200" s="176"/>
      <c r="N200" s="176"/>
      <c r="O200" s="176"/>
      <c r="P200" s="176"/>
      <c r="Q200" s="231"/>
      <c r="R200" s="227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</row>
    <row r="201" ht="24.75" customHeight="1">
      <c r="A201" s="160">
        <v>7.0</v>
      </c>
      <c r="B201" s="233" t="s">
        <v>89</v>
      </c>
      <c r="C201" s="181"/>
      <c r="D201" s="181"/>
      <c r="E201" s="181"/>
      <c r="F201" s="181"/>
      <c r="G201" s="181"/>
      <c r="H201" s="232">
        <v>40.0</v>
      </c>
      <c r="I201" s="181">
        <v>1.0</v>
      </c>
      <c r="J201" s="194">
        <f t="shared" si="165"/>
        <v>40</v>
      </c>
      <c r="K201" s="176"/>
      <c r="L201" s="176"/>
      <c r="M201" s="176"/>
      <c r="N201" s="176"/>
      <c r="O201" s="176"/>
      <c r="P201" s="176"/>
      <c r="Q201" s="231"/>
      <c r="R201" s="227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</row>
    <row r="202" ht="24.75" customHeight="1">
      <c r="A202" s="160">
        <v>8.0</v>
      </c>
      <c r="B202" s="234" t="s">
        <v>89</v>
      </c>
      <c r="C202" s="181"/>
      <c r="D202" s="181"/>
      <c r="E202" s="181"/>
      <c r="F202" s="181"/>
      <c r="G202" s="181"/>
      <c r="H202" s="232">
        <v>23.0</v>
      </c>
      <c r="I202" s="181">
        <v>1.0</v>
      </c>
      <c r="J202" s="194">
        <f t="shared" si="165"/>
        <v>23</v>
      </c>
      <c r="K202" s="176"/>
      <c r="L202" s="176"/>
      <c r="M202" s="176"/>
      <c r="N202" s="176"/>
      <c r="O202" s="176"/>
      <c r="P202" s="176"/>
      <c r="Q202" s="231"/>
      <c r="R202" s="227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</row>
    <row r="203" ht="24.75" customHeight="1">
      <c r="A203" s="160">
        <v>9.0</v>
      </c>
      <c r="B203" s="233" t="s">
        <v>91</v>
      </c>
      <c r="C203" s="181"/>
      <c r="D203" s="181"/>
      <c r="E203" s="181"/>
      <c r="F203" s="181"/>
      <c r="G203" s="181"/>
      <c r="H203" s="232">
        <v>32.0</v>
      </c>
      <c r="I203" s="181">
        <v>1.0</v>
      </c>
      <c r="J203" s="194">
        <f t="shared" si="165"/>
        <v>32</v>
      </c>
      <c r="K203" s="176"/>
      <c r="L203" s="176"/>
      <c r="M203" s="176"/>
      <c r="N203" s="176"/>
      <c r="O203" s="176"/>
      <c r="P203" s="176"/>
      <c r="Q203" s="231"/>
      <c r="R203" s="227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</row>
    <row r="204" ht="24.75" customHeight="1">
      <c r="A204" s="160">
        <v>10.0</v>
      </c>
      <c r="B204" s="234" t="s">
        <v>91</v>
      </c>
      <c r="C204" s="181"/>
      <c r="D204" s="181"/>
      <c r="E204" s="181"/>
      <c r="F204" s="181"/>
      <c r="G204" s="181"/>
      <c r="H204" s="232">
        <v>24.0</v>
      </c>
      <c r="I204" s="181">
        <v>1.0</v>
      </c>
      <c r="J204" s="194">
        <f t="shared" si="165"/>
        <v>24</v>
      </c>
      <c r="K204" s="176"/>
      <c r="L204" s="176"/>
      <c r="M204" s="176"/>
      <c r="N204" s="176"/>
      <c r="O204" s="176"/>
      <c r="P204" s="176"/>
      <c r="Q204" s="231"/>
      <c r="R204" s="227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</row>
    <row r="205" ht="24.75" customHeight="1">
      <c r="A205" s="160">
        <v>11.0</v>
      </c>
      <c r="B205" s="233" t="s">
        <v>56</v>
      </c>
      <c r="C205" s="181"/>
      <c r="D205" s="181"/>
      <c r="E205" s="181"/>
      <c r="F205" s="181"/>
      <c r="G205" s="181"/>
      <c r="H205" s="232">
        <v>50.0</v>
      </c>
      <c r="I205" s="181">
        <v>1.0</v>
      </c>
      <c r="J205" s="194">
        <f t="shared" si="165"/>
        <v>50</v>
      </c>
      <c r="K205" s="176"/>
      <c r="L205" s="176"/>
      <c r="M205" s="176"/>
      <c r="N205" s="176"/>
      <c r="O205" s="176"/>
      <c r="P205" s="176"/>
      <c r="Q205" s="231"/>
      <c r="R205" s="227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</row>
    <row r="206" ht="24.75" customHeight="1">
      <c r="A206" s="160">
        <v>12.0</v>
      </c>
      <c r="B206" s="234" t="s">
        <v>56</v>
      </c>
      <c r="C206" s="181"/>
      <c r="D206" s="181"/>
      <c r="E206" s="181"/>
      <c r="F206" s="181"/>
      <c r="G206" s="181"/>
      <c r="H206" s="232">
        <v>32.0</v>
      </c>
      <c r="I206" s="181">
        <v>1.0</v>
      </c>
      <c r="J206" s="194">
        <f t="shared" si="165"/>
        <v>32</v>
      </c>
      <c r="K206" s="176"/>
      <c r="L206" s="176"/>
      <c r="M206" s="176"/>
      <c r="N206" s="176"/>
      <c r="O206" s="176"/>
      <c r="P206" s="176"/>
      <c r="Q206" s="231"/>
      <c r="R206" s="227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</row>
    <row r="207" ht="24.75" customHeight="1">
      <c r="A207" s="160">
        <v>13.0</v>
      </c>
      <c r="B207" s="233" t="s">
        <v>56</v>
      </c>
      <c r="C207" s="181"/>
      <c r="D207" s="181"/>
      <c r="E207" s="181"/>
      <c r="F207" s="181"/>
      <c r="G207" s="181"/>
      <c r="H207" s="232">
        <v>47.0</v>
      </c>
      <c r="I207" s="181">
        <v>1.0</v>
      </c>
      <c r="J207" s="194">
        <f t="shared" si="165"/>
        <v>47</v>
      </c>
      <c r="K207" s="176"/>
      <c r="L207" s="176"/>
      <c r="M207" s="176"/>
      <c r="N207" s="176"/>
      <c r="O207" s="176"/>
      <c r="P207" s="176"/>
      <c r="Q207" s="231"/>
      <c r="R207" s="227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</row>
    <row r="208" ht="24.75" customHeight="1">
      <c r="A208" s="160">
        <v>14.0</v>
      </c>
      <c r="B208" s="234" t="s">
        <v>56</v>
      </c>
      <c r="C208" s="181"/>
      <c r="D208" s="181"/>
      <c r="E208" s="181"/>
      <c r="F208" s="181"/>
      <c r="G208" s="181"/>
      <c r="H208" s="232">
        <v>30.0</v>
      </c>
      <c r="I208" s="181">
        <v>1.0</v>
      </c>
      <c r="J208" s="194">
        <f t="shared" si="165"/>
        <v>30</v>
      </c>
      <c r="K208" s="176"/>
      <c r="L208" s="176"/>
      <c r="M208" s="176"/>
      <c r="N208" s="176"/>
      <c r="O208" s="176"/>
      <c r="P208" s="176"/>
      <c r="Q208" s="231"/>
      <c r="R208" s="227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</row>
    <row r="209" ht="24.75" customHeight="1">
      <c r="A209" s="160">
        <v>15.0</v>
      </c>
      <c r="B209" s="233" t="s">
        <v>58</v>
      </c>
      <c r="C209" s="181"/>
      <c r="D209" s="181"/>
      <c r="E209" s="181"/>
      <c r="F209" s="181"/>
      <c r="G209" s="181"/>
      <c r="H209" s="232">
        <v>23.0</v>
      </c>
      <c r="I209" s="181">
        <v>1.0</v>
      </c>
      <c r="J209" s="194">
        <f t="shared" si="165"/>
        <v>23</v>
      </c>
      <c r="K209" s="176"/>
      <c r="L209" s="176"/>
      <c r="M209" s="176"/>
      <c r="N209" s="176"/>
      <c r="O209" s="176"/>
      <c r="P209" s="176"/>
      <c r="Q209" s="231"/>
      <c r="R209" s="227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</row>
    <row r="210" ht="24.75" customHeight="1">
      <c r="A210" s="160">
        <v>16.0</v>
      </c>
      <c r="B210" s="234" t="s">
        <v>58</v>
      </c>
      <c r="C210" s="181"/>
      <c r="D210" s="181"/>
      <c r="E210" s="181"/>
      <c r="F210" s="181"/>
      <c r="G210" s="181"/>
      <c r="H210" s="232">
        <v>18.0</v>
      </c>
      <c r="I210" s="181">
        <v>1.0</v>
      </c>
      <c r="J210" s="194">
        <f t="shared" si="165"/>
        <v>18</v>
      </c>
      <c r="K210" s="176"/>
      <c r="L210" s="176"/>
      <c r="M210" s="176"/>
      <c r="N210" s="176"/>
      <c r="O210" s="176"/>
      <c r="P210" s="176"/>
      <c r="Q210" s="231"/>
      <c r="R210" s="227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</row>
    <row r="211" ht="24.75" customHeight="1">
      <c r="A211" s="160">
        <v>17.0</v>
      </c>
      <c r="B211" s="233" t="s">
        <v>58</v>
      </c>
      <c r="C211" s="181"/>
      <c r="D211" s="181"/>
      <c r="E211" s="181"/>
      <c r="F211" s="181"/>
      <c r="G211" s="181"/>
      <c r="H211" s="232">
        <v>28.0</v>
      </c>
      <c r="I211" s="181">
        <v>1.0</v>
      </c>
      <c r="J211" s="194">
        <f t="shared" si="165"/>
        <v>28</v>
      </c>
      <c r="K211" s="176"/>
      <c r="L211" s="176"/>
      <c r="M211" s="176"/>
      <c r="N211" s="176"/>
      <c r="O211" s="176"/>
      <c r="P211" s="176"/>
      <c r="Q211" s="231"/>
      <c r="R211" s="227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</row>
    <row r="212" ht="24.75" customHeight="1">
      <c r="A212" s="160">
        <v>18.0</v>
      </c>
      <c r="B212" s="234" t="s">
        <v>58</v>
      </c>
      <c r="C212" s="181"/>
      <c r="D212" s="181"/>
      <c r="E212" s="181"/>
      <c r="F212" s="181"/>
      <c r="G212" s="181"/>
      <c r="H212" s="232">
        <v>25.0</v>
      </c>
      <c r="I212" s="181">
        <v>1.0</v>
      </c>
      <c r="J212" s="194">
        <f t="shared" si="165"/>
        <v>25</v>
      </c>
      <c r="K212" s="176"/>
      <c r="L212" s="176"/>
      <c r="M212" s="176"/>
      <c r="N212" s="176"/>
      <c r="O212" s="176"/>
      <c r="P212" s="176"/>
      <c r="Q212" s="231"/>
      <c r="R212" s="140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</row>
    <row r="213" ht="24.75" customHeight="1">
      <c r="A213" s="160">
        <v>19.0</v>
      </c>
      <c r="B213" s="233" t="s">
        <v>84</v>
      </c>
      <c r="C213" s="181"/>
      <c r="D213" s="181"/>
      <c r="E213" s="181"/>
      <c r="F213" s="181"/>
      <c r="G213" s="181"/>
      <c r="H213" s="232">
        <v>35.0</v>
      </c>
      <c r="I213" s="181">
        <v>1.0</v>
      </c>
      <c r="J213" s="194">
        <f t="shared" si="165"/>
        <v>35</v>
      </c>
      <c r="K213" s="176"/>
      <c r="L213" s="176"/>
      <c r="M213" s="176"/>
      <c r="N213" s="176"/>
      <c r="O213" s="176"/>
      <c r="P213" s="176"/>
      <c r="Q213" s="231"/>
      <c r="R213" s="227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</row>
    <row r="214" ht="24.75" customHeight="1">
      <c r="A214" s="160">
        <v>20.0</v>
      </c>
      <c r="B214" s="234" t="s">
        <v>84</v>
      </c>
      <c r="C214" s="181"/>
      <c r="D214" s="181"/>
      <c r="E214" s="181"/>
      <c r="F214" s="181"/>
      <c r="G214" s="181"/>
      <c r="H214" s="232">
        <v>20.0</v>
      </c>
      <c r="I214" s="181">
        <v>1.0</v>
      </c>
      <c r="J214" s="194">
        <f t="shared" si="165"/>
        <v>20</v>
      </c>
      <c r="K214" s="176"/>
      <c r="L214" s="176"/>
      <c r="M214" s="176"/>
      <c r="N214" s="176"/>
      <c r="O214" s="176"/>
      <c r="P214" s="176"/>
      <c r="Q214" s="231"/>
      <c r="R214" s="227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</row>
    <row r="215" ht="24.75" customHeight="1">
      <c r="A215" s="160">
        <v>21.0</v>
      </c>
      <c r="B215" s="233" t="s">
        <v>60</v>
      </c>
      <c r="C215" s="181"/>
      <c r="D215" s="181"/>
      <c r="E215" s="181"/>
      <c r="F215" s="181"/>
      <c r="G215" s="181"/>
      <c r="H215" s="232">
        <v>20.0</v>
      </c>
      <c r="I215" s="181">
        <v>1.0</v>
      </c>
      <c r="J215" s="194">
        <f t="shared" si="165"/>
        <v>20</v>
      </c>
      <c r="K215" s="176"/>
      <c r="L215" s="176"/>
      <c r="M215" s="176"/>
      <c r="N215" s="176"/>
      <c r="O215" s="176"/>
      <c r="P215" s="176"/>
      <c r="Q215" s="231"/>
      <c r="R215" s="227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</row>
    <row r="216" ht="24.75" customHeight="1">
      <c r="A216" s="160">
        <v>22.0</v>
      </c>
      <c r="B216" s="234" t="s">
        <v>60</v>
      </c>
      <c r="C216" s="181"/>
      <c r="D216" s="181"/>
      <c r="E216" s="181"/>
      <c r="F216" s="181"/>
      <c r="G216" s="181"/>
      <c r="H216" s="232">
        <v>19.0</v>
      </c>
      <c r="I216" s="181">
        <v>1.0</v>
      </c>
      <c r="J216" s="194">
        <f t="shared" si="165"/>
        <v>19</v>
      </c>
      <c r="K216" s="176"/>
      <c r="L216" s="176"/>
      <c r="M216" s="176"/>
      <c r="N216" s="176"/>
      <c r="O216" s="176"/>
      <c r="P216" s="176"/>
      <c r="Q216" s="237"/>
      <c r="R216" s="271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75"/>
      <c r="AE216" s="175"/>
      <c r="AF216" s="175"/>
      <c r="AG216" s="175"/>
      <c r="AH216" s="175"/>
      <c r="AI216" s="175"/>
      <c r="AJ216" s="175"/>
      <c r="AK216" s="175"/>
      <c r="AL216" s="175"/>
      <c r="AM216" s="175"/>
      <c r="AN216" s="175"/>
      <c r="AO216" s="175"/>
      <c r="AP216" s="175"/>
      <c r="AQ216" s="175"/>
      <c r="AR216" s="175"/>
      <c r="AS216" s="175"/>
    </row>
    <row r="217" ht="24.75" customHeight="1">
      <c r="A217" s="160">
        <v>23.0</v>
      </c>
      <c r="B217" s="233" t="s">
        <v>59</v>
      </c>
      <c r="C217" s="181"/>
      <c r="D217" s="181"/>
      <c r="E217" s="181"/>
      <c r="F217" s="181"/>
      <c r="G217" s="181"/>
      <c r="H217" s="232">
        <v>24.0</v>
      </c>
      <c r="I217" s="181">
        <v>1.0</v>
      </c>
      <c r="J217" s="194">
        <f t="shared" si="165"/>
        <v>24</v>
      </c>
      <c r="K217" s="176"/>
      <c r="L217" s="176"/>
      <c r="M217" s="176"/>
      <c r="N217" s="176"/>
      <c r="O217" s="176"/>
      <c r="P217" s="176"/>
      <c r="Q217" s="207"/>
      <c r="R217" s="272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  <c r="AN217" s="176"/>
      <c r="AO217" s="176"/>
      <c r="AP217" s="176"/>
      <c r="AQ217" s="176"/>
      <c r="AR217" s="176"/>
      <c r="AS217" s="176"/>
    </row>
    <row r="218" ht="24.75" customHeight="1">
      <c r="A218" s="160">
        <v>24.0</v>
      </c>
      <c r="B218" s="234" t="s">
        <v>59</v>
      </c>
      <c r="C218" s="181"/>
      <c r="D218" s="181"/>
      <c r="E218" s="181"/>
      <c r="F218" s="181"/>
      <c r="G218" s="181"/>
      <c r="H218" s="232">
        <v>17.0</v>
      </c>
      <c r="I218" s="181">
        <v>1.0</v>
      </c>
      <c r="J218" s="194">
        <f t="shared" si="165"/>
        <v>17</v>
      </c>
      <c r="K218" s="176"/>
      <c r="L218" s="176"/>
      <c r="M218" s="176"/>
      <c r="N218" s="176"/>
      <c r="O218" s="176"/>
      <c r="P218" s="176"/>
      <c r="Q218" s="207"/>
      <c r="R218" s="272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</row>
    <row r="219" ht="24.75" customHeight="1">
      <c r="A219" s="160">
        <v>25.0</v>
      </c>
      <c r="B219" s="233" t="s">
        <v>85</v>
      </c>
      <c r="C219" s="181"/>
      <c r="D219" s="181"/>
      <c r="E219" s="181"/>
      <c r="F219" s="181"/>
      <c r="G219" s="181"/>
      <c r="H219" s="232">
        <v>19.0</v>
      </c>
      <c r="I219" s="181">
        <v>1.0</v>
      </c>
      <c r="J219" s="194">
        <f t="shared" si="165"/>
        <v>19</v>
      </c>
      <c r="K219" s="176"/>
      <c r="L219" s="176"/>
      <c r="M219" s="176"/>
      <c r="N219" s="176"/>
      <c r="O219" s="176"/>
      <c r="P219" s="176"/>
      <c r="Q219" s="207"/>
      <c r="R219" s="272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  <c r="AD219" s="176"/>
      <c r="AE219" s="176"/>
      <c r="AF219" s="176"/>
      <c r="AG219" s="176"/>
      <c r="AH219" s="176"/>
      <c r="AI219" s="176"/>
      <c r="AJ219" s="176"/>
      <c r="AK219" s="176"/>
      <c r="AL219" s="176"/>
      <c r="AM219" s="176"/>
      <c r="AN219" s="176"/>
      <c r="AO219" s="176"/>
      <c r="AP219" s="176"/>
      <c r="AQ219" s="176"/>
      <c r="AR219" s="176"/>
      <c r="AS219" s="176"/>
    </row>
    <row r="220" ht="24.75" customHeight="1">
      <c r="A220" s="160">
        <v>26.0</v>
      </c>
      <c r="B220" s="234" t="s">
        <v>85</v>
      </c>
      <c r="C220" s="181"/>
      <c r="D220" s="181"/>
      <c r="E220" s="181"/>
      <c r="F220" s="181"/>
      <c r="G220" s="181"/>
      <c r="H220" s="181">
        <v>15.0</v>
      </c>
      <c r="I220" s="181">
        <v>1.0</v>
      </c>
      <c r="J220" s="194">
        <f t="shared" si="165"/>
        <v>15</v>
      </c>
      <c r="K220" s="176"/>
      <c r="L220" s="176"/>
      <c r="M220" s="176"/>
      <c r="N220" s="176"/>
      <c r="O220" s="176"/>
      <c r="P220" s="176"/>
      <c r="Q220" s="207"/>
      <c r="R220" s="272"/>
      <c r="S220" s="176"/>
      <c r="T220" s="176"/>
      <c r="U220" s="176"/>
      <c r="V220" s="176"/>
      <c r="W220" s="176"/>
      <c r="X220" s="176"/>
      <c r="Y220" s="176"/>
      <c r="Z220" s="176"/>
      <c r="AA220" s="176"/>
      <c r="AB220" s="176"/>
      <c r="AC220" s="176"/>
      <c r="AD220" s="176"/>
      <c r="AE220" s="176"/>
      <c r="AF220" s="176"/>
      <c r="AG220" s="176"/>
      <c r="AH220" s="176"/>
      <c r="AI220" s="176"/>
      <c r="AJ220" s="176"/>
      <c r="AK220" s="176"/>
      <c r="AL220" s="176"/>
      <c r="AM220" s="176"/>
      <c r="AN220" s="176"/>
      <c r="AO220" s="176"/>
      <c r="AP220" s="176"/>
      <c r="AQ220" s="176"/>
      <c r="AR220" s="176"/>
      <c r="AS220" s="176"/>
    </row>
    <row r="221" ht="24.75" customHeight="1">
      <c r="A221" s="160">
        <v>27.0</v>
      </c>
      <c r="B221" s="233" t="s">
        <v>95</v>
      </c>
      <c r="C221" s="181"/>
      <c r="D221" s="181"/>
      <c r="E221" s="181"/>
      <c r="F221" s="181"/>
      <c r="G221" s="181"/>
      <c r="H221" s="181">
        <v>35.0</v>
      </c>
      <c r="I221" s="181">
        <v>1.0</v>
      </c>
      <c r="J221" s="194">
        <f t="shared" si="165"/>
        <v>35</v>
      </c>
      <c r="K221" s="176"/>
      <c r="L221" s="176"/>
      <c r="M221" s="176"/>
      <c r="N221" s="176"/>
      <c r="O221" s="176"/>
      <c r="P221" s="176"/>
      <c r="Q221" s="207"/>
      <c r="R221" s="272"/>
      <c r="S221" s="176"/>
      <c r="T221" s="176"/>
      <c r="U221" s="176"/>
      <c r="V221" s="176"/>
      <c r="W221" s="176"/>
      <c r="X221" s="176"/>
      <c r="Y221" s="176"/>
      <c r="Z221" s="176"/>
      <c r="AA221" s="176"/>
      <c r="AB221" s="176"/>
      <c r="AC221" s="176"/>
      <c r="AD221" s="176"/>
      <c r="AE221" s="176"/>
      <c r="AF221" s="176"/>
      <c r="AG221" s="176"/>
      <c r="AH221" s="176"/>
      <c r="AI221" s="176"/>
      <c r="AJ221" s="176"/>
      <c r="AK221" s="176"/>
      <c r="AL221" s="176"/>
      <c r="AM221" s="176"/>
      <c r="AN221" s="176"/>
      <c r="AO221" s="176"/>
      <c r="AP221" s="176"/>
      <c r="AQ221" s="176"/>
      <c r="AR221" s="176"/>
      <c r="AS221" s="176"/>
    </row>
    <row r="222" ht="24.75" customHeight="1">
      <c r="A222" s="160">
        <v>28.0</v>
      </c>
      <c r="B222" s="273" t="s">
        <v>95</v>
      </c>
      <c r="C222" s="181"/>
      <c r="D222" s="181"/>
      <c r="E222" s="181"/>
      <c r="F222" s="181"/>
      <c r="G222" s="181"/>
      <c r="H222" s="181">
        <v>10.0</v>
      </c>
      <c r="I222" s="181">
        <v>1.0</v>
      </c>
      <c r="J222" s="194">
        <f t="shared" si="165"/>
        <v>10</v>
      </c>
      <c r="K222" s="176"/>
      <c r="L222" s="176"/>
      <c r="M222" s="176"/>
      <c r="N222" s="176"/>
      <c r="O222" s="176"/>
      <c r="P222" s="176"/>
      <c r="Q222" s="207"/>
      <c r="R222" s="272"/>
      <c r="S222" s="176"/>
      <c r="T222" s="176"/>
      <c r="U222" s="176"/>
      <c r="V222" s="176"/>
      <c r="W222" s="176"/>
      <c r="X222" s="176"/>
      <c r="Y222" s="176"/>
      <c r="Z222" s="176"/>
      <c r="AA222" s="176"/>
      <c r="AB222" s="176"/>
      <c r="AC222" s="176"/>
      <c r="AD222" s="176"/>
      <c r="AE222" s="176"/>
      <c r="AF222" s="176"/>
      <c r="AG222" s="176"/>
      <c r="AH222" s="176"/>
      <c r="AI222" s="176"/>
      <c r="AJ222" s="176"/>
      <c r="AK222" s="176"/>
      <c r="AL222" s="176"/>
      <c r="AM222" s="176"/>
      <c r="AN222" s="176"/>
      <c r="AO222" s="176"/>
      <c r="AP222" s="176"/>
      <c r="AQ222" s="176"/>
      <c r="AR222" s="176"/>
      <c r="AS222" s="176"/>
    </row>
    <row r="223" ht="18.75" customHeight="1">
      <c r="A223" s="139"/>
      <c r="B223" s="139"/>
      <c r="C223" s="139"/>
      <c r="D223" s="139"/>
      <c r="E223" s="139"/>
      <c r="F223" s="139"/>
      <c r="G223" s="139"/>
      <c r="H223" s="140" t="s">
        <v>38</v>
      </c>
      <c r="I223" s="139"/>
      <c r="J223" s="235">
        <f>SUM(J195:J222)</f>
        <v>733</v>
      </c>
      <c r="K223" s="236"/>
      <c r="L223" s="236"/>
      <c r="M223" s="236"/>
      <c r="N223" s="236"/>
      <c r="O223" s="236"/>
      <c r="P223" s="236"/>
      <c r="Q223" s="237"/>
      <c r="R223" s="227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</row>
    <row r="224" ht="18.75" customHeight="1">
      <c r="A224" s="144"/>
      <c r="B224" s="144"/>
      <c r="C224" s="144"/>
      <c r="D224" s="144"/>
      <c r="E224" s="144"/>
      <c r="F224" s="144"/>
      <c r="G224" s="144"/>
      <c r="H224" s="145"/>
      <c r="I224" s="173"/>
      <c r="J224" s="205">
        <f>+J223*60%</f>
        <v>439.8</v>
      </c>
      <c r="K224" s="205"/>
      <c r="L224" s="205"/>
      <c r="M224" s="205"/>
      <c r="N224" s="205"/>
      <c r="O224" s="205"/>
      <c r="P224" s="205"/>
      <c r="Q224" s="207">
        <f>+J223*40%</f>
        <v>293.2</v>
      </c>
      <c r="R224" s="227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</row>
    <row r="225" ht="18.7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41"/>
      <c r="R225" s="227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</row>
    <row r="226" ht="18.7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41"/>
      <c r="R226" s="227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</row>
    <row r="227" ht="19.5" customHeight="1">
      <c r="A227" s="238" t="s">
        <v>41</v>
      </c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41"/>
      <c r="R227" s="227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</row>
    <row r="228" ht="57.0" customHeight="1">
      <c r="A228" s="239"/>
      <c r="B228" s="240" t="s">
        <v>42</v>
      </c>
      <c r="C228" s="240" t="s">
        <v>43</v>
      </c>
      <c r="D228" s="240" t="s">
        <v>44</v>
      </c>
      <c r="E228" s="240" t="s">
        <v>45</v>
      </c>
      <c r="F228" s="240"/>
      <c r="G228" s="240"/>
      <c r="H228" s="241" t="s">
        <v>46</v>
      </c>
      <c r="I228" s="242" t="s">
        <v>47</v>
      </c>
      <c r="J228" s="139"/>
      <c r="K228" s="139"/>
      <c r="L228" s="139"/>
      <c r="M228" s="139"/>
      <c r="N228" s="139"/>
      <c r="O228" s="139"/>
      <c r="P228" s="139"/>
      <c r="Q228" s="141"/>
      <c r="R228" s="227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</row>
    <row r="229" ht="18.75" customHeight="1">
      <c r="A229" s="243" t="s">
        <v>48</v>
      </c>
      <c r="B229" s="244">
        <f>+E21</f>
        <v>30280.04234</v>
      </c>
      <c r="C229" s="245">
        <f>+J167</f>
        <v>25828.82484</v>
      </c>
      <c r="D229" s="245">
        <f>+J188</f>
        <v>0</v>
      </c>
      <c r="E229" s="246">
        <f>J224</f>
        <v>439.8</v>
      </c>
      <c r="F229" s="246"/>
      <c r="G229" s="246"/>
      <c r="H229" s="247">
        <f>+I21</f>
        <v>1600.438909</v>
      </c>
      <c r="I229" s="248">
        <f>+B229-C229-D229-E229-H229</f>
        <v>2410.978593</v>
      </c>
      <c r="J229" s="139"/>
      <c r="K229" s="139"/>
      <c r="L229" s="139"/>
      <c r="M229" s="139"/>
      <c r="N229" s="139"/>
      <c r="O229" s="139"/>
      <c r="P229" s="139"/>
      <c r="Q229" s="141"/>
      <c r="R229" s="227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</row>
    <row r="230" ht="19.5" customHeight="1">
      <c r="A230" s="249" t="s">
        <v>49</v>
      </c>
      <c r="B230" s="250"/>
      <c r="C230" s="251">
        <f>+C229/B229</f>
        <v>0.8529983065</v>
      </c>
      <c r="D230" s="251">
        <f>+D229/B229</f>
        <v>0</v>
      </c>
      <c r="E230" s="251">
        <f>+E229/B229</f>
        <v>0.01452441827</v>
      </c>
      <c r="F230" s="251"/>
      <c r="G230" s="251"/>
      <c r="H230" s="252">
        <f>+H229/B229</f>
        <v>0.05285457964</v>
      </c>
      <c r="I230" s="253">
        <f>+I229/B229</f>
        <v>0.07962269557</v>
      </c>
      <c r="J230" s="139"/>
      <c r="K230" s="139"/>
      <c r="L230" s="139"/>
      <c r="M230" s="139"/>
      <c r="N230" s="139"/>
      <c r="O230" s="139"/>
      <c r="P230" s="139"/>
      <c r="Q230" s="141"/>
      <c r="R230" s="227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</row>
    <row r="231" ht="19.5" customHeight="1">
      <c r="A231" s="163"/>
      <c r="B231" s="221"/>
      <c r="C231" s="254"/>
      <c r="D231" s="254"/>
      <c r="E231" s="254"/>
      <c r="F231" s="254"/>
      <c r="G231" s="254"/>
      <c r="H231" s="255"/>
      <c r="I231" s="256"/>
      <c r="J231" s="139"/>
      <c r="K231" s="139"/>
      <c r="L231" s="139"/>
      <c r="M231" s="139"/>
      <c r="N231" s="139"/>
      <c r="O231" s="139"/>
      <c r="P231" s="139"/>
      <c r="Q231" s="141"/>
      <c r="R231" s="227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</row>
    <row r="232" ht="18.75" customHeight="1">
      <c r="A232" s="257"/>
      <c r="B232" s="258"/>
      <c r="C232" s="258"/>
      <c r="D232" s="258" t="s">
        <v>50</v>
      </c>
      <c r="E232" s="258" t="s">
        <v>48</v>
      </c>
      <c r="F232" s="258"/>
      <c r="G232" s="258"/>
      <c r="H232" s="259">
        <f>+D229+E229+H229+I229</f>
        <v>4451.217502</v>
      </c>
      <c r="I232" s="260"/>
      <c r="J232" s="139"/>
      <c r="K232" s="139"/>
      <c r="L232" s="139"/>
      <c r="M232" s="139"/>
      <c r="N232" s="139"/>
      <c r="O232" s="139"/>
      <c r="P232" s="139"/>
      <c r="Q232" s="141"/>
      <c r="R232" s="140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</row>
    <row r="233" ht="18.75" customHeight="1">
      <c r="A233" s="261"/>
      <c r="B233" s="139"/>
      <c r="C233" s="139"/>
      <c r="D233" s="139"/>
      <c r="E233" s="139" t="s">
        <v>49</v>
      </c>
      <c r="F233" s="139"/>
      <c r="G233" s="139"/>
      <c r="H233" s="255">
        <f>+H232/B229</f>
        <v>0.1470016935</v>
      </c>
      <c r="I233" s="262"/>
      <c r="J233" s="139"/>
      <c r="K233" s="139"/>
      <c r="L233" s="139"/>
      <c r="M233" s="139"/>
      <c r="N233" s="139"/>
      <c r="O233" s="139"/>
      <c r="P233" s="139"/>
      <c r="Q233" s="141"/>
      <c r="R233" s="140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</row>
    <row r="234" ht="18.75" customHeight="1">
      <c r="A234" s="261"/>
      <c r="B234" s="139"/>
      <c r="C234" s="139" t="s">
        <v>51</v>
      </c>
      <c r="D234" s="139"/>
      <c r="E234" s="139"/>
      <c r="F234" s="139"/>
      <c r="G234" s="139"/>
      <c r="H234" s="140"/>
      <c r="I234" s="262"/>
      <c r="J234" s="139"/>
      <c r="K234" s="139"/>
      <c r="L234" s="139"/>
      <c r="M234" s="139"/>
      <c r="N234" s="139"/>
      <c r="O234" s="139"/>
      <c r="P234" s="139"/>
      <c r="Q234" s="141"/>
      <c r="R234" s="140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</row>
    <row r="235" ht="18.75" customHeight="1">
      <c r="A235" s="261"/>
      <c r="B235" s="139"/>
      <c r="C235" s="139"/>
      <c r="D235" s="139" t="s">
        <v>52</v>
      </c>
      <c r="E235" s="139"/>
      <c r="F235" s="139"/>
      <c r="G235" s="139"/>
      <c r="H235" s="140">
        <f>+H234*(H232-H229)</f>
        <v>0</v>
      </c>
      <c r="I235" s="262"/>
      <c r="J235" s="139"/>
      <c r="K235" s="139"/>
      <c r="L235" s="139"/>
      <c r="M235" s="139"/>
      <c r="N235" s="139"/>
      <c r="O235" s="139"/>
      <c r="P235" s="139"/>
      <c r="Q235" s="141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</row>
    <row r="236" ht="19.5" customHeight="1">
      <c r="A236" s="263"/>
      <c r="B236" s="264"/>
      <c r="C236" s="264"/>
      <c r="D236" s="264"/>
      <c r="E236" s="264"/>
      <c r="F236" s="264"/>
      <c r="G236" s="264"/>
      <c r="H236" s="265"/>
      <c r="I236" s="266"/>
      <c r="J236" s="139"/>
      <c r="K236" s="139"/>
      <c r="L236" s="139"/>
      <c r="M236" s="139"/>
      <c r="N236" s="139"/>
      <c r="O236" s="139"/>
      <c r="P236" s="139"/>
      <c r="Q236" s="141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</row>
    <row r="237" ht="18.75" customHeight="1">
      <c r="A237" s="139"/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41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</row>
    <row r="238" ht="18.7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41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41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173:E173"/>
    <mergeCell ref="C194:E194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0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44350.0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</row>
    <row r="7" ht="36.0" customHeight="1">
      <c r="A7" s="146" t="s">
        <v>6</v>
      </c>
      <c r="B7" s="147"/>
      <c r="C7" s="148" t="s">
        <v>96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</row>
    <row r="8" ht="26.25" customHeight="1">
      <c r="A8" s="153">
        <v>1.0</v>
      </c>
      <c r="B8" s="154" t="s">
        <v>76</v>
      </c>
      <c r="C8" s="154">
        <v>22.5</v>
      </c>
      <c r="D8" s="155">
        <v>0.1086</v>
      </c>
      <c r="E8" s="156">
        <f>216.296*37.286</f>
        <v>8064.812656</v>
      </c>
      <c r="F8" s="156"/>
      <c r="G8" s="156"/>
      <c r="H8" s="274">
        <v>37.286</v>
      </c>
      <c r="I8" s="158">
        <f t="shared" ref="I8:I14" si="1">+D8*E8</f>
        <v>875.8386544</v>
      </c>
      <c r="J8" s="159">
        <f t="shared" ref="J8:J14" si="2">E8-I8</f>
        <v>7188.974002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</row>
    <row r="9" ht="26.25" customHeight="1">
      <c r="A9" s="153">
        <v>2.0</v>
      </c>
      <c r="B9" s="160" t="s">
        <v>55</v>
      </c>
      <c r="C9" s="154">
        <v>29.5</v>
      </c>
      <c r="D9" s="161">
        <v>0.0155</v>
      </c>
      <c r="E9" s="162">
        <f>252.985*19.49</f>
        <v>4930.67765</v>
      </c>
      <c r="F9" s="162"/>
      <c r="G9" s="162"/>
      <c r="H9" s="274">
        <v>19.49</v>
      </c>
      <c r="I9" s="158">
        <f t="shared" si="1"/>
        <v>76.42550358</v>
      </c>
      <c r="J9" s="159">
        <f t="shared" si="2"/>
        <v>4854.252146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</row>
    <row r="10" ht="26.25" customHeight="1">
      <c r="A10" s="153">
        <v>3.0</v>
      </c>
      <c r="B10" s="160" t="s">
        <v>97</v>
      </c>
      <c r="C10" s="154">
        <v>24.5</v>
      </c>
      <c r="D10" s="155">
        <v>0.0575</v>
      </c>
      <c r="E10" s="156">
        <f>247.888*7.881</f>
        <v>1953.605328</v>
      </c>
      <c r="F10" s="156"/>
      <c r="G10" s="156"/>
      <c r="H10" s="274">
        <v>7.881</v>
      </c>
      <c r="I10" s="158">
        <f t="shared" si="1"/>
        <v>112.3323064</v>
      </c>
      <c r="J10" s="159">
        <f t="shared" si="2"/>
        <v>1841.273022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</row>
    <row r="11" ht="26.25" customHeight="1">
      <c r="A11" s="153">
        <v>4.0</v>
      </c>
      <c r="B11" s="160" t="s">
        <v>98</v>
      </c>
      <c r="C11" s="154">
        <v>18.5</v>
      </c>
      <c r="D11" s="161">
        <v>0.1168</v>
      </c>
      <c r="E11" s="162">
        <f>188.155*7.343</f>
        <v>1381.622165</v>
      </c>
      <c r="F11" s="162"/>
      <c r="G11" s="162"/>
      <c r="H11" s="274">
        <v>7.343</v>
      </c>
      <c r="I11" s="158">
        <f t="shared" si="1"/>
        <v>161.3734689</v>
      </c>
      <c r="J11" s="159">
        <f t="shared" si="2"/>
        <v>1220.248696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</row>
    <row r="12" ht="26.25" customHeight="1">
      <c r="A12" s="153">
        <v>5.0</v>
      </c>
      <c r="B12" s="160" t="s">
        <v>55</v>
      </c>
      <c r="C12" s="160">
        <v>29.5</v>
      </c>
      <c r="D12" s="161">
        <v>0.0155</v>
      </c>
      <c r="E12" s="162">
        <f>253.279*20.508</f>
        <v>5194.245732</v>
      </c>
      <c r="F12" s="162"/>
      <c r="G12" s="162"/>
      <c r="H12" s="274">
        <v>20.508</v>
      </c>
      <c r="I12" s="158">
        <f t="shared" si="1"/>
        <v>80.51080885</v>
      </c>
      <c r="J12" s="159">
        <f t="shared" si="2"/>
        <v>5113.734923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</row>
    <row r="13" ht="26.25" customHeight="1">
      <c r="A13" s="153">
        <v>6.0</v>
      </c>
      <c r="B13" s="160" t="s">
        <v>99</v>
      </c>
      <c r="C13" s="160">
        <v>29.5</v>
      </c>
      <c r="D13" s="161">
        <v>0.0162</v>
      </c>
      <c r="E13" s="162">
        <f>238.59*32.984</f>
        <v>7869.65256</v>
      </c>
      <c r="F13" s="162"/>
      <c r="G13" s="162"/>
      <c r="H13" s="274">
        <v>32.984</v>
      </c>
      <c r="I13" s="158">
        <f t="shared" si="1"/>
        <v>127.4883715</v>
      </c>
      <c r="J13" s="159">
        <f t="shared" si="2"/>
        <v>7742.164189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</row>
    <row r="14" ht="26.25" customHeight="1">
      <c r="A14" s="153">
        <v>7.0</v>
      </c>
      <c r="B14" s="160" t="s">
        <v>85</v>
      </c>
      <c r="C14" s="160">
        <v>26.5</v>
      </c>
      <c r="D14" s="161">
        <v>0.0559</v>
      </c>
      <c r="E14" s="162">
        <f>267.196*1.674</f>
        <v>447.286104</v>
      </c>
      <c r="F14" s="162"/>
      <c r="G14" s="162"/>
      <c r="H14" s="274">
        <v>1.674</v>
      </c>
      <c r="I14" s="158">
        <f t="shared" si="1"/>
        <v>25.00329321</v>
      </c>
      <c r="J14" s="159">
        <f t="shared" si="2"/>
        <v>422.2828108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</row>
    <row r="15" ht="18.75" customHeight="1">
      <c r="A15" s="163"/>
      <c r="B15" s="164"/>
      <c r="C15" s="165"/>
      <c r="D15" s="166"/>
      <c r="E15" s="167">
        <f>SUM(E8:E14)</f>
        <v>29841.9022</v>
      </c>
      <c r="F15" s="168"/>
      <c r="G15" s="168"/>
      <c r="H15" s="169"/>
      <c r="I15" s="170">
        <f t="shared" ref="I15:J15" si="3">SUM(I8:I14)</f>
        <v>1458.972407</v>
      </c>
      <c r="J15" s="171">
        <f t="shared" si="3"/>
        <v>28382.92979</v>
      </c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</row>
    <row r="16" ht="18.75" customHeight="1">
      <c r="A16" s="172"/>
      <c r="B16" s="144"/>
      <c r="C16" s="144"/>
      <c r="D16" s="173"/>
      <c r="E16" s="174"/>
      <c r="F16" s="151"/>
      <c r="G16" s="151"/>
      <c r="H16" s="147"/>
      <c r="I16" s="175"/>
      <c r="J16" s="139"/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</row>
    <row r="19" ht="18.75" customHeight="1">
      <c r="A19" s="139" t="s">
        <v>11</v>
      </c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41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</row>
    <row r="21" ht="40.5" customHeight="1">
      <c r="A21" s="176"/>
      <c r="B21" s="160" t="s">
        <v>12</v>
      </c>
      <c r="C21" s="177" t="s">
        <v>62</v>
      </c>
      <c r="D21" s="52"/>
      <c r="E21" s="53"/>
      <c r="F21" s="178"/>
      <c r="G21" s="178"/>
      <c r="H21" s="179" t="s">
        <v>14</v>
      </c>
      <c r="I21" s="160" t="s">
        <v>15</v>
      </c>
      <c r="J21" s="160" t="s">
        <v>16</v>
      </c>
      <c r="K21" s="139"/>
      <c r="L21" s="160" t="s">
        <v>17</v>
      </c>
      <c r="M21" s="160" t="s">
        <v>15</v>
      </c>
      <c r="N21" s="176" t="s">
        <v>18</v>
      </c>
      <c r="O21" s="139"/>
      <c r="P21" s="139"/>
      <c r="Q21" s="180"/>
      <c r="R21" s="160" t="s">
        <v>17</v>
      </c>
      <c r="S21" s="160" t="s">
        <v>15</v>
      </c>
      <c r="T21" s="176" t="s">
        <v>18</v>
      </c>
      <c r="U21" s="139"/>
      <c r="V21" s="176" t="s">
        <v>19</v>
      </c>
      <c r="W21" s="176" t="s">
        <v>20</v>
      </c>
      <c r="X21" s="176" t="s">
        <v>21</v>
      </c>
      <c r="Y21" s="176" t="s">
        <v>100</v>
      </c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</row>
    <row r="22" ht="27.0" customHeight="1">
      <c r="A22" s="181">
        <v>1.0</v>
      </c>
      <c r="B22" s="182" t="s">
        <v>79</v>
      </c>
      <c r="C22" s="183">
        <v>93.0</v>
      </c>
      <c r="D22" s="183">
        <v>209.0</v>
      </c>
      <c r="E22" s="183">
        <v>195.0</v>
      </c>
      <c r="F22" s="183">
        <f t="shared" ref="F22:F102" si="5">VALUE(IF(RIGHT(B22, 1)="%", RIGHT(B22, 3), 0))</f>
        <v>0.8</v>
      </c>
      <c r="G22" s="183">
        <f t="shared" ref="G22:G102" si="6">+Q22*C22/100*D22/100*E22/100</f>
        <v>85.2798375</v>
      </c>
      <c r="H22" s="184">
        <f t="shared" ref="H22:H102" si="7">IF(F22=0, G22, F22*G22)</f>
        <v>68.22387</v>
      </c>
      <c r="I22" s="183">
        <v>1.0</v>
      </c>
      <c r="J22" s="193">
        <f t="shared" ref="J22:J102" si="8">+I22*H22</f>
        <v>68.22387</v>
      </c>
      <c r="K22" s="186"/>
      <c r="L22" s="187">
        <f>D22*25.4/1000</f>
        <v>5.3086</v>
      </c>
      <c r="M22" s="181">
        <f>+I22</f>
        <v>1</v>
      </c>
      <c r="N22" s="181">
        <f>M22*L22</f>
        <v>5.3086</v>
      </c>
      <c r="O22" s="186"/>
      <c r="P22" s="186"/>
      <c r="Q22" s="188">
        <v>22.5</v>
      </c>
      <c r="R22" s="187">
        <f t="shared" ref="R22:R103" si="9">E22/100</f>
        <v>1.95</v>
      </c>
      <c r="S22" s="181">
        <f t="shared" ref="S22:S103" si="10">I22</f>
        <v>1</v>
      </c>
      <c r="T22" s="181">
        <f t="shared" ref="T22:T103" si="11">S22*R22</f>
        <v>1.95</v>
      </c>
      <c r="U22" s="186">
        <f t="shared" ref="U22:U102" si="12">Q22*C22/100*D22/100*E22/100</f>
        <v>85.2798375</v>
      </c>
      <c r="V22" s="187">
        <f t="shared" ref="V22:W22" si="4">C22/100</f>
        <v>0.93</v>
      </c>
      <c r="W22" s="187">
        <f t="shared" si="4"/>
        <v>2.09</v>
      </c>
      <c r="X22" s="187">
        <f t="shared" ref="X22:X103" si="14">T22</f>
        <v>1.95</v>
      </c>
      <c r="Y22" s="189">
        <f t="shared" ref="Y22:Y103" si="15">V22*W22*X22</f>
        <v>3.790215</v>
      </c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</row>
    <row r="23" ht="27.0" customHeight="1">
      <c r="A23" s="181">
        <v>2.0</v>
      </c>
      <c r="B23" s="191" t="s">
        <v>76</v>
      </c>
      <c r="C23" s="191">
        <v>102.0</v>
      </c>
      <c r="D23" s="191">
        <v>209.0</v>
      </c>
      <c r="E23" s="191">
        <v>194.0</v>
      </c>
      <c r="F23" s="191">
        <f t="shared" si="5"/>
        <v>0</v>
      </c>
      <c r="G23" s="191">
        <f t="shared" si="6"/>
        <v>93.05307</v>
      </c>
      <c r="H23" s="219">
        <f t="shared" si="7"/>
        <v>93.05307</v>
      </c>
      <c r="I23" s="218">
        <v>9.0</v>
      </c>
      <c r="J23" s="193">
        <f t="shared" si="8"/>
        <v>837.47763</v>
      </c>
      <c r="K23" s="186"/>
      <c r="L23" s="187"/>
      <c r="M23" s="181"/>
      <c r="N23" s="181"/>
      <c r="O23" s="186"/>
      <c r="P23" s="186"/>
      <c r="Q23" s="188">
        <v>22.5</v>
      </c>
      <c r="R23" s="187">
        <f t="shared" si="9"/>
        <v>1.94</v>
      </c>
      <c r="S23" s="181">
        <f t="shared" si="10"/>
        <v>9</v>
      </c>
      <c r="T23" s="181">
        <f t="shared" si="11"/>
        <v>17.46</v>
      </c>
      <c r="U23" s="186">
        <f t="shared" si="12"/>
        <v>93.05307</v>
      </c>
      <c r="V23" s="187">
        <f t="shared" ref="V23:W23" si="13">C23/100</f>
        <v>1.02</v>
      </c>
      <c r="W23" s="187">
        <f t="shared" si="13"/>
        <v>2.09</v>
      </c>
      <c r="X23" s="187">
        <f t="shared" si="14"/>
        <v>17.46</v>
      </c>
      <c r="Y23" s="189">
        <f t="shared" si="15"/>
        <v>37.221228</v>
      </c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</row>
    <row r="24" ht="27.0" customHeight="1">
      <c r="A24" s="181">
        <v>3.0</v>
      </c>
      <c r="B24" s="191" t="s">
        <v>76</v>
      </c>
      <c r="C24" s="191">
        <v>102.0</v>
      </c>
      <c r="D24" s="191">
        <v>209.0</v>
      </c>
      <c r="E24" s="191">
        <v>195.0</v>
      </c>
      <c r="F24" s="191">
        <f t="shared" si="5"/>
        <v>0</v>
      </c>
      <c r="G24" s="191">
        <f t="shared" si="6"/>
        <v>93.532725</v>
      </c>
      <c r="H24" s="219">
        <f t="shared" si="7"/>
        <v>93.532725</v>
      </c>
      <c r="I24" s="218">
        <v>22.0</v>
      </c>
      <c r="J24" s="193">
        <f t="shared" si="8"/>
        <v>2057.71995</v>
      </c>
      <c r="K24" s="186"/>
      <c r="L24" s="187">
        <f t="shared" ref="L24:L39" si="17">D24*25.4/1000</f>
        <v>5.3086</v>
      </c>
      <c r="M24" s="181">
        <f t="shared" ref="M24:M42" si="18">+I24</f>
        <v>22</v>
      </c>
      <c r="N24" s="181">
        <f t="shared" ref="N24:N39" si="19">M24*L24</f>
        <v>116.7892</v>
      </c>
      <c r="O24" s="186"/>
      <c r="P24" s="186"/>
      <c r="Q24" s="188">
        <v>22.5</v>
      </c>
      <c r="R24" s="187">
        <f t="shared" si="9"/>
        <v>1.95</v>
      </c>
      <c r="S24" s="181">
        <f t="shared" si="10"/>
        <v>22</v>
      </c>
      <c r="T24" s="181">
        <f t="shared" si="11"/>
        <v>42.9</v>
      </c>
      <c r="U24" s="186">
        <f t="shared" si="12"/>
        <v>93.532725</v>
      </c>
      <c r="V24" s="187">
        <f t="shared" ref="V24:W24" si="16">C24/100</f>
        <v>1.02</v>
      </c>
      <c r="W24" s="187">
        <f t="shared" si="16"/>
        <v>2.09</v>
      </c>
      <c r="X24" s="187">
        <f t="shared" si="14"/>
        <v>42.9</v>
      </c>
      <c r="Y24" s="189">
        <f t="shared" si="15"/>
        <v>91.45422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</row>
    <row r="25" ht="27.0" customHeight="1">
      <c r="A25" s="181">
        <v>4.0</v>
      </c>
      <c r="B25" s="191" t="s">
        <v>76</v>
      </c>
      <c r="C25" s="191">
        <v>103.0</v>
      </c>
      <c r="D25" s="191">
        <v>209.0</v>
      </c>
      <c r="E25" s="191">
        <v>195.0</v>
      </c>
      <c r="F25" s="191">
        <f t="shared" si="5"/>
        <v>0</v>
      </c>
      <c r="G25" s="191">
        <f t="shared" si="6"/>
        <v>94.4497125</v>
      </c>
      <c r="H25" s="219">
        <f t="shared" si="7"/>
        <v>94.4497125</v>
      </c>
      <c r="I25" s="218">
        <v>22.0</v>
      </c>
      <c r="J25" s="193">
        <f t="shared" si="8"/>
        <v>2077.893675</v>
      </c>
      <c r="K25" s="186"/>
      <c r="L25" s="187">
        <f t="shared" si="17"/>
        <v>5.3086</v>
      </c>
      <c r="M25" s="181">
        <f t="shared" si="18"/>
        <v>22</v>
      </c>
      <c r="N25" s="181">
        <f t="shared" si="19"/>
        <v>116.7892</v>
      </c>
      <c r="O25" s="186"/>
      <c r="P25" s="186"/>
      <c r="Q25" s="188">
        <v>22.5</v>
      </c>
      <c r="R25" s="187">
        <f t="shared" si="9"/>
        <v>1.95</v>
      </c>
      <c r="S25" s="181">
        <f t="shared" si="10"/>
        <v>22</v>
      </c>
      <c r="T25" s="181">
        <f t="shared" si="11"/>
        <v>42.9</v>
      </c>
      <c r="U25" s="186">
        <f t="shared" si="12"/>
        <v>94.4497125</v>
      </c>
      <c r="V25" s="187">
        <f t="shared" ref="V25:W25" si="20">C25/100</f>
        <v>1.03</v>
      </c>
      <c r="W25" s="187">
        <f t="shared" si="20"/>
        <v>2.09</v>
      </c>
      <c r="X25" s="187">
        <f t="shared" si="14"/>
        <v>42.9</v>
      </c>
      <c r="Y25" s="189">
        <f t="shared" si="15"/>
        <v>92.35083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</row>
    <row r="26" ht="27.0" customHeight="1">
      <c r="A26" s="181">
        <v>5.0</v>
      </c>
      <c r="B26" s="191" t="s">
        <v>76</v>
      </c>
      <c r="C26" s="191">
        <v>102.0</v>
      </c>
      <c r="D26" s="191">
        <v>209.0</v>
      </c>
      <c r="E26" s="191">
        <v>196.0</v>
      </c>
      <c r="F26" s="191">
        <f t="shared" si="5"/>
        <v>0</v>
      </c>
      <c r="G26" s="191">
        <f t="shared" si="6"/>
        <v>94.01238</v>
      </c>
      <c r="H26" s="219">
        <f t="shared" si="7"/>
        <v>94.01238</v>
      </c>
      <c r="I26" s="218">
        <v>6.0</v>
      </c>
      <c r="J26" s="193">
        <f t="shared" si="8"/>
        <v>564.07428</v>
      </c>
      <c r="K26" s="186"/>
      <c r="L26" s="187">
        <f t="shared" si="17"/>
        <v>5.3086</v>
      </c>
      <c r="M26" s="181">
        <f t="shared" si="18"/>
        <v>6</v>
      </c>
      <c r="N26" s="181">
        <f t="shared" si="19"/>
        <v>31.8516</v>
      </c>
      <c r="O26" s="186"/>
      <c r="P26" s="186"/>
      <c r="Q26" s="188">
        <v>22.5</v>
      </c>
      <c r="R26" s="187">
        <f t="shared" si="9"/>
        <v>1.96</v>
      </c>
      <c r="S26" s="181">
        <f t="shared" si="10"/>
        <v>6</v>
      </c>
      <c r="T26" s="181">
        <f t="shared" si="11"/>
        <v>11.76</v>
      </c>
      <c r="U26" s="186">
        <f t="shared" si="12"/>
        <v>94.01238</v>
      </c>
      <c r="V26" s="187">
        <f t="shared" ref="V26:W26" si="21">C26/100</f>
        <v>1.02</v>
      </c>
      <c r="W26" s="187">
        <f t="shared" si="21"/>
        <v>2.09</v>
      </c>
      <c r="X26" s="187">
        <f t="shared" si="14"/>
        <v>11.76</v>
      </c>
      <c r="Y26" s="189">
        <f t="shared" si="15"/>
        <v>25.069968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</row>
    <row r="27" ht="27.0" customHeight="1">
      <c r="A27" s="181">
        <v>6.0</v>
      </c>
      <c r="B27" s="191" t="s">
        <v>76</v>
      </c>
      <c r="C27" s="191">
        <v>104.0</v>
      </c>
      <c r="D27" s="191">
        <v>209.0</v>
      </c>
      <c r="E27" s="191">
        <v>195.0</v>
      </c>
      <c r="F27" s="191">
        <f t="shared" si="5"/>
        <v>0</v>
      </c>
      <c r="G27" s="191">
        <f t="shared" si="6"/>
        <v>95.3667</v>
      </c>
      <c r="H27" s="219">
        <f t="shared" si="7"/>
        <v>95.3667</v>
      </c>
      <c r="I27" s="218">
        <v>1.0</v>
      </c>
      <c r="J27" s="193">
        <f t="shared" si="8"/>
        <v>95.3667</v>
      </c>
      <c r="K27" s="186"/>
      <c r="L27" s="187">
        <f t="shared" si="17"/>
        <v>5.3086</v>
      </c>
      <c r="M27" s="181">
        <f t="shared" si="18"/>
        <v>1</v>
      </c>
      <c r="N27" s="181">
        <f t="shared" si="19"/>
        <v>5.3086</v>
      </c>
      <c r="O27" s="186"/>
      <c r="P27" s="186"/>
      <c r="Q27" s="188">
        <v>22.5</v>
      </c>
      <c r="R27" s="187">
        <f t="shared" si="9"/>
        <v>1.95</v>
      </c>
      <c r="S27" s="181">
        <f t="shared" si="10"/>
        <v>1</v>
      </c>
      <c r="T27" s="181">
        <f t="shared" si="11"/>
        <v>1.95</v>
      </c>
      <c r="U27" s="186">
        <f t="shared" si="12"/>
        <v>95.3667</v>
      </c>
      <c r="V27" s="187">
        <f t="shared" ref="V27:W27" si="22">C27/100</f>
        <v>1.04</v>
      </c>
      <c r="W27" s="187">
        <f t="shared" si="22"/>
        <v>2.09</v>
      </c>
      <c r="X27" s="187">
        <f t="shared" si="14"/>
        <v>1.95</v>
      </c>
      <c r="Y27" s="189">
        <f t="shared" si="15"/>
        <v>4.23852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</row>
    <row r="28" ht="27.0" customHeight="1">
      <c r="A28" s="181">
        <v>7.0</v>
      </c>
      <c r="B28" s="191" t="s">
        <v>76</v>
      </c>
      <c r="C28" s="191">
        <v>103.0</v>
      </c>
      <c r="D28" s="191">
        <v>209.0</v>
      </c>
      <c r="E28" s="191">
        <v>196.0</v>
      </c>
      <c r="F28" s="191">
        <f t="shared" si="5"/>
        <v>0</v>
      </c>
      <c r="G28" s="191">
        <f t="shared" si="6"/>
        <v>94.93407</v>
      </c>
      <c r="H28" s="219">
        <f t="shared" si="7"/>
        <v>94.93407</v>
      </c>
      <c r="I28" s="218">
        <v>4.0</v>
      </c>
      <c r="J28" s="193">
        <f t="shared" si="8"/>
        <v>379.73628</v>
      </c>
      <c r="K28" s="186"/>
      <c r="L28" s="187">
        <f t="shared" si="17"/>
        <v>5.3086</v>
      </c>
      <c r="M28" s="181">
        <f t="shared" si="18"/>
        <v>4</v>
      </c>
      <c r="N28" s="181">
        <f t="shared" si="19"/>
        <v>21.2344</v>
      </c>
      <c r="O28" s="186"/>
      <c r="P28" s="186"/>
      <c r="Q28" s="188">
        <v>22.5</v>
      </c>
      <c r="R28" s="187">
        <f t="shared" si="9"/>
        <v>1.96</v>
      </c>
      <c r="S28" s="181">
        <f t="shared" si="10"/>
        <v>4</v>
      </c>
      <c r="T28" s="181">
        <f t="shared" si="11"/>
        <v>7.84</v>
      </c>
      <c r="U28" s="186">
        <f t="shared" si="12"/>
        <v>94.93407</v>
      </c>
      <c r="V28" s="187">
        <f t="shared" ref="V28:W28" si="23">C28/100</f>
        <v>1.03</v>
      </c>
      <c r="W28" s="187">
        <f t="shared" si="23"/>
        <v>2.09</v>
      </c>
      <c r="X28" s="187">
        <f t="shared" si="14"/>
        <v>7.84</v>
      </c>
      <c r="Y28" s="189">
        <f t="shared" si="15"/>
        <v>16.877168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</row>
    <row r="29" ht="27.0" customHeight="1">
      <c r="A29" s="181">
        <v>8.0</v>
      </c>
      <c r="B29" s="191" t="s">
        <v>76</v>
      </c>
      <c r="C29" s="191">
        <v>103.0</v>
      </c>
      <c r="D29" s="191">
        <v>209.0</v>
      </c>
      <c r="E29" s="191">
        <v>194.0</v>
      </c>
      <c r="F29" s="191">
        <f t="shared" si="5"/>
        <v>0</v>
      </c>
      <c r="G29" s="191">
        <f t="shared" si="6"/>
        <v>93.965355</v>
      </c>
      <c r="H29" s="219">
        <f t="shared" si="7"/>
        <v>93.965355</v>
      </c>
      <c r="I29" s="218">
        <v>2.0</v>
      </c>
      <c r="J29" s="193">
        <f t="shared" si="8"/>
        <v>187.93071</v>
      </c>
      <c r="K29" s="186"/>
      <c r="L29" s="187">
        <f t="shared" si="17"/>
        <v>5.3086</v>
      </c>
      <c r="M29" s="181">
        <f t="shared" si="18"/>
        <v>2</v>
      </c>
      <c r="N29" s="181">
        <f t="shared" si="19"/>
        <v>10.6172</v>
      </c>
      <c r="O29" s="186"/>
      <c r="P29" s="186"/>
      <c r="Q29" s="188">
        <v>22.5</v>
      </c>
      <c r="R29" s="187">
        <f t="shared" si="9"/>
        <v>1.94</v>
      </c>
      <c r="S29" s="181">
        <f t="shared" si="10"/>
        <v>2</v>
      </c>
      <c r="T29" s="181">
        <f t="shared" si="11"/>
        <v>3.88</v>
      </c>
      <c r="U29" s="186">
        <f t="shared" si="12"/>
        <v>93.965355</v>
      </c>
      <c r="V29" s="187">
        <f t="shared" ref="V29:W29" si="24">C29/100</f>
        <v>1.03</v>
      </c>
      <c r="W29" s="187">
        <f t="shared" si="24"/>
        <v>2.09</v>
      </c>
      <c r="X29" s="187">
        <f t="shared" si="14"/>
        <v>3.88</v>
      </c>
      <c r="Y29" s="189">
        <f t="shared" si="15"/>
        <v>8.352476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</row>
    <row r="30" ht="27.0" customHeight="1">
      <c r="A30" s="181">
        <v>9.0</v>
      </c>
      <c r="B30" s="191" t="s">
        <v>76</v>
      </c>
      <c r="C30" s="191">
        <v>98.0</v>
      </c>
      <c r="D30" s="191">
        <v>209.0</v>
      </c>
      <c r="E30" s="191">
        <v>195.0</v>
      </c>
      <c r="F30" s="191">
        <f t="shared" si="5"/>
        <v>0</v>
      </c>
      <c r="G30" s="191">
        <f t="shared" si="6"/>
        <v>89.864775</v>
      </c>
      <c r="H30" s="219">
        <f t="shared" si="7"/>
        <v>89.864775</v>
      </c>
      <c r="I30" s="218">
        <v>1.0</v>
      </c>
      <c r="J30" s="193">
        <f t="shared" si="8"/>
        <v>89.864775</v>
      </c>
      <c r="K30" s="186"/>
      <c r="L30" s="187">
        <f t="shared" si="17"/>
        <v>5.3086</v>
      </c>
      <c r="M30" s="181">
        <f t="shared" si="18"/>
        <v>1</v>
      </c>
      <c r="N30" s="181">
        <f t="shared" si="19"/>
        <v>5.3086</v>
      </c>
      <c r="O30" s="186"/>
      <c r="P30" s="186"/>
      <c r="Q30" s="188">
        <v>22.5</v>
      </c>
      <c r="R30" s="187">
        <f t="shared" si="9"/>
        <v>1.95</v>
      </c>
      <c r="S30" s="181">
        <f t="shared" si="10"/>
        <v>1</v>
      </c>
      <c r="T30" s="181">
        <f t="shared" si="11"/>
        <v>1.95</v>
      </c>
      <c r="U30" s="186">
        <f t="shared" si="12"/>
        <v>89.864775</v>
      </c>
      <c r="V30" s="187">
        <f t="shared" ref="V30:W30" si="25">C30/100</f>
        <v>0.98</v>
      </c>
      <c r="W30" s="187">
        <f t="shared" si="25"/>
        <v>2.09</v>
      </c>
      <c r="X30" s="187">
        <f t="shared" si="14"/>
        <v>1.95</v>
      </c>
      <c r="Y30" s="189">
        <f t="shared" si="15"/>
        <v>3.99399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</row>
    <row r="31" ht="27.0" customHeight="1">
      <c r="A31" s="181">
        <v>10.0</v>
      </c>
      <c r="B31" s="191" t="s">
        <v>76</v>
      </c>
      <c r="C31" s="191">
        <v>67.0</v>
      </c>
      <c r="D31" s="191">
        <v>209.0</v>
      </c>
      <c r="E31" s="191">
        <v>206.0</v>
      </c>
      <c r="F31" s="191">
        <f t="shared" si="5"/>
        <v>0</v>
      </c>
      <c r="G31" s="191">
        <f t="shared" si="6"/>
        <v>64.903905</v>
      </c>
      <c r="H31" s="219">
        <f t="shared" si="7"/>
        <v>64.903905</v>
      </c>
      <c r="I31" s="218">
        <v>1.0</v>
      </c>
      <c r="J31" s="193">
        <f t="shared" si="8"/>
        <v>64.903905</v>
      </c>
      <c r="K31" s="186"/>
      <c r="L31" s="187">
        <f t="shared" si="17"/>
        <v>5.3086</v>
      </c>
      <c r="M31" s="181">
        <f t="shared" si="18"/>
        <v>1</v>
      </c>
      <c r="N31" s="181">
        <f t="shared" si="19"/>
        <v>5.3086</v>
      </c>
      <c r="O31" s="186"/>
      <c r="P31" s="186"/>
      <c r="Q31" s="188">
        <v>22.5</v>
      </c>
      <c r="R31" s="187">
        <f t="shared" si="9"/>
        <v>2.06</v>
      </c>
      <c r="S31" s="181">
        <f t="shared" si="10"/>
        <v>1</v>
      </c>
      <c r="T31" s="181">
        <f t="shared" si="11"/>
        <v>2.06</v>
      </c>
      <c r="U31" s="186">
        <f t="shared" si="12"/>
        <v>64.903905</v>
      </c>
      <c r="V31" s="187">
        <f t="shared" ref="V31:W31" si="26">C31/100</f>
        <v>0.67</v>
      </c>
      <c r="W31" s="187">
        <f t="shared" si="26"/>
        <v>2.09</v>
      </c>
      <c r="X31" s="187">
        <f t="shared" si="14"/>
        <v>2.06</v>
      </c>
      <c r="Y31" s="189">
        <f t="shared" si="15"/>
        <v>2.884618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</row>
    <row r="32" ht="27.0" customHeight="1">
      <c r="A32" s="181">
        <v>11.0</v>
      </c>
      <c r="B32" s="191" t="s">
        <v>76</v>
      </c>
      <c r="C32" s="191">
        <v>101.0</v>
      </c>
      <c r="D32" s="191">
        <v>209.0</v>
      </c>
      <c r="E32" s="191">
        <v>196.0</v>
      </c>
      <c r="F32" s="191">
        <f t="shared" si="5"/>
        <v>0</v>
      </c>
      <c r="G32" s="191">
        <f t="shared" si="6"/>
        <v>93.09069</v>
      </c>
      <c r="H32" s="219">
        <f t="shared" si="7"/>
        <v>93.09069</v>
      </c>
      <c r="I32" s="218">
        <v>1.0</v>
      </c>
      <c r="J32" s="193">
        <f t="shared" si="8"/>
        <v>93.09069</v>
      </c>
      <c r="K32" s="186"/>
      <c r="L32" s="187">
        <f t="shared" si="17"/>
        <v>5.3086</v>
      </c>
      <c r="M32" s="181">
        <f t="shared" si="18"/>
        <v>1</v>
      </c>
      <c r="N32" s="181">
        <f t="shared" si="19"/>
        <v>5.3086</v>
      </c>
      <c r="O32" s="186"/>
      <c r="P32" s="186"/>
      <c r="Q32" s="188">
        <v>22.5</v>
      </c>
      <c r="R32" s="187">
        <f t="shared" si="9"/>
        <v>1.96</v>
      </c>
      <c r="S32" s="181">
        <f t="shared" si="10"/>
        <v>1</v>
      </c>
      <c r="T32" s="181">
        <f t="shared" si="11"/>
        <v>1.96</v>
      </c>
      <c r="U32" s="186">
        <f t="shared" si="12"/>
        <v>93.09069</v>
      </c>
      <c r="V32" s="187">
        <f t="shared" ref="V32:W32" si="27">C32/100</f>
        <v>1.01</v>
      </c>
      <c r="W32" s="187">
        <f t="shared" si="27"/>
        <v>2.09</v>
      </c>
      <c r="X32" s="187">
        <f t="shared" si="14"/>
        <v>1.96</v>
      </c>
      <c r="Y32" s="189">
        <f t="shared" si="15"/>
        <v>4.137364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</row>
    <row r="33" ht="27.0" customHeight="1">
      <c r="A33" s="181">
        <v>12.0</v>
      </c>
      <c r="B33" s="191" t="s">
        <v>76</v>
      </c>
      <c r="C33" s="191">
        <v>101.0</v>
      </c>
      <c r="D33" s="191">
        <v>209.0</v>
      </c>
      <c r="E33" s="191">
        <v>195.0</v>
      </c>
      <c r="F33" s="191">
        <f t="shared" si="5"/>
        <v>0</v>
      </c>
      <c r="G33" s="191">
        <f t="shared" si="6"/>
        <v>92.6157375</v>
      </c>
      <c r="H33" s="219">
        <f t="shared" si="7"/>
        <v>92.6157375</v>
      </c>
      <c r="I33" s="218">
        <v>2.0</v>
      </c>
      <c r="J33" s="193">
        <f t="shared" si="8"/>
        <v>185.231475</v>
      </c>
      <c r="K33" s="186"/>
      <c r="L33" s="187">
        <f t="shared" si="17"/>
        <v>5.3086</v>
      </c>
      <c r="M33" s="181">
        <f t="shared" si="18"/>
        <v>2</v>
      </c>
      <c r="N33" s="181">
        <f t="shared" si="19"/>
        <v>10.6172</v>
      </c>
      <c r="O33" s="186"/>
      <c r="P33" s="186"/>
      <c r="Q33" s="188">
        <v>22.5</v>
      </c>
      <c r="R33" s="187">
        <f t="shared" si="9"/>
        <v>1.95</v>
      </c>
      <c r="S33" s="181">
        <f t="shared" si="10"/>
        <v>2</v>
      </c>
      <c r="T33" s="181">
        <f t="shared" si="11"/>
        <v>3.9</v>
      </c>
      <c r="U33" s="186">
        <f t="shared" si="12"/>
        <v>92.6157375</v>
      </c>
      <c r="V33" s="187">
        <f t="shared" ref="V33:W33" si="28">C33/100</f>
        <v>1.01</v>
      </c>
      <c r="W33" s="187">
        <f t="shared" si="28"/>
        <v>2.09</v>
      </c>
      <c r="X33" s="187">
        <f t="shared" si="14"/>
        <v>3.9</v>
      </c>
      <c r="Y33" s="189">
        <f t="shared" si="15"/>
        <v>8.23251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</row>
    <row r="34" ht="27.0" customHeight="1">
      <c r="A34" s="181">
        <v>13.0</v>
      </c>
      <c r="B34" s="191" t="s">
        <v>76</v>
      </c>
      <c r="C34" s="191">
        <v>100.0</v>
      </c>
      <c r="D34" s="191">
        <v>209.0</v>
      </c>
      <c r="E34" s="191">
        <v>194.0</v>
      </c>
      <c r="F34" s="191">
        <f t="shared" si="5"/>
        <v>0</v>
      </c>
      <c r="G34" s="191">
        <f t="shared" si="6"/>
        <v>91.2285</v>
      </c>
      <c r="H34" s="219">
        <f t="shared" si="7"/>
        <v>91.2285</v>
      </c>
      <c r="I34" s="218">
        <v>1.0</v>
      </c>
      <c r="J34" s="193">
        <f t="shared" si="8"/>
        <v>91.2285</v>
      </c>
      <c r="K34" s="186"/>
      <c r="L34" s="187">
        <f t="shared" si="17"/>
        <v>5.3086</v>
      </c>
      <c r="M34" s="181">
        <f t="shared" si="18"/>
        <v>1</v>
      </c>
      <c r="N34" s="181">
        <f t="shared" si="19"/>
        <v>5.3086</v>
      </c>
      <c r="O34" s="186"/>
      <c r="P34" s="186"/>
      <c r="Q34" s="188">
        <v>22.5</v>
      </c>
      <c r="R34" s="187">
        <f t="shared" si="9"/>
        <v>1.94</v>
      </c>
      <c r="S34" s="181">
        <f t="shared" si="10"/>
        <v>1</v>
      </c>
      <c r="T34" s="181">
        <f t="shared" si="11"/>
        <v>1.94</v>
      </c>
      <c r="U34" s="186">
        <f t="shared" si="12"/>
        <v>91.2285</v>
      </c>
      <c r="V34" s="187">
        <f t="shared" ref="V34:W34" si="29">C34/100</f>
        <v>1</v>
      </c>
      <c r="W34" s="187">
        <f t="shared" si="29"/>
        <v>2.09</v>
      </c>
      <c r="X34" s="187">
        <f t="shared" si="14"/>
        <v>1.94</v>
      </c>
      <c r="Y34" s="189">
        <f t="shared" si="15"/>
        <v>4.0546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</row>
    <row r="35" ht="27.0" customHeight="1">
      <c r="A35" s="181">
        <v>14.0</v>
      </c>
      <c r="B35" s="191" t="s">
        <v>76</v>
      </c>
      <c r="C35" s="191">
        <v>102.0</v>
      </c>
      <c r="D35" s="191">
        <v>209.0</v>
      </c>
      <c r="E35" s="191">
        <v>139.0</v>
      </c>
      <c r="F35" s="191">
        <f t="shared" si="5"/>
        <v>0</v>
      </c>
      <c r="G35" s="191">
        <f t="shared" si="6"/>
        <v>66.672045</v>
      </c>
      <c r="H35" s="219">
        <f t="shared" si="7"/>
        <v>66.672045</v>
      </c>
      <c r="I35" s="218">
        <v>1.0</v>
      </c>
      <c r="J35" s="193">
        <f t="shared" si="8"/>
        <v>66.672045</v>
      </c>
      <c r="K35" s="186"/>
      <c r="L35" s="187">
        <f t="shared" si="17"/>
        <v>5.3086</v>
      </c>
      <c r="M35" s="181">
        <f t="shared" si="18"/>
        <v>1</v>
      </c>
      <c r="N35" s="181">
        <f t="shared" si="19"/>
        <v>5.3086</v>
      </c>
      <c r="O35" s="186"/>
      <c r="P35" s="186"/>
      <c r="Q35" s="188">
        <v>22.5</v>
      </c>
      <c r="R35" s="187">
        <f t="shared" si="9"/>
        <v>1.39</v>
      </c>
      <c r="S35" s="181">
        <f t="shared" si="10"/>
        <v>1</v>
      </c>
      <c r="T35" s="181">
        <f t="shared" si="11"/>
        <v>1.39</v>
      </c>
      <c r="U35" s="186">
        <f t="shared" si="12"/>
        <v>66.672045</v>
      </c>
      <c r="V35" s="187">
        <f t="shared" ref="V35:W35" si="30">C35/100</f>
        <v>1.02</v>
      </c>
      <c r="W35" s="187">
        <f t="shared" si="30"/>
        <v>2.09</v>
      </c>
      <c r="X35" s="187">
        <f t="shared" si="14"/>
        <v>1.39</v>
      </c>
      <c r="Y35" s="189">
        <f t="shared" si="15"/>
        <v>2.963202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</row>
    <row r="36" ht="27.0" customHeight="1">
      <c r="A36" s="181">
        <v>15.0</v>
      </c>
      <c r="B36" s="182" t="s">
        <v>64</v>
      </c>
      <c r="C36" s="183">
        <v>86.0</v>
      </c>
      <c r="D36" s="183">
        <v>215.0</v>
      </c>
      <c r="E36" s="183">
        <v>222.0</v>
      </c>
      <c r="F36" s="183">
        <f t="shared" si="5"/>
        <v>0.8</v>
      </c>
      <c r="G36" s="183">
        <f t="shared" si="6"/>
        <v>121.09101</v>
      </c>
      <c r="H36" s="184">
        <f t="shared" si="7"/>
        <v>96.872808</v>
      </c>
      <c r="I36" s="183">
        <v>1.0</v>
      </c>
      <c r="J36" s="193">
        <f t="shared" si="8"/>
        <v>96.872808</v>
      </c>
      <c r="K36" s="186"/>
      <c r="L36" s="187">
        <f t="shared" si="17"/>
        <v>5.461</v>
      </c>
      <c r="M36" s="181">
        <f t="shared" si="18"/>
        <v>1</v>
      </c>
      <c r="N36" s="181">
        <f t="shared" si="19"/>
        <v>5.461</v>
      </c>
      <c r="O36" s="186"/>
      <c r="P36" s="186"/>
      <c r="Q36" s="188">
        <v>29.5</v>
      </c>
      <c r="R36" s="187">
        <f t="shared" si="9"/>
        <v>2.22</v>
      </c>
      <c r="S36" s="181">
        <f t="shared" si="10"/>
        <v>1</v>
      </c>
      <c r="T36" s="181">
        <f t="shared" si="11"/>
        <v>2.22</v>
      </c>
      <c r="U36" s="186">
        <f t="shared" si="12"/>
        <v>121.09101</v>
      </c>
      <c r="V36" s="187">
        <f t="shared" ref="V36:W36" si="31">C36/100</f>
        <v>0.86</v>
      </c>
      <c r="W36" s="187">
        <f t="shared" si="31"/>
        <v>2.15</v>
      </c>
      <c r="X36" s="187">
        <f t="shared" si="14"/>
        <v>2.22</v>
      </c>
      <c r="Y36" s="189">
        <f t="shared" si="15"/>
        <v>4.10478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</row>
    <row r="37" ht="27.0" customHeight="1">
      <c r="A37" s="181">
        <v>16.0</v>
      </c>
      <c r="B37" s="191" t="s">
        <v>55</v>
      </c>
      <c r="C37" s="191">
        <v>92.0</v>
      </c>
      <c r="D37" s="191">
        <v>215.0</v>
      </c>
      <c r="E37" s="191">
        <v>206.0</v>
      </c>
      <c r="F37" s="191">
        <f t="shared" si="5"/>
        <v>0</v>
      </c>
      <c r="G37" s="191">
        <f t="shared" si="6"/>
        <v>120.20306</v>
      </c>
      <c r="H37" s="219">
        <f t="shared" si="7"/>
        <v>120.20306</v>
      </c>
      <c r="I37" s="218">
        <v>1.0</v>
      </c>
      <c r="J37" s="193">
        <f t="shared" si="8"/>
        <v>120.20306</v>
      </c>
      <c r="K37" s="186"/>
      <c r="L37" s="187">
        <f t="shared" si="17"/>
        <v>5.461</v>
      </c>
      <c r="M37" s="181">
        <f t="shared" si="18"/>
        <v>1</v>
      </c>
      <c r="N37" s="181">
        <f t="shared" si="19"/>
        <v>5.461</v>
      </c>
      <c r="O37" s="186"/>
      <c r="P37" s="186"/>
      <c r="Q37" s="188">
        <v>29.5</v>
      </c>
      <c r="R37" s="187">
        <f t="shared" si="9"/>
        <v>2.06</v>
      </c>
      <c r="S37" s="181">
        <f t="shared" si="10"/>
        <v>1</v>
      </c>
      <c r="T37" s="181">
        <f t="shared" si="11"/>
        <v>2.06</v>
      </c>
      <c r="U37" s="186">
        <f t="shared" si="12"/>
        <v>120.20306</v>
      </c>
      <c r="V37" s="187">
        <f t="shared" ref="V37:W37" si="32">C37/100</f>
        <v>0.92</v>
      </c>
      <c r="W37" s="187">
        <f t="shared" si="32"/>
        <v>2.15</v>
      </c>
      <c r="X37" s="187">
        <f t="shared" si="14"/>
        <v>2.06</v>
      </c>
      <c r="Y37" s="189">
        <f t="shared" si="15"/>
        <v>4.07468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</row>
    <row r="38" ht="27.0" customHeight="1">
      <c r="A38" s="181">
        <v>17.0</v>
      </c>
      <c r="B38" s="191" t="s">
        <v>55</v>
      </c>
      <c r="C38" s="191">
        <v>67.0</v>
      </c>
      <c r="D38" s="191">
        <v>215.0</v>
      </c>
      <c r="E38" s="191">
        <v>253.0</v>
      </c>
      <c r="F38" s="191">
        <f t="shared" si="5"/>
        <v>0</v>
      </c>
      <c r="G38" s="191">
        <f t="shared" si="6"/>
        <v>107.5117175</v>
      </c>
      <c r="H38" s="219">
        <f t="shared" si="7"/>
        <v>107.5117175</v>
      </c>
      <c r="I38" s="218">
        <v>1.0</v>
      </c>
      <c r="J38" s="193">
        <f t="shared" si="8"/>
        <v>107.5117175</v>
      </c>
      <c r="K38" s="186"/>
      <c r="L38" s="187">
        <f t="shared" si="17"/>
        <v>5.461</v>
      </c>
      <c r="M38" s="181">
        <f t="shared" si="18"/>
        <v>1</v>
      </c>
      <c r="N38" s="181">
        <f t="shared" si="19"/>
        <v>5.461</v>
      </c>
      <c r="O38" s="186"/>
      <c r="P38" s="186"/>
      <c r="Q38" s="188">
        <v>29.5</v>
      </c>
      <c r="R38" s="187">
        <f t="shared" si="9"/>
        <v>2.53</v>
      </c>
      <c r="S38" s="181">
        <f t="shared" si="10"/>
        <v>1</v>
      </c>
      <c r="T38" s="181">
        <f t="shared" si="11"/>
        <v>2.53</v>
      </c>
      <c r="U38" s="186">
        <f t="shared" si="12"/>
        <v>107.5117175</v>
      </c>
      <c r="V38" s="187">
        <f t="shared" ref="V38:W38" si="33">C38/100</f>
        <v>0.67</v>
      </c>
      <c r="W38" s="187">
        <f t="shared" si="33"/>
        <v>2.15</v>
      </c>
      <c r="X38" s="187">
        <f t="shared" si="14"/>
        <v>2.53</v>
      </c>
      <c r="Y38" s="189">
        <f t="shared" si="15"/>
        <v>3.644465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</row>
    <row r="39" ht="27.0" customHeight="1">
      <c r="A39" s="181">
        <v>18.0</v>
      </c>
      <c r="B39" s="191" t="s">
        <v>55</v>
      </c>
      <c r="C39" s="191">
        <v>102.0</v>
      </c>
      <c r="D39" s="191">
        <v>215.0</v>
      </c>
      <c r="E39" s="191">
        <v>222.0</v>
      </c>
      <c r="F39" s="191">
        <f t="shared" si="5"/>
        <v>0</v>
      </c>
      <c r="G39" s="191">
        <f t="shared" si="6"/>
        <v>143.61957</v>
      </c>
      <c r="H39" s="219">
        <f t="shared" si="7"/>
        <v>143.61957</v>
      </c>
      <c r="I39" s="218">
        <v>3.0</v>
      </c>
      <c r="J39" s="193">
        <f t="shared" si="8"/>
        <v>430.85871</v>
      </c>
      <c r="K39" s="186"/>
      <c r="L39" s="164">
        <f t="shared" si="17"/>
        <v>5.461</v>
      </c>
      <c r="M39" s="195">
        <f t="shared" si="18"/>
        <v>3</v>
      </c>
      <c r="N39" s="195">
        <f t="shared" si="19"/>
        <v>16.383</v>
      </c>
      <c r="O39" s="186"/>
      <c r="P39" s="186"/>
      <c r="Q39" s="188">
        <v>29.5</v>
      </c>
      <c r="R39" s="187">
        <f t="shared" si="9"/>
        <v>2.22</v>
      </c>
      <c r="S39" s="181">
        <f t="shared" si="10"/>
        <v>3</v>
      </c>
      <c r="T39" s="181">
        <f t="shared" si="11"/>
        <v>6.66</v>
      </c>
      <c r="U39" s="186">
        <f t="shared" si="12"/>
        <v>143.61957</v>
      </c>
      <c r="V39" s="187">
        <f t="shared" ref="V39:W39" si="34">C39/100</f>
        <v>1.02</v>
      </c>
      <c r="W39" s="187">
        <f t="shared" si="34"/>
        <v>2.15</v>
      </c>
      <c r="X39" s="187">
        <f t="shared" si="14"/>
        <v>6.66</v>
      </c>
      <c r="Y39" s="189">
        <f t="shared" si="15"/>
        <v>14.60538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</row>
    <row r="40" ht="27.0" customHeight="1">
      <c r="A40" s="181">
        <v>19.0</v>
      </c>
      <c r="B40" s="191" t="s">
        <v>55</v>
      </c>
      <c r="C40" s="191">
        <v>105.0</v>
      </c>
      <c r="D40" s="191">
        <v>215.0</v>
      </c>
      <c r="E40" s="191">
        <v>222.0</v>
      </c>
      <c r="F40" s="191">
        <f t="shared" si="5"/>
        <v>0</v>
      </c>
      <c r="G40" s="191">
        <f t="shared" si="6"/>
        <v>147.843675</v>
      </c>
      <c r="H40" s="219">
        <f t="shared" si="7"/>
        <v>147.843675</v>
      </c>
      <c r="I40" s="218">
        <v>3.0</v>
      </c>
      <c r="J40" s="193">
        <f t="shared" si="8"/>
        <v>443.531025</v>
      </c>
      <c r="K40" s="186"/>
      <c r="L40" s="164"/>
      <c r="M40" s="195">
        <f t="shared" si="18"/>
        <v>3</v>
      </c>
      <c r="N40" s="195"/>
      <c r="O40" s="186"/>
      <c r="P40" s="186"/>
      <c r="Q40" s="188">
        <v>29.5</v>
      </c>
      <c r="R40" s="187">
        <f t="shared" si="9"/>
        <v>2.22</v>
      </c>
      <c r="S40" s="181">
        <f t="shared" si="10"/>
        <v>3</v>
      </c>
      <c r="T40" s="181">
        <f t="shared" si="11"/>
        <v>6.66</v>
      </c>
      <c r="U40" s="186">
        <f t="shared" si="12"/>
        <v>147.843675</v>
      </c>
      <c r="V40" s="187">
        <f t="shared" ref="V40:W40" si="35">C40/100</f>
        <v>1.05</v>
      </c>
      <c r="W40" s="187">
        <f t="shared" si="35"/>
        <v>2.15</v>
      </c>
      <c r="X40" s="187">
        <f t="shared" si="14"/>
        <v>6.66</v>
      </c>
      <c r="Y40" s="189">
        <f t="shared" si="15"/>
        <v>15.03495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</row>
    <row r="41" ht="27.0" customHeight="1">
      <c r="A41" s="181">
        <v>20.0</v>
      </c>
      <c r="B41" s="191" t="s">
        <v>55</v>
      </c>
      <c r="C41" s="191">
        <v>97.0</v>
      </c>
      <c r="D41" s="191">
        <v>215.0</v>
      </c>
      <c r="E41" s="191">
        <v>219.0</v>
      </c>
      <c r="F41" s="191">
        <f t="shared" si="5"/>
        <v>0</v>
      </c>
      <c r="G41" s="191">
        <f t="shared" si="6"/>
        <v>134.7337275</v>
      </c>
      <c r="H41" s="219">
        <f t="shared" si="7"/>
        <v>134.7337275</v>
      </c>
      <c r="I41" s="218">
        <v>1.0</v>
      </c>
      <c r="J41" s="193">
        <f t="shared" si="8"/>
        <v>134.7337275</v>
      </c>
      <c r="K41" s="186"/>
      <c r="L41" s="164"/>
      <c r="M41" s="195">
        <f t="shared" si="18"/>
        <v>1</v>
      </c>
      <c r="N41" s="195"/>
      <c r="O41" s="186"/>
      <c r="P41" s="186"/>
      <c r="Q41" s="188">
        <v>29.5</v>
      </c>
      <c r="R41" s="187">
        <f t="shared" si="9"/>
        <v>2.19</v>
      </c>
      <c r="S41" s="181">
        <f t="shared" si="10"/>
        <v>1</v>
      </c>
      <c r="T41" s="181">
        <f t="shared" si="11"/>
        <v>2.19</v>
      </c>
      <c r="U41" s="186">
        <f t="shared" si="12"/>
        <v>134.7337275</v>
      </c>
      <c r="V41" s="187">
        <f t="shared" ref="V41:W41" si="36">C41/100</f>
        <v>0.97</v>
      </c>
      <c r="W41" s="187">
        <f t="shared" si="36"/>
        <v>2.15</v>
      </c>
      <c r="X41" s="187">
        <f t="shared" si="14"/>
        <v>2.19</v>
      </c>
      <c r="Y41" s="189">
        <f t="shared" si="15"/>
        <v>4.567245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</row>
    <row r="42" ht="27.0" customHeight="1">
      <c r="A42" s="181">
        <v>21.0</v>
      </c>
      <c r="B42" s="191" t="s">
        <v>55</v>
      </c>
      <c r="C42" s="191">
        <v>99.0</v>
      </c>
      <c r="D42" s="191">
        <v>215.0</v>
      </c>
      <c r="E42" s="191">
        <v>207.0</v>
      </c>
      <c r="F42" s="191">
        <f t="shared" si="5"/>
        <v>0</v>
      </c>
      <c r="G42" s="191">
        <f t="shared" si="6"/>
        <v>129.9768525</v>
      </c>
      <c r="H42" s="219">
        <f t="shared" si="7"/>
        <v>129.9768525</v>
      </c>
      <c r="I42" s="218">
        <v>3.0</v>
      </c>
      <c r="J42" s="193">
        <f t="shared" si="8"/>
        <v>389.9305575</v>
      </c>
      <c r="K42" s="186"/>
      <c r="L42" s="164"/>
      <c r="M42" s="195">
        <f t="shared" si="18"/>
        <v>3</v>
      </c>
      <c r="N42" s="195"/>
      <c r="O42" s="186"/>
      <c r="P42" s="186"/>
      <c r="Q42" s="188">
        <v>29.5</v>
      </c>
      <c r="R42" s="187">
        <f t="shared" si="9"/>
        <v>2.07</v>
      </c>
      <c r="S42" s="181">
        <f t="shared" si="10"/>
        <v>3</v>
      </c>
      <c r="T42" s="181">
        <f t="shared" si="11"/>
        <v>6.21</v>
      </c>
      <c r="U42" s="186">
        <f t="shared" si="12"/>
        <v>129.9768525</v>
      </c>
      <c r="V42" s="187">
        <f t="shared" ref="V42:W42" si="37">C42/100</f>
        <v>0.99</v>
      </c>
      <c r="W42" s="187">
        <f t="shared" si="37"/>
        <v>2.15</v>
      </c>
      <c r="X42" s="187">
        <f t="shared" si="14"/>
        <v>6.21</v>
      </c>
      <c r="Y42" s="189">
        <f t="shared" si="15"/>
        <v>13.217985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</row>
    <row r="43" ht="27.0" customHeight="1">
      <c r="A43" s="181">
        <v>22.0</v>
      </c>
      <c r="B43" s="191" t="s">
        <v>55</v>
      </c>
      <c r="C43" s="191">
        <v>98.0</v>
      </c>
      <c r="D43" s="191">
        <v>215.0</v>
      </c>
      <c r="E43" s="191">
        <v>220.0</v>
      </c>
      <c r="F43" s="191">
        <f t="shared" si="5"/>
        <v>0</v>
      </c>
      <c r="G43" s="191">
        <f t="shared" si="6"/>
        <v>136.7443</v>
      </c>
      <c r="H43" s="219">
        <f t="shared" si="7"/>
        <v>136.7443</v>
      </c>
      <c r="I43" s="218">
        <v>2.0</v>
      </c>
      <c r="J43" s="193">
        <f t="shared" si="8"/>
        <v>273.4886</v>
      </c>
      <c r="K43" s="186"/>
      <c r="L43" s="164"/>
      <c r="M43" s="195"/>
      <c r="N43" s="195"/>
      <c r="O43" s="186"/>
      <c r="P43" s="186"/>
      <c r="Q43" s="188">
        <v>29.5</v>
      </c>
      <c r="R43" s="187">
        <f t="shared" si="9"/>
        <v>2.2</v>
      </c>
      <c r="S43" s="181">
        <f t="shared" si="10"/>
        <v>2</v>
      </c>
      <c r="T43" s="181">
        <f t="shared" si="11"/>
        <v>4.4</v>
      </c>
      <c r="U43" s="186">
        <f t="shared" si="12"/>
        <v>136.7443</v>
      </c>
      <c r="V43" s="187">
        <f t="shared" ref="V43:W43" si="38">C43/100</f>
        <v>0.98</v>
      </c>
      <c r="W43" s="187">
        <f t="shared" si="38"/>
        <v>2.15</v>
      </c>
      <c r="X43" s="187">
        <f t="shared" si="14"/>
        <v>4.4</v>
      </c>
      <c r="Y43" s="189">
        <f t="shared" si="15"/>
        <v>9.2708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</row>
    <row r="44" ht="27.0" customHeight="1">
      <c r="A44" s="181">
        <v>23.0</v>
      </c>
      <c r="B44" s="191" t="s">
        <v>55</v>
      </c>
      <c r="C44" s="191">
        <v>100.0</v>
      </c>
      <c r="D44" s="191">
        <v>215.0</v>
      </c>
      <c r="E44" s="191">
        <v>209.0</v>
      </c>
      <c r="F44" s="191">
        <f t="shared" si="5"/>
        <v>0</v>
      </c>
      <c r="G44" s="191">
        <f t="shared" si="6"/>
        <v>132.55825</v>
      </c>
      <c r="H44" s="219">
        <f t="shared" si="7"/>
        <v>132.55825</v>
      </c>
      <c r="I44" s="218">
        <v>3.0</v>
      </c>
      <c r="J44" s="193">
        <f t="shared" si="8"/>
        <v>397.67475</v>
      </c>
      <c r="K44" s="186"/>
      <c r="L44" s="164"/>
      <c r="M44" s="195"/>
      <c r="N44" s="195"/>
      <c r="O44" s="186"/>
      <c r="P44" s="186"/>
      <c r="Q44" s="188">
        <v>29.5</v>
      </c>
      <c r="R44" s="187">
        <f t="shared" si="9"/>
        <v>2.09</v>
      </c>
      <c r="S44" s="181">
        <f t="shared" si="10"/>
        <v>3</v>
      </c>
      <c r="T44" s="181">
        <f t="shared" si="11"/>
        <v>6.27</v>
      </c>
      <c r="U44" s="186">
        <f t="shared" si="12"/>
        <v>132.55825</v>
      </c>
      <c r="V44" s="187">
        <f t="shared" ref="V44:W44" si="39">C44/100</f>
        <v>1</v>
      </c>
      <c r="W44" s="187">
        <f t="shared" si="39"/>
        <v>2.15</v>
      </c>
      <c r="X44" s="187">
        <f t="shared" si="14"/>
        <v>6.27</v>
      </c>
      <c r="Y44" s="189">
        <f t="shared" si="15"/>
        <v>13.4805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</row>
    <row r="45" ht="27.0" customHeight="1">
      <c r="A45" s="181">
        <v>24.0</v>
      </c>
      <c r="B45" s="191" t="s">
        <v>55</v>
      </c>
      <c r="C45" s="191">
        <v>101.0</v>
      </c>
      <c r="D45" s="191">
        <v>215.0</v>
      </c>
      <c r="E45" s="191">
        <v>210.0</v>
      </c>
      <c r="F45" s="191">
        <f t="shared" si="5"/>
        <v>0</v>
      </c>
      <c r="G45" s="191">
        <f t="shared" si="6"/>
        <v>134.524425</v>
      </c>
      <c r="H45" s="219">
        <f t="shared" si="7"/>
        <v>134.524425</v>
      </c>
      <c r="I45" s="218">
        <v>1.0</v>
      </c>
      <c r="J45" s="193">
        <f t="shared" si="8"/>
        <v>134.524425</v>
      </c>
      <c r="K45" s="186"/>
      <c r="L45" s="164"/>
      <c r="M45" s="195"/>
      <c r="N45" s="195"/>
      <c r="O45" s="186"/>
      <c r="P45" s="186"/>
      <c r="Q45" s="188">
        <v>29.5</v>
      </c>
      <c r="R45" s="187">
        <f t="shared" si="9"/>
        <v>2.1</v>
      </c>
      <c r="S45" s="181">
        <f t="shared" si="10"/>
        <v>1</v>
      </c>
      <c r="T45" s="181">
        <f t="shared" si="11"/>
        <v>2.1</v>
      </c>
      <c r="U45" s="186">
        <f t="shared" si="12"/>
        <v>134.524425</v>
      </c>
      <c r="V45" s="187">
        <f t="shared" ref="V45:W45" si="40">C45/100</f>
        <v>1.01</v>
      </c>
      <c r="W45" s="187">
        <f t="shared" si="40"/>
        <v>2.15</v>
      </c>
      <c r="X45" s="187">
        <f t="shared" si="14"/>
        <v>2.1</v>
      </c>
      <c r="Y45" s="189">
        <f t="shared" si="15"/>
        <v>4.56015</v>
      </c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</row>
    <row r="46" ht="27.0" customHeight="1">
      <c r="A46" s="181">
        <v>25.0</v>
      </c>
      <c r="B46" s="191" t="s">
        <v>55</v>
      </c>
      <c r="C46" s="191">
        <v>99.0</v>
      </c>
      <c r="D46" s="191">
        <v>215.0</v>
      </c>
      <c r="E46" s="191">
        <v>208.0</v>
      </c>
      <c r="F46" s="191">
        <f t="shared" si="5"/>
        <v>0</v>
      </c>
      <c r="G46" s="191">
        <f t="shared" si="6"/>
        <v>130.60476</v>
      </c>
      <c r="H46" s="219">
        <f t="shared" si="7"/>
        <v>130.60476</v>
      </c>
      <c r="I46" s="218">
        <v>2.0</v>
      </c>
      <c r="J46" s="193">
        <f t="shared" si="8"/>
        <v>261.20952</v>
      </c>
      <c r="K46" s="186"/>
      <c r="L46" s="164"/>
      <c r="M46" s="195"/>
      <c r="N46" s="195"/>
      <c r="O46" s="186"/>
      <c r="P46" s="186"/>
      <c r="Q46" s="196">
        <v>29.5</v>
      </c>
      <c r="R46" s="187">
        <f t="shared" si="9"/>
        <v>2.08</v>
      </c>
      <c r="S46" s="181">
        <f t="shared" si="10"/>
        <v>2</v>
      </c>
      <c r="T46" s="181">
        <f t="shared" si="11"/>
        <v>4.16</v>
      </c>
      <c r="U46" s="186">
        <f t="shared" si="12"/>
        <v>130.60476</v>
      </c>
      <c r="V46" s="187">
        <f t="shared" ref="V46:W46" si="41">C46/100</f>
        <v>0.99</v>
      </c>
      <c r="W46" s="187">
        <f t="shared" si="41"/>
        <v>2.15</v>
      </c>
      <c r="X46" s="187">
        <f t="shared" si="14"/>
        <v>4.16</v>
      </c>
      <c r="Y46" s="189">
        <f t="shared" si="15"/>
        <v>8.85456</v>
      </c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</row>
    <row r="47" ht="27.0" customHeight="1">
      <c r="A47" s="181">
        <v>26.0</v>
      </c>
      <c r="B47" s="191" t="s">
        <v>55</v>
      </c>
      <c r="C47" s="191">
        <v>98.0</v>
      </c>
      <c r="D47" s="191">
        <v>215.0</v>
      </c>
      <c r="E47" s="191">
        <v>219.0</v>
      </c>
      <c r="F47" s="191">
        <f t="shared" si="5"/>
        <v>0</v>
      </c>
      <c r="G47" s="191">
        <f t="shared" si="6"/>
        <v>136.122735</v>
      </c>
      <c r="H47" s="219">
        <f t="shared" si="7"/>
        <v>136.122735</v>
      </c>
      <c r="I47" s="218">
        <v>1.0</v>
      </c>
      <c r="J47" s="193">
        <f t="shared" si="8"/>
        <v>136.122735</v>
      </c>
      <c r="K47" s="186"/>
      <c r="L47" s="164"/>
      <c r="M47" s="195"/>
      <c r="N47" s="195"/>
      <c r="O47" s="186"/>
      <c r="P47" s="186"/>
      <c r="Q47" s="196">
        <v>29.5</v>
      </c>
      <c r="R47" s="187">
        <f t="shared" si="9"/>
        <v>2.19</v>
      </c>
      <c r="S47" s="181">
        <f t="shared" si="10"/>
        <v>1</v>
      </c>
      <c r="T47" s="181">
        <f t="shared" si="11"/>
        <v>2.19</v>
      </c>
      <c r="U47" s="186">
        <f t="shared" si="12"/>
        <v>136.122735</v>
      </c>
      <c r="V47" s="187">
        <f t="shared" ref="V47:W47" si="42">C47/100</f>
        <v>0.98</v>
      </c>
      <c r="W47" s="187">
        <f t="shared" si="42"/>
        <v>2.15</v>
      </c>
      <c r="X47" s="187">
        <f t="shared" si="14"/>
        <v>2.19</v>
      </c>
      <c r="Y47" s="189">
        <f t="shared" si="15"/>
        <v>4.61433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</row>
    <row r="48" ht="27.0" customHeight="1">
      <c r="A48" s="181">
        <v>27.0</v>
      </c>
      <c r="B48" s="191" t="s">
        <v>55</v>
      </c>
      <c r="C48" s="191">
        <v>93.0</v>
      </c>
      <c r="D48" s="191">
        <v>215.0</v>
      </c>
      <c r="E48" s="191">
        <v>222.0</v>
      </c>
      <c r="F48" s="191">
        <f t="shared" si="5"/>
        <v>0</v>
      </c>
      <c r="G48" s="191">
        <f t="shared" si="6"/>
        <v>130.947255</v>
      </c>
      <c r="H48" s="219">
        <f t="shared" si="7"/>
        <v>130.947255</v>
      </c>
      <c r="I48" s="218">
        <v>1.0</v>
      </c>
      <c r="J48" s="193">
        <f t="shared" si="8"/>
        <v>130.947255</v>
      </c>
      <c r="K48" s="186"/>
      <c r="L48" s="164"/>
      <c r="M48" s="195"/>
      <c r="N48" s="195"/>
      <c r="O48" s="186"/>
      <c r="P48" s="186"/>
      <c r="Q48" s="196">
        <v>29.5</v>
      </c>
      <c r="R48" s="187">
        <f t="shared" si="9"/>
        <v>2.22</v>
      </c>
      <c r="S48" s="181">
        <f t="shared" si="10"/>
        <v>1</v>
      </c>
      <c r="T48" s="181">
        <f t="shared" si="11"/>
        <v>2.22</v>
      </c>
      <c r="U48" s="186">
        <f t="shared" si="12"/>
        <v>130.947255</v>
      </c>
      <c r="V48" s="187">
        <f t="shared" ref="V48:W48" si="43">C48/100</f>
        <v>0.93</v>
      </c>
      <c r="W48" s="187">
        <f t="shared" si="43"/>
        <v>2.15</v>
      </c>
      <c r="X48" s="187">
        <f t="shared" si="14"/>
        <v>2.22</v>
      </c>
      <c r="Y48" s="189">
        <f t="shared" si="15"/>
        <v>4.43889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</row>
    <row r="49" ht="27.0" customHeight="1">
      <c r="A49" s="181">
        <v>28.0</v>
      </c>
      <c r="B49" s="191" t="s">
        <v>55</v>
      </c>
      <c r="C49" s="191">
        <v>101.0</v>
      </c>
      <c r="D49" s="191">
        <v>215.0</v>
      </c>
      <c r="E49" s="191">
        <v>207.0</v>
      </c>
      <c r="F49" s="191">
        <f t="shared" si="5"/>
        <v>0</v>
      </c>
      <c r="G49" s="191">
        <f t="shared" si="6"/>
        <v>132.6026475</v>
      </c>
      <c r="H49" s="219">
        <f t="shared" si="7"/>
        <v>132.6026475</v>
      </c>
      <c r="I49" s="218">
        <v>2.0</v>
      </c>
      <c r="J49" s="194">
        <f t="shared" si="8"/>
        <v>265.205295</v>
      </c>
      <c r="K49" s="139"/>
      <c r="L49" s="197"/>
      <c r="M49" s="198"/>
      <c r="N49" s="198"/>
      <c r="O49" s="139"/>
      <c r="P49" s="139"/>
      <c r="Q49" s="141">
        <v>29.5</v>
      </c>
      <c r="R49" s="187">
        <f t="shared" si="9"/>
        <v>2.07</v>
      </c>
      <c r="S49" s="181">
        <f t="shared" si="10"/>
        <v>2</v>
      </c>
      <c r="T49" s="181">
        <f t="shared" si="11"/>
        <v>4.14</v>
      </c>
      <c r="U49" s="186">
        <f t="shared" si="12"/>
        <v>132.6026475</v>
      </c>
      <c r="V49" s="187">
        <f t="shared" ref="V49:W49" si="44">C49/100</f>
        <v>1.01</v>
      </c>
      <c r="W49" s="187">
        <f t="shared" si="44"/>
        <v>2.15</v>
      </c>
      <c r="X49" s="187">
        <f t="shared" si="14"/>
        <v>4.14</v>
      </c>
      <c r="Y49" s="189">
        <f t="shared" si="15"/>
        <v>8.99001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</row>
    <row r="50" ht="27.0" customHeight="1">
      <c r="A50" s="181">
        <v>29.0</v>
      </c>
      <c r="B50" s="191" t="s">
        <v>55</v>
      </c>
      <c r="C50" s="191">
        <v>100.0</v>
      </c>
      <c r="D50" s="191">
        <v>215.0</v>
      </c>
      <c r="E50" s="191">
        <v>210.0</v>
      </c>
      <c r="F50" s="191">
        <f t="shared" si="5"/>
        <v>0</v>
      </c>
      <c r="G50" s="191">
        <f t="shared" si="6"/>
        <v>133.1925</v>
      </c>
      <c r="H50" s="219">
        <f t="shared" si="7"/>
        <v>133.1925</v>
      </c>
      <c r="I50" s="218">
        <v>1.0</v>
      </c>
      <c r="J50" s="194">
        <f t="shared" si="8"/>
        <v>133.1925</v>
      </c>
      <c r="K50" s="139"/>
      <c r="L50" s="197"/>
      <c r="M50" s="198"/>
      <c r="N50" s="198"/>
      <c r="O50" s="139"/>
      <c r="P50" s="139"/>
      <c r="Q50" s="141">
        <v>29.5</v>
      </c>
      <c r="R50" s="187">
        <f t="shared" si="9"/>
        <v>2.1</v>
      </c>
      <c r="S50" s="181">
        <f t="shared" si="10"/>
        <v>1</v>
      </c>
      <c r="T50" s="181">
        <f t="shared" si="11"/>
        <v>2.1</v>
      </c>
      <c r="U50" s="186">
        <f t="shared" si="12"/>
        <v>133.1925</v>
      </c>
      <c r="V50" s="187">
        <f t="shared" ref="V50:W50" si="45">C50/100</f>
        <v>1</v>
      </c>
      <c r="W50" s="187">
        <f t="shared" si="45"/>
        <v>2.15</v>
      </c>
      <c r="X50" s="187">
        <f t="shared" si="14"/>
        <v>2.1</v>
      </c>
      <c r="Y50" s="189">
        <f t="shared" si="15"/>
        <v>4.515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</row>
    <row r="51" ht="27.0" customHeight="1">
      <c r="A51" s="181">
        <v>30.0</v>
      </c>
      <c r="B51" s="191" t="s">
        <v>55</v>
      </c>
      <c r="C51" s="191">
        <v>103.0</v>
      </c>
      <c r="D51" s="191">
        <v>215.0</v>
      </c>
      <c r="E51" s="191">
        <v>222.0</v>
      </c>
      <c r="F51" s="191">
        <f t="shared" si="5"/>
        <v>0</v>
      </c>
      <c r="G51" s="191">
        <f t="shared" si="6"/>
        <v>145.027605</v>
      </c>
      <c r="H51" s="219">
        <f t="shared" si="7"/>
        <v>145.027605</v>
      </c>
      <c r="I51" s="218">
        <v>1.0</v>
      </c>
      <c r="J51" s="194">
        <f t="shared" si="8"/>
        <v>145.027605</v>
      </c>
      <c r="K51" s="139"/>
      <c r="L51" s="197"/>
      <c r="M51" s="198"/>
      <c r="N51" s="198"/>
      <c r="O51" s="139"/>
      <c r="P51" s="139"/>
      <c r="Q51" s="141">
        <v>29.5</v>
      </c>
      <c r="R51" s="187">
        <f t="shared" si="9"/>
        <v>2.22</v>
      </c>
      <c r="S51" s="181">
        <f t="shared" si="10"/>
        <v>1</v>
      </c>
      <c r="T51" s="181">
        <f t="shared" si="11"/>
        <v>2.22</v>
      </c>
      <c r="U51" s="186">
        <f t="shared" si="12"/>
        <v>145.027605</v>
      </c>
      <c r="V51" s="187">
        <f t="shared" ref="V51:W51" si="46">C51/100</f>
        <v>1.03</v>
      </c>
      <c r="W51" s="187">
        <f t="shared" si="46"/>
        <v>2.15</v>
      </c>
      <c r="X51" s="187">
        <f t="shared" si="14"/>
        <v>2.22</v>
      </c>
      <c r="Y51" s="189">
        <f t="shared" si="15"/>
        <v>4.91619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</row>
    <row r="52" ht="27.0" customHeight="1">
      <c r="A52" s="181">
        <v>31.0</v>
      </c>
      <c r="B52" s="191" t="s">
        <v>55</v>
      </c>
      <c r="C52" s="191">
        <v>100.0</v>
      </c>
      <c r="D52" s="191">
        <v>215.0</v>
      </c>
      <c r="E52" s="191">
        <v>219.0</v>
      </c>
      <c r="F52" s="191">
        <f t="shared" si="5"/>
        <v>0</v>
      </c>
      <c r="G52" s="191">
        <f t="shared" si="6"/>
        <v>138.90075</v>
      </c>
      <c r="H52" s="219">
        <f t="shared" si="7"/>
        <v>138.90075</v>
      </c>
      <c r="I52" s="218">
        <v>1.0</v>
      </c>
      <c r="J52" s="194">
        <f t="shared" si="8"/>
        <v>138.90075</v>
      </c>
      <c r="K52" s="139"/>
      <c r="L52" s="197"/>
      <c r="M52" s="198"/>
      <c r="N52" s="198"/>
      <c r="O52" s="139"/>
      <c r="P52" s="139"/>
      <c r="Q52" s="141">
        <v>29.5</v>
      </c>
      <c r="R52" s="187">
        <f t="shared" si="9"/>
        <v>2.19</v>
      </c>
      <c r="S52" s="181">
        <f t="shared" si="10"/>
        <v>1</v>
      </c>
      <c r="T52" s="181">
        <f t="shared" si="11"/>
        <v>2.19</v>
      </c>
      <c r="U52" s="186">
        <f t="shared" si="12"/>
        <v>138.90075</v>
      </c>
      <c r="V52" s="187">
        <f t="shared" ref="V52:W52" si="47">C52/100</f>
        <v>1</v>
      </c>
      <c r="W52" s="187">
        <f t="shared" si="47"/>
        <v>2.15</v>
      </c>
      <c r="X52" s="187">
        <f t="shared" si="14"/>
        <v>2.19</v>
      </c>
      <c r="Y52" s="189">
        <f t="shared" si="15"/>
        <v>4.7085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</row>
    <row r="53" ht="27.0" customHeight="1">
      <c r="A53" s="181">
        <v>32.0</v>
      </c>
      <c r="B53" s="191" t="s">
        <v>55</v>
      </c>
      <c r="C53" s="191">
        <v>100.0</v>
      </c>
      <c r="D53" s="191">
        <v>215.0</v>
      </c>
      <c r="E53" s="191">
        <v>222.0</v>
      </c>
      <c r="F53" s="191">
        <f t="shared" si="5"/>
        <v>0</v>
      </c>
      <c r="G53" s="191">
        <f t="shared" si="6"/>
        <v>140.8035</v>
      </c>
      <c r="H53" s="219">
        <f t="shared" si="7"/>
        <v>140.8035</v>
      </c>
      <c r="I53" s="218">
        <v>2.0</v>
      </c>
      <c r="J53" s="194">
        <f t="shared" si="8"/>
        <v>281.607</v>
      </c>
      <c r="K53" s="139"/>
      <c r="L53" s="197"/>
      <c r="M53" s="198"/>
      <c r="N53" s="198"/>
      <c r="O53" s="139"/>
      <c r="P53" s="139"/>
      <c r="Q53" s="141">
        <v>29.5</v>
      </c>
      <c r="R53" s="187">
        <f t="shared" si="9"/>
        <v>2.22</v>
      </c>
      <c r="S53" s="181">
        <f t="shared" si="10"/>
        <v>2</v>
      </c>
      <c r="T53" s="181">
        <f t="shared" si="11"/>
        <v>4.44</v>
      </c>
      <c r="U53" s="186">
        <f t="shared" si="12"/>
        <v>140.8035</v>
      </c>
      <c r="V53" s="187">
        <f t="shared" ref="V53:W53" si="48">C53/100</f>
        <v>1</v>
      </c>
      <c r="W53" s="187">
        <f t="shared" si="48"/>
        <v>2.15</v>
      </c>
      <c r="X53" s="187">
        <f t="shared" si="14"/>
        <v>4.44</v>
      </c>
      <c r="Y53" s="189">
        <f t="shared" si="15"/>
        <v>9.546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</row>
    <row r="54" ht="27.0" customHeight="1">
      <c r="A54" s="181">
        <v>33.0</v>
      </c>
      <c r="B54" s="191" t="s">
        <v>55</v>
      </c>
      <c r="C54" s="191">
        <v>100.0</v>
      </c>
      <c r="D54" s="191">
        <v>215.0</v>
      </c>
      <c r="E54" s="191">
        <v>220.0</v>
      </c>
      <c r="F54" s="191">
        <f t="shared" si="5"/>
        <v>0</v>
      </c>
      <c r="G54" s="191">
        <f t="shared" si="6"/>
        <v>139.535</v>
      </c>
      <c r="H54" s="219">
        <f t="shared" si="7"/>
        <v>139.535</v>
      </c>
      <c r="I54" s="218">
        <v>2.0</v>
      </c>
      <c r="J54" s="194">
        <f t="shared" si="8"/>
        <v>279.07</v>
      </c>
      <c r="K54" s="139"/>
      <c r="L54" s="197"/>
      <c r="M54" s="198"/>
      <c r="N54" s="198"/>
      <c r="O54" s="139"/>
      <c r="P54" s="139"/>
      <c r="Q54" s="141">
        <v>29.5</v>
      </c>
      <c r="R54" s="187">
        <f t="shared" si="9"/>
        <v>2.2</v>
      </c>
      <c r="S54" s="181">
        <f t="shared" si="10"/>
        <v>2</v>
      </c>
      <c r="T54" s="181">
        <f t="shared" si="11"/>
        <v>4.4</v>
      </c>
      <c r="U54" s="186">
        <f t="shared" si="12"/>
        <v>139.535</v>
      </c>
      <c r="V54" s="187">
        <f t="shared" ref="V54:W54" si="49">C54/100</f>
        <v>1</v>
      </c>
      <c r="W54" s="187">
        <f t="shared" si="49"/>
        <v>2.15</v>
      </c>
      <c r="X54" s="187">
        <f t="shared" si="14"/>
        <v>4.4</v>
      </c>
      <c r="Y54" s="189">
        <f t="shared" si="15"/>
        <v>9.46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</row>
    <row r="55" ht="27.0" customHeight="1">
      <c r="A55" s="181">
        <v>34.0</v>
      </c>
      <c r="B55" s="182" t="s">
        <v>101</v>
      </c>
      <c r="C55" s="183">
        <v>90.0</v>
      </c>
      <c r="D55" s="183">
        <v>204.0</v>
      </c>
      <c r="E55" s="183">
        <v>152.0</v>
      </c>
      <c r="F55" s="183">
        <f t="shared" si="5"/>
        <v>0.8</v>
      </c>
      <c r="G55" s="183">
        <f t="shared" si="6"/>
        <v>68.37264</v>
      </c>
      <c r="H55" s="184">
        <f t="shared" si="7"/>
        <v>54.698112</v>
      </c>
      <c r="I55" s="183">
        <v>1.0</v>
      </c>
      <c r="J55" s="194">
        <f t="shared" si="8"/>
        <v>54.698112</v>
      </c>
      <c r="K55" s="139"/>
      <c r="L55" s="197"/>
      <c r="M55" s="198"/>
      <c r="N55" s="198"/>
      <c r="O55" s="139"/>
      <c r="P55" s="139"/>
      <c r="Q55" s="141">
        <v>24.5</v>
      </c>
      <c r="R55" s="187">
        <f t="shared" si="9"/>
        <v>1.52</v>
      </c>
      <c r="S55" s="181">
        <f t="shared" si="10"/>
        <v>1</v>
      </c>
      <c r="T55" s="181">
        <f t="shared" si="11"/>
        <v>1.52</v>
      </c>
      <c r="U55" s="186">
        <f t="shared" si="12"/>
        <v>68.37264</v>
      </c>
      <c r="V55" s="187">
        <f t="shared" ref="V55:W55" si="50">C55/100</f>
        <v>0.9</v>
      </c>
      <c r="W55" s="187">
        <f t="shared" si="50"/>
        <v>2.04</v>
      </c>
      <c r="X55" s="187">
        <f t="shared" si="14"/>
        <v>1.52</v>
      </c>
      <c r="Y55" s="189">
        <f t="shared" si="15"/>
        <v>2.79072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</row>
    <row r="56" ht="27.0" customHeight="1">
      <c r="A56" s="181">
        <v>35.0</v>
      </c>
      <c r="B56" s="191" t="s">
        <v>102</v>
      </c>
      <c r="C56" s="191">
        <v>96.0</v>
      </c>
      <c r="D56" s="191">
        <v>204.0</v>
      </c>
      <c r="E56" s="191">
        <v>220.0</v>
      </c>
      <c r="F56" s="191">
        <f t="shared" si="5"/>
        <v>0</v>
      </c>
      <c r="G56" s="191">
        <f t="shared" si="6"/>
        <v>105.55776</v>
      </c>
      <c r="H56" s="219">
        <f t="shared" si="7"/>
        <v>105.55776</v>
      </c>
      <c r="I56" s="218">
        <v>1.0</v>
      </c>
      <c r="J56" s="194">
        <f t="shared" si="8"/>
        <v>105.55776</v>
      </c>
      <c r="K56" s="139"/>
      <c r="L56" s="197"/>
      <c r="M56" s="198"/>
      <c r="N56" s="198"/>
      <c r="O56" s="139"/>
      <c r="P56" s="139"/>
      <c r="Q56" s="141">
        <v>24.5</v>
      </c>
      <c r="R56" s="187">
        <f t="shared" si="9"/>
        <v>2.2</v>
      </c>
      <c r="S56" s="181">
        <f t="shared" si="10"/>
        <v>1</v>
      </c>
      <c r="T56" s="181">
        <f t="shared" si="11"/>
        <v>2.2</v>
      </c>
      <c r="U56" s="186">
        <f t="shared" si="12"/>
        <v>105.55776</v>
      </c>
      <c r="V56" s="187">
        <f t="shared" ref="V56:W56" si="51">C56/100</f>
        <v>0.96</v>
      </c>
      <c r="W56" s="187">
        <f t="shared" si="51"/>
        <v>2.04</v>
      </c>
      <c r="X56" s="187">
        <f t="shared" si="14"/>
        <v>2.2</v>
      </c>
      <c r="Y56" s="189">
        <f t="shared" si="15"/>
        <v>4.30848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</row>
    <row r="57" ht="27.0" customHeight="1">
      <c r="A57" s="181">
        <v>36.0</v>
      </c>
      <c r="B57" s="191" t="s">
        <v>102</v>
      </c>
      <c r="C57" s="191">
        <v>97.0</v>
      </c>
      <c r="D57" s="191">
        <v>204.0</v>
      </c>
      <c r="E57" s="191">
        <v>153.0</v>
      </c>
      <c r="F57" s="191">
        <f t="shared" si="5"/>
        <v>0</v>
      </c>
      <c r="G57" s="191">
        <f t="shared" si="6"/>
        <v>74.175318</v>
      </c>
      <c r="H57" s="219">
        <f t="shared" si="7"/>
        <v>74.175318</v>
      </c>
      <c r="I57" s="218">
        <v>2.0</v>
      </c>
      <c r="J57" s="194">
        <f t="shared" si="8"/>
        <v>148.350636</v>
      </c>
      <c r="K57" s="139"/>
      <c r="L57" s="197"/>
      <c r="M57" s="198"/>
      <c r="N57" s="198"/>
      <c r="O57" s="139"/>
      <c r="P57" s="139"/>
      <c r="Q57" s="141">
        <v>24.5</v>
      </c>
      <c r="R57" s="187">
        <f t="shared" si="9"/>
        <v>1.53</v>
      </c>
      <c r="S57" s="181">
        <f t="shared" si="10"/>
        <v>2</v>
      </c>
      <c r="T57" s="181">
        <f t="shared" si="11"/>
        <v>3.06</v>
      </c>
      <c r="U57" s="186">
        <f t="shared" si="12"/>
        <v>74.175318</v>
      </c>
      <c r="V57" s="187">
        <f t="shared" ref="V57:W57" si="52">C57/100</f>
        <v>0.97</v>
      </c>
      <c r="W57" s="187">
        <f t="shared" si="52"/>
        <v>2.04</v>
      </c>
      <c r="X57" s="187">
        <f t="shared" si="14"/>
        <v>3.06</v>
      </c>
      <c r="Y57" s="189">
        <f t="shared" si="15"/>
        <v>6.055128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</row>
    <row r="58" ht="27.0" customHeight="1">
      <c r="A58" s="181">
        <v>37.0</v>
      </c>
      <c r="B58" s="191" t="s">
        <v>102</v>
      </c>
      <c r="C58" s="191">
        <v>97.0</v>
      </c>
      <c r="D58" s="191">
        <v>204.0</v>
      </c>
      <c r="E58" s="191">
        <v>152.0</v>
      </c>
      <c r="F58" s="191">
        <f t="shared" si="5"/>
        <v>0</v>
      </c>
      <c r="G58" s="191">
        <f t="shared" si="6"/>
        <v>73.690512</v>
      </c>
      <c r="H58" s="219">
        <f t="shared" si="7"/>
        <v>73.690512</v>
      </c>
      <c r="I58" s="218">
        <v>2.0</v>
      </c>
      <c r="J58" s="194">
        <f t="shared" si="8"/>
        <v>147.381024</v>
      </c>
      <c r="K58" s="139"/>
      <c r="L58" s="197"/>
      <c r="M58" s="198"/>
      <c r="N58" s="198"/>
      <c r="O58" s="139"/>
      <c r="P58" s="139"/>
      <c r="Q58" s="141">
        <v>24.5</v>
      </c>
      <c r="R58" s="187">
        <f t="shared" si="9"/>
        <v>1.52</v>
      </c>
      <c r="S58" s="181">
        <f t="shared" si="10"/>
        <v>2</v>
      </c>
      <c r="T58" s="181">
        <f t="shared" si="11"/>
        <v>3.04</v>
      </c>
      <c r="U58" s="186">
        <f t="shared" si="12"/>
        <v>73.690512</v>
      </c>
      <c r="V58" s="187">
        <f t="shared" ref="V58:W58" si="53">C58/100</f>
        <v>0.97</v>
      </c>
      <c r="W58" s="187">
        <f t="shared" si="53"/>
        <v>2.04</v>
      </c>
      <c r="X58" s="187">
        <f t="shared" si="14"/>
        <v>3.04</v>
      </c>
      <c r="Y58" s="189">
        <f t="shared" si="15"/>
        <v>6.015552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</row>
    <row r="59" ht="27.0" customHeight="1">
      <c r="A59" s="181">
        <v>38.0</v>
      </c>
      <c r="B59" s="191" t="s">
        <v>102</v>
      </c>
      <c r="C59" s="191">
        <v>95.0</v>
      </c>
      <c r="D59" s="191">
        <v>204.0</v>
      </c>
      <c r="E59" s="191">
        <v>151.0</v>
      </c>
      <c r="F59" s="191">
        <f t="shared" si="5"/>
        <v>0</v>
      </c>
      <c r="G59" s="191">
        <f t="shared" si="6"/>
        <v>71.69631</v>
      </c>
      <c r="H59" s="219">
        <f t="shared" si="7"/>
        <v>71.69631</v>
      </c>
      <c r="I59" s="218">
        <v>2.0</v>
      </c>
      <c r="J59" s="194">
        <f t="shared" si="8"/>
        <v>143.39262</v>
      </c>
      <c r="K59" s="139"/>
      <c r="L59" s="197"/>
      <c r="M59" s="198"/>
      <c r="N59" s="198"/>
      <c r="O59" s="139"/>
      <c r="P59" s="139"/>
      <c r="Q59" s="141">
        <v>24.5</v>
      </c>
      <c r="R59" s="187">
        <f t="shared" si="9"/>
        <v>1.51</v>
      </c>
      <c r="S59" s="181">
        <f t="shared" si="10"/>
        <v>2</v>
      </c>
      <c r="T59" s="181">
        <f t="shared" si="11"/>
        <v>3.02</v>
      </c>
      <c r="U59" s="186">
        <f t="shared" si="12"/>
        <v>71.69631</v>
      </c>
      <c r="V59" s="187">
        <f t="shared" ref="V59:W59" si="54">C59/100</f>
        <v>0.95</v>
      </c>
      <c r="W59" s="187">
        <f t="shared" si="54"/>
        <v>2.04</v>
      </c>
      <c r="X59" s="187">
        <f t="shared" si="14"/>
        <v>3.02</v>
      </c>
      <c r="Y59" s="189">
        <f t="shared" si="15"/>
        <v>5.85276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</row>
    <row r="60" ht="27.0" customHeight="1">
      <c r="A60" s="181">
        <v>39.0</v>
      </c>
      <c r="B60" s="191" t="s">
        <v>102</v>
      </c>
      <c r="C60" s="191">
        <v>95.0</v>
      </c>
      <c r="D60" s="191">
        <v>204.0</v>
      </c>
      <c r="E60" s="191">
        <v>152.0</v>
      </c>
      <c r="F60" s="191">
        <f t="shared" si="5"/>
        <v>0</v>
      </c>
      <c r="G60" s="191">
        <f t="shared" si="6"/>
        <v>72.17112</v>
      </c>
      <c r="H60" s="219">
        <f t="shared" si="7"/>
        <v>72.17112</v>
      </c>
      <c r="I60" s="218">
        <v>2.0</v>
      </c>
      <c r="J60" s="194">
        <f t="shared" si="8"/>
        <v>144.34224</v>
      </c>
      <c r="K60" s="139"/>
      <c r="L60" s="197"/>
      <c r="M60" s="198"/>
      <c r="N60" s="198"/>
      <c r="O60" s="139"/>
      <c r="P60" s="139"/>
      <c r="Q60" s="141">
        <v>24.5</v>
      </c>
      <c r="R60" s="187">
        <f t="shared" si="9"/>
        <v>1.52</v>
      </c>
      <c r="S60" s="181">
        <f t="shared" si="10"/>
        <v>2</v>
      </c>
      <c r="T60" s="181">
        <f t="shared" si="11"/>
        <v>3.04</v>
      </c>
      <c r="U60" s="186">
        <f t="shared" si="12"/>
        <v>72.17112</v>
      </c>
      <c r="V60" s="187">
        <f t="shared" ref="V60:W60" si="55">C60/100</f>
        <v>0.95</v>
      </c>
      <c r="W60" s="187">
        <f t="shared" si="55"/>
        <v>2.04</v>
      </c>
      <c r="X60" s="187">
        <f t="shared" si="14"/>
        <v>3.04</v>
      </c>
      <c r="Y60" s="189">
        <f t="shared" si="15"/>
        <v>5.89152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</row>
    <row r="61" ht="27.0" customHeight="1">
      <c r="A61" s="181">
        <v>40.0</v>
      </c>
      <c r="B61" s="191" t="s">
        <v>102</v>
      </c>
      <c r="C61" s="191">
        <v>95.0</v>
      </c>
      <c r="D61" s="191">
        <v>204.0</v>
      </c>
      <c r="E61" s="191">
        <v>153.0</v>
      </c>
      <c r="F61" s="191">
        <f t="shared" si="5"/>
        <v>0</v>
      </c>
      <c r="G61" s="191">
        <f t="shared" si="6"/>
        <v>72.64593</v>
      </c>
      <c r="H61" s="219">
        <f t="shared" si="7"/>
        <v>72.64593</v>
      </c>
      <c r="I61" s="218">
        <v>1.0</v>
      </c>
      <c r="J61" s="194">
        <f t="shared" si="8"/>
        <v>72.64593</v>
      </c>
      <c r="K61" s="139"/>
      <c r="L61" s="197"/>
      <c r="M61" s="198"/>
      <c r="N61" s="198"/>
      <c r="O61" s="139"/>
      <c r="P61" s="139"/>
      <c r="Q61" s="141">
        <v>24.5</v>
      </c>
      <c r="R61" s="187">
        <f t="shared" si="9"/>
        <v>1.53</v>
      </c>
      <c r="S61" s="181">
        <f t="shared" si="10"/>
        <v>1</v>
      </c>
      <c r="T61" s="181">
        <f t="shared" si="11"/>
        <v>1.53</v>
      </c>
      <c r="U61" s="186">
        <f t="shared" si="12"/>
        <v>72.64593</v>
      </c>
      <c r="V61" s="187">
        <f t="shared" ref="V61:W61" si="56">C61/100</f>
        <v>0.95</v>
      </c>
      <c r="W61" s="187">
        <f t="shared" si="56"/>
        <v>2.04</v>
      </c>
      <c r="X61" s="187">
        <f t="shared" si="14"/>
        <v>1.53</v>
      </c>
      <c r="Y61" s="189">
        <f t="shared" si="15"/>
        <v>2.96514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</row>
    <row r="62" ht="27.0" customHeight="1">
      <c r="A62" s="181">
        <v>41.0</v>
      </c>
      <c r="B62" s="191" t="s">
        <v>102</v>
      </c>
      <c r="C62" s="191">
        <v>96.0</v>
      </c>
      <c r="D62" s="191">
        <v>204.0</v>
      </c>
      <c r="E62" s="191">
        <v>152.0</v>
      </c>
      <c r="F62" s="191">
        <f t="shared" si="5"/>
        <v>0</v>
      </c>
      <c r="G62" s="191">
        <f t="shared" si="6"/>
        <v>72.930816</v>
      </c>
      <c r="H62" s="219">
        <f t="shared" si="7"/>
        <v>72.930816</v>
      </c>
      <c r="I62" s="218">
        <v>5.0</v>
      </c>
      <c r="J62" s="194">
        <f t="shared" si="8"/>
        <v>364.65408</v>
      </c>
      <c r="K62" s="139"/>
      <c r="L62" s="197"/>
      <c r="M62" s="198"/>
      <c r="N62" s="198"/>
      <c r="O62" s="139"/>
      <c r="P62" s="139"/>
      <c r="Q62" s="141">
        <v>24.5</v>
      </c>
      <c r="R62" s="187">
        <f t="shared" si="9"/>
        <v>1.52</v>
      </c>
      <c r="S62" s="181">
        <f t="shared" si="10"/>
        <v>5</v>
      </c>
      <c r="T62" s="181">
        <f t="shared" si="11"/>
        <v>7.6</v>
      </c>
      <c r="U62" s="186">
        <f t="shared" si="12"/>
        <v>72.930816</v>
      </c>
      <c r="V62" s="187">
        <f t="shared" ref="V62:W62" si="57">C62/100</f>
        <v>0.96</v>
      </c>
      <c r="W62" s="187">
        <f t="shared" si="57"/>
        <v>2.04</v>
      </c>
      <c r="X62" s="187">
        <f t="shared" si="14"/>
        <v>7.6</v>
      </c>
      <c r="Y62" s="189">
        <f t="shared" si="15"/>
        <v>14.88384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</row>
    <row r="63" ht="27.0" customHeight="1">
      <c r="A63" s="181">
        <v>42.0</v>
      </c>
      <c r="B63" s="191" t="s">
        <v>102</v>
      </c>
      <c r="C63" s="191">
        <v>96.0</v>
      </c>
      <c r="D63" s="191">
        <v>204.0</v>
      </c>
      <c r="E63" s="191">
        <v>151.0</v>
      </c>
      <c r="F63" s="191">
        <f t="shared" si="5"/>
        <v>0</v>
      </c>
      <c r="G63" s="191">
        <f t="shared" si="6"/>
        <v>72.451008</v>
      </c>
      <c r="H63" s="219">
        <f t="shared" si="7"/>
        <v>72.451008</v>
      </c>
      <c r="I63" s="218">
        <v>1.0</v>
      </c>
      <c r="J63" s="194">
        <f t="shared" si="8"/>
        <v>72.451008</v>
      </c>
      <c r="K63" s="139"/>
      <c r="L63" s="197"/>
      <c r="M63" s="198"/>
      <c r="N63" s="198"/>
      <c r="O63" s="139"/>
      <c r="P63" s="139"/>
      <c r="Q63" s="141">
        <v>24.5</v>
      </c>
      <c r="R63" s="187">
        <f t="shared" si="9"/>
        <v>1.51</v>
      </c>
      <c r="S63" s="181">
        <f t="shared" si="10"/>
        <v>1</v>
      </c>
      <c r="T63" s="181">
        <f t="shared" si="11"/>
        <v>1.51</v>
      </c>
      <c r="U63" s="186">
        <f t="shared" si="12"/>
        <v>72.451008</v>
      </c>
      <c r="V63" s="187">
        <f t="shared" ref="V63:W63" si="58">C63/100</f>
        <v>0.96</v>
      </c>
      <c r="W63" s="187">
        <f t="shared" si="58"/>
        <v>2.04</v>
      </c>
      <c r="X63" s="187">
        <f t="shared" si="14"/>
        <v>1.51</v>
      </c>
      <c r="Y63" s="189">
        <f t="shared" si="15"/>
        <v>2.957184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</row>
    <row r="64" ht="27.0" customHeight="1">
      <c r="A64" s="181">
        <v>43.0</v>
      </c>
      <c r="B64" s="191" t="s">
        <v>102</v>
      </c>
      <c r="C64" s="191">
        <v>97.0</v>
      </c>
      <c r="D64" s="191">
        <v>204.0</v>
      </c>
      <c r="E64" s="191">
        <v>151.0</v>
      </c>
      <c r="F64" s="191">
        <f t="shared" si="5"/>
        <v>0</v>
      </c>
      <c r="G64" s="191">
        <f t="shared" si="6"/>
        <v>73.205706</v>
      </c>
      <c r="H64" s="219">
        <f t="shared" si="7"/>
        <v>73.205706</v>
      </c>
      <c r="I64" s="218">
        <v>1.0</v>
      </c>
      <c r="J64" s="194">
        <f t="shared" si="8"/>
        <v>73.205706</v>
      </c>
      <c r="K64" s="139"/>
      <c r="L64" s="197"/>
      <c r="M64" s="198"/>
      <c r="N64" s="198"/>
      <c r="O64" s="139"/>
      <c r="P64" s="139"/>
      <c r="Q64" s="141">
        <v>24.5</v>
      </c>
      <c r="R64" s="187">
        <f t="shared" si="9"/>
        <v>1.51</v>
      </c>
      <c r="S64" s="181">
        <f t="shared" si="10"/>
        <v>1</v>
      </c>
      <c r="T64" s="181">
        <f t="shared" si="11"/>
        <v>1.51</v>
      </c>
      <c r="U64" s="186">
        <f t="shared" si="12"/>
        <v>73.205706</v>
      </c>
      <c r="V64" s="187">
        <f t="shared" ref="V64:W64" si="59">C64/100</f>
        <v>0.97</v>
      </c>
      <c r="W64" s="187">
        <f t="shared" si="59"/>
        <v>2.04</v>
      </c>
      <c r="X64" s="187">
        <f t="shared" si="14"/>
        <v>1.51</v>
      </c>
      <c r="Y64" s="189">
        <f t="shared" si="15"/>
        <v>2.987988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</row>
    <row r="65" ht="27.0" customHeight="1">
      <c r="A65" s="181">
        <v>44.0</v>
      </c>
      <c r="B65" s="191" t="s">
        <v>102</v>
      </c>
      <c r="C65" s="191">
        <v>97.0</v>
      </c>
      <c r="D65" s="191">
        <v>204.0</v>
      </c>
      <c r="E65" s="191">
        <v>140.0</v>
      </c>
      <c r="F65" s="191">
        <f t="shared" si="5"/>
        <v>0</v>
      </c>
      <c r="G65" s="191">
        <f t="shared" si="6"/>
        <v>67.87284</v>
      </c>
      <c r="H65" s="219">
        <f t="shared" si="7"/>
        <v>67.87284</v>
      </c>
      <c r="I65" s="218">
        <v>1.0</v>
      </c>
      <c r="J65" s="194">
        <f t="shared" si="8"/>
        <v>67.87284</v>
      </c>
      <c r="K65" s="139"/>
      <c r="L65" s="197"/>
      <c r="M65" s="198"/>
      <c r="N65" s="198"/>
      <c r="O65" s="139"/>
      <c r="P65" s="139"/>
      <c r="Q65" s="141">
        <v>24.5</v>
      </c>
      <c r="R65" s="187">
        <f t="shared" si="9"/>
        <v>1.4</v>
      </c>
      <c r="S65" s="181">
        <f t="shared" si="10"/>
        <v>1</v>
      </c>
      <c r="T65" s="181">
        <f t="shared" si="11"/>
        <v>1.4</v>
      </c>
      <c r="U65" s="186">
        <f t="shared" si="12"/>
        <v>67.87284</v>
      </c>
      <c r="V65" s="187">
        <f t="shared" ref="V65:W65" si="60">C65/100</f>
        <v>0.97</v>
      </c>
      <c r="W65" s="187">
        <f t="shared" si="60"/>
        <v>2.04</v>
      </c>
      <c r="X65" s="187">
        <f t="shared" si="14"/>
        <v>1.4</v>
      </c>
      <c r="Y65" s="189">
        <f t="shared" si="15"/>
        <v>2.77032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</row>
    <row r="66" ht="27.0" customHeight="1">
      <c r="A66" s="181">
        <v>45.0</v>
      </c>
      <c r="B66" s="191" t="s">
        <v>102</v>
      </c>
      <c r="C66" s="191">
        <v>94.0</v>
      </c>
      <c r="D66" s="191">
        <v>204.0</v>
      </c>
      <c r="E66" s="191">
        <v>152.0</v>
      </c>
      <c r="F66" s="191">
        <f t="shared" si="5"/>
        <v>0</v>
      </c>
      <c r="G66" s="191">
        <f t="shared" si="6"/>
        <v>71.411424</v>
      </c>
      <c r="H66" s="219">
        <f t="shared" si="7"/>
        <v>71.411424</v>
      </c>
      <c r="I66" s="218">
        <v>1.0</v>
      </c>
      <c r="J66" s="194">
        <f t="shared" si="8"/>
        <v>71.411424</v>
      </c>
      <c r="K66" s="139"/>
      <c r="L66" s="197"/>
      <c r="M66" s="198"/>
      <c r="N66" s="198"/>
      <c r="O66" s="139"/>
      <c r="P66" s="139"/>
      <c r="Q66" s="141">
        <v>24.5</v>
      </c>
      <c r="R66" s="187">
        <f t="shared" si="9"/>
        <v>1.52</v>
      </c>
      <c r="S66" s="181">
        <f t="shared" si="10"/>
        <v>1</v>
      </c>
      <c r="T66" s="181">
        <f t="shared" si="11"/>
        <v>1.52</v>
      </c>
      <c r="U66" s="186">
        <f t="shared" si="12"/>
        <v>71.411424</v>
      </c>
      <c r="V66" s="187">
        <f t="shared" ref="V66:W66" si="61">C66/100</f>
        <v>0.94</v>
      </c>
      <c r="W66" s="187">
        <f t="shared" si="61"/>
        <v>2.04</v>
      </c>
      <c r="X66" s="187">
        <f t="shared" si="14"/>
        <v>1.52</v>
      </c>
      <c r="Y66" s="189">
        <f t="shared" si="15"/>
        <v>2.914752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</row>
    <row r="67" ht="27.0" customHeight="1">
      <c r="A67" s="181">
        <v>46.0</v>
      </c>
      <c r="B67" s="182" t="s">
        <v>103</v>
      </c>
      <c r="C67" s="183">
        <v>82.0</v>
      </c>
      <c r="D67" s="183">
        <v>204.0</v>
      </c>
      <c r="E67" s="183">
        <v>156.0</v>
      </c>
      <c r="F67" s="183">
        <f t="shared" si="5"/>
        <v>0.8</v>
      </c>
      <c r="G67" s="183">
        <f t="shared" si="6"/>
        <v>48.277008</v>
      </c>
      <c r="H67" s="184">
        <f t="shared" si="7"/>
        <v>38.6216064</v>
      </c>
      <c r="I67" s="183">
        <v>1.0</v>
      </c>
      <c r="J67" s="194">
        <f t="shared" si="8"/>
        <v>38.6216064</v>
      </c>
      <c r="K67" s="139"/>
      <c r="L67" s="197"/>
      <c r="M67" s="198"/>
      <c r="N67" s="198"/>
      <c r="O67" s="139"/>
      <c r="P67" s="139"/>
      <c r="Q67" s="141">
        <v>18.5</v>
      </c>
      <c r="R67" s="187">
        <f t="shared" si="9"/>
        <v>1.56</v>
      </c>
      <c r="S67" s="181">
        <f t="shared" si="10"/>
        <v>1</v>
      </c>
      <c r="T67" s="181">
        <f t="shared" si="11"/>
        <v>1.56</v>
      </c>
      <c r="U67" s="186">
        <f t="shared" si="12"/>
        <v>48.277008</v>
      </c>
      <c r="V67" s="187">
        <f t="shared" ref="V67:W67" si="62">C67/100</f>
        <v>0.82</v>
      </c>
      <c r="W67" s="187">
        <f t="shared" si="62"/>
        <v>2.04</v>
      </c>
      <c r="X67" s="187">
        <f t="shared" si="14"/>
        <v>1.56</v>
      </c>
      <c r="Y67" s="189">
        <f t="shared" si="15"/>
        <v>2.609568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</row>
    <row r="68" ht="27.0" customHeight="1">
      <c r="A68" s="181">
        <v>47.0</v>
      </c>
      <c r="B68" s="191" t="s">
        <v>98</v>
      </c>
      <c r="C68" s="191">
        <v>96.0</v>
      </c>
      <c r="D68" s="191">
        <v>204.0</v>
      </c>
      <c r="E68" s="191">
        <v>152.0</v>
      </c>
      <c r="F68" s="191">
        <f t="shared" si="5"/>
        <v>0</v>
      </c>
      <c r="G68" s="191">
        <f t="shared" si="6"/>
        <v>55.070208</v>
      </c>
      <c r="H68" s="219">
        <f t="shared" si="7"/>
        <v>55.070208</v>
      </c>
      <c r="I68" s="218">
        <v>2.0</v>
      </c>
      <c r="J68" s="194">
        <f t="shared" si="8"/>
        <v>110.140416</v>
      </c>
      <c r="K68" s="139"/>
      <c r="L68" s="197"/>
      <c r="M68" s="198"/>
      <c r="N68" s="198"/>
      <c r="O68" s="139"/>
      <c r="P68" s="139"/>
      <c r="Q68" s="141">
        <v>18.5</v>
      </c>
      <c r="R68" s="187">
        <f t="shared" si="9"/>
        <v>1.52</v>
      </c>
      <c r="S68" s="181">
        <f t="shared" si="10"/>
        <v>2</v>
      </c>
      <c r="T68" s="181">
        <f t="shared" si="11"/>
        <v>3.04</v>
      </c>
      <c r="U68" s="186">
        <f t="shared" si="12"/>
        <v>55.070208</v>
      </c>
      <c r="V68" s="187">
        <f t="shared" ref="V68:W68" si="63">C68/100</f>
        <v>0.96</v>
      </c>
      <c r="W68" s="187">
        <f t="shared" si="63"/>
        <v>2.04</v>
      </c>
      <c r="X68" s="187">
        <f t="shared" si="14"/>
        <v>3.04</v>
      </c>
      <c r="Y68" s="189">
        <f t="shared" si="15"/>
        <v>5.953536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</row>
    <row r="69" ht="27.0" customHeight="1">
      <c r="A69" s="181">
        <v>48.0</v>
      </c>
      <c r="B69" s="191" t="s">
        <v>98</v>
      </c>
      <c r="C69" s="191">
        <v>95.0</v>
      </c>
      <c r="D69" s="191">
        <v>204.0</v>
      </c>
      <c r="E69" s="191">
        <v>152.0</v>
      </c>
      <c r="F69" s="191">
        <f t="shared" si="5"/>
        <v>0</v>
      </c>
      <c r="G69" s="191">
        <f t="shared" si="6"/>
        <v>54.49656</v>
      </c>
      <c r="H69" s="219">
        <f t="shared" si="7"/>
        <v>54.49656</v>
      </c>
      <c r="I69" s="218">
        <v>5.0</v>
      </c>
      <c r="J69" s="194">
        <f t="shared" si="8"/>
        <v>272.4828</v>
      </c>
      <c r="K69" s="139"/>
      <c r="L69" s="197"/>
      <c r="M69" s="198"/>
      <c r="N69" s="198"/>
      <c r="O69" s="139"/>
      <c r="P69" s="139"/>
      <c r="Q69" s="141">
        <v>18.5</v>
      </c>
      <c r="R69" s="187">
        <f t="shared" si="9"/>
        <v>1.52</v>
      </c>
      <c r="S69" s="181">
        <f t="shared" si="10"/>
        <v>5</v>
      </c>
      <c r="T69" s="181">
        <f t="shared" si="11"/>
        <v>7.6</v>
      </c>
      <c r="U69" s="186">
        <f t="shared" si="12"/>
        <v>54.49656</v>
      </c>
      <c r="V69" s="187">
        <f t="shared" ref="V69:W69" si="64">C69/100</f>
        <v>0.95</v>
      </c>
      <c r="W69" s="187">
        <f t="shared" si="64"/>
        <v>2.04</v>
      </c>
      <c r="X69" s="187">
        <f t="shared" si="14"/>
        <v>7.6</v>
      </c>
      <c r="Y69" s="189">
        <f t="shared" si="15"/>
        <v>14.7288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</row>
    <row r="70" ht="27.0" customHeight="1">
      <c r="A70" s="181">
        <v>49.0</v>
      </c>
      <c r="B70" s="191" t="s">
        <v>98</v>
      </c>
      <c r="C70" s="191">
        <v>100.0</v>
      </c>
      <c r="D70" s="191">
        <v>204.0</v>
      </c>
      <c r="E70" s="191">
        <v>153.0</v>
      </c>
      <c r="F70" s="191">
        <f t="shared" si="5"/>
        <v>0</v>
      </c>
      <c r="G70" s="191">
        <f t="shared" si="6"/>
        <v>57.7422</v>
      </c>
      <c r="H70" s="219">
        <f t="shared" si="7"/>
        <v>57.7422</v>
      </c>
      <c r="I70" s="218">
        <v>1.0</v>
      </c>
      <c r="J70" s="194">
        <f t="shared" si="8"/>
        <v>57.7422</v>
      </c>
      <c r="K70" s="139"/>
      <c r="L70" s="197"/>
      <c r="M70" s="198"/>
      <c r="N70" s="198"/>
      <c r="O70" s="139"/>
      <c r="P70" s="139"/>
      <c r="Q70" s="141">
        <v>18.5</v>
      </c>
      <c r="R70" s="187">
        <f t="shared" si="9"/>
        <v>1.53</v>
      </c>
      <c r="S70" s="181">
        <f t="shared" si="10"/>
        <v>1</v>
      </c>
      <c r="T70" s="181">
        <f t="shared" si="11"/>
        <v>1.53</v>
      </c>
      <c r="U70" s="186">
        <f t="shared" si="12"/>
        <v>57.7422</v>
      </c>
      <c r="V70" s="187">
        <f t="shared" ref="V70:W70" si="65">C70/100</f>
        <v>1</v>
      </c>
      <c r="W70" s="187">
        <f t="shared" si="65"/>
        <v>2.04</v>
      </c>
      <c r="X70" s="187">
        <f t="shared" si="14"/>
        <v>1.53</v>
      </c>
      <c r="Y70" s="189">
        <f t="shared" si="15"/>
        <v>3.1212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</row>
    <row r="71" ht="27.0" customHeight="1">
      <c r="A71" s="181">
        <v>50.0</v>
      </c>
      <c r="B71" s="191" t="s">
        <v>98</v>
      </c>
      <c r="C71" s="191">
        <v>101.0</v>
      </c>
      <c r="D71" s="191">
        <v>204.0</v>
      </c>
      <c r="E71" s="191">
        <v>156.0</v>
      </c>
      <c r="F71" s="191">
        <f t="shared" si="5"/>
        <v>0</v>
      </c>
      <c r="G71" s="191">
        <f t="shared" si="6"/>
        <v>59.463144</v>
      </c>
      <c r="H71" s="219">
        <f t="shared" si="7"/>
        <v>59.463144</v>
      </c>
      <c r="I71" s="218">
        <v>1.0</v>
      </c>
      <c r="J71" s="194">
        <f t="shared" si="8"/>
        <v>59.463144</v>
      </c>
      <c r="K71" s="139"/>
      <c r="L71" s="197"/>
      <c r="M71" s="198"/>
      <c r="N71" s="198"/>
      <c r="O71" s="139"/>
      <c r="P71" s="139"/>
      <c r="Q71" s="141">
        <v>18.5</v>
      </c>
      <c r="R71" s="187">
        <f t="shared" si="9"/>
        <v>1.56</v>
      </c>
      <c r="S71" s="181">
        <f t="shared" si="10"/>
        <v>1</v>
      </c>
      <c r="T71" s="181">
        <f t="shared" si="11"/>
        <v>1.56</v>
      </c>
      <c r="U71" s="186">
        <f t="shared" si="12"/>
        <v>59.463144</v>
      </c>
      <c r="V71" s="187">
        <f t="shared" ref="V71:W71" si="66">C71/100</f>
        <v>1.01</v>
      </c>
      <c r="W71" s="187">
        <f t="shared" si="66"/>
        <v>2.04</v>
      </c>
      <c r="X71" s="187">
        <f t="shared" si="14"/>
        <v>1.56</v>
      </c>
      <c r="Y71" s="189">
        <f t="shared" si="15"/>
        <v>3.214224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</row>
    <row r="72" ht="27.0" customHeight="1">
      <c r="A72" s="181">
        <v>51.0</v>
      </c>
      <c r="B72" s="191" t="s">
        <v>98</v>
      </c>
      <c r="C72" s="191">
        <v>99.0</v>
      </c>
      <c r="D72" s="191">
        <v>204.0</v>
      </c>
      <c r="E72" s="191">
        <v>153.0</v>
      </c>
      <c r="F72" s="191">
        <f t="shared" si="5"/>
        <v>0</v>
      </c>
      <c r="G72" s="191">
        <f t="shared" si="6"/>
        <v>57.164778</v>
      </c>
      <c r="H72" s="219">
        <f t="shared" si="7"/>
        <v>57.164778</v>
      </c>
      <c r="I72" s="218">
        <v>1.0</v>
      </c>
      <c r="J72" s="194">
        <f t="shared" si="8"/>
        <v>57.164778</v>
      </c>
      <c r="K72" s="139"/>
      <c r="L72" s="197"/>
      <c r="M72" s="198"/>
      <c r="N72" s="198"/>
      <c r="O72" s="139"/>
      <c r="P72" s="139"/>
      <c r="Q72" s="141">
        <v>18.5</v>
      </c>
      <c r="R72" s="187">
        <f t="shared" si="9"/>
        <v>1.53</v>
      </c>
      <c r="S72" s="181">
        <f t="shared" si="10"/>
        <v>1</v>
      </c>
      <c r="T72" s="181">
        <f t="shared" si="11"/>
        <v>1.53</v>
      </c>
      <c r="U72" s="186">
        <f t="shared" si="12"/>
        <v>57.164778</v>
      </c>
      <c r="V72" s="187">
        <f t="shared" ref="V72:W72" si="67">C72/100</f>
        <v>0.99</v>
      </c>
      <c r="W72" s="187">
        <f t="shared" si="67"/>
        <v>2.04</v>
      </c>
      <c r="X72" s="187">
        <f t="shared" si="14"/>
        <v>1.53</v>
      </c>
      <c r="Y72" s="189">
        <f t="shared" si="15"/>
        <v>3.089988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</row>
    <row r="73" ht="27.0" customHeight="1">
      <c r="A73" s="181">
        <v>52.0</v>
      </c>
      <c r="B73" s="191" t="s">
        <v>98</v>
      </c>
      <c r="C73" s="191">
        <v>97.0</v>
      </c>
      <c r="D73" s="191">
        <v>204.0</v>
      </c>
      <c r="E73" s="191">
        <v>152.0</v>
      </c>
      <c r="F73" s="191">
        <f t="shared" si="5"/>
        <v>0</v>
      </c>
      <c r="G73" s="191">
        <f t="shared" si="6"/>
        <v>55.643856</v>
      </c>
      <c r="H73" s="219">
        <f t="shared" si="7"/>
        <v>55.643856</v>
      </c>
      <c r="I73" s="218">
        <v>2.0</v>
      </c>
      <c r="J73" s="194">
        <f t="shared" si="8"/>
        <v>111.287712</v>
      </c>
      <c r="K73" s="139"/>
      <c r="L73" s="197"/>
      <c r="M73" s="198"/>
      <c r="N73" s="198"/>
      <c r="O73" s="139"/>
      <c r="P73" s="139"/>
      <c r="Q73" s="141">
        <v>18.5</v>
      </c>
      <c r="R73" s="187">
        <f t="shared" si="9"/>
        <v>1.52</v>
      </c>
      <c r="S73" s="181">
        <f t="shared" si="10"/>
        <v>2</v>
      </c>
      <c r="T73" s="181">
        <f t="shared" si="11"/>
        <v>3.04</v>
      </c>
      <c r="U73" s="186">
        <f t="shared" si="12"/>
        <v>55.643856</v>
      </c>
      <c r="V73" s="187">
        <f t="shared" ref="V73:W73" si="68">C73/100</f>
        <v>0.97</v>
      </c>
      <c r="W73" s="187">
        <f t="shared" si="68"/>
        <v>2.04</v>
      </c>
      <c r="X73" s="187">
        <f t="shared" si="14"/>
        <v>3.04</v>
      </c>
      <c r="Y73" s="189">
        <f t="shared" si="15"/>
        <v>6.015552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</row>
    <row r="74" ht="27.0" customHeight="1">
      <c r="A74" s="181">
        <v>53.0</v>
      </c>
      <c r="B74" s="191" t="s">
        <v>98</v>
      </c>
      <c r="C74" s="191">
        <v>93.0</v>
      </c>
      <c r="D74" s="191">
        <v>204.0</v>
      </c>
      <c r="E74" s="191">
        <v>160.0</v>
      </c>
      <c r="F74" s="191">
        <f t="shared" si="5"/>
        <v>0</v>
      </c>
      <c r="G74" s="191">
        <f t="shared" si="6"/>
        <v>56.15712</v>
      </c>
      <c r="H74" s="219">
        <f t="shared" si="7"/>
        <v>56.15712</v>
      </c>
      <c r="I74" s="218">
        <v>1.0</v>
      </c>
      <c r="J74" s="194">
        <f t="shared" si="8"/>
        <v>56.15712</v>
      </c>
      <c r="K74" s="139"/>
      <c r="L74" s="197"/>
      <c r="M74" s="198"/>
      <c r="N74" s="198"/>
      <c r="O74" s="139"/>
      <c r="P74" s="139"/>
      <c r="Q74" s="141">
        <v>18.5</v>
      </c>
      <c r="R74" s="187">
        <f t="shared" si="9"/>
        <v>1.6</v>
      </c>
      <c r="S74" s="181">
        <f t="shared" si="10"/>
        <v>1</v>
      </c>
      <c r="T74" s="181">
        <f t="shared" si="11"/>
        <v>1.6</v>
      </c>
      <c r="U74" s="186">
        <f t="shared" si="12"/>
        <v>56.15712</v>
      </c>
      <c r="V74" s="187">
        <f t="shared" ref="V74:W74" si="69">C74/100</f>
        <v>0.93</v>
      </c>
      <c r="W74" s="187">
        <f t="shared" si="69"/>
        <v>2.04</v>
      </c>
      <c r="X74" s="187">
        <f t="shared" si="14"/>
        <v>1.6</v>
      </c>
      <c r="Y74" s="189">
        <f t="shared" si="15"/>
        <v>3.03552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</row>
    <row r="75" ht="27.0" customHeight="1">
      <c r="A75" s="181">
        <v>54.0</v>
      </c>
      <c r="B75" s="191" t="s">
        <v>98</v>
      </c>
      <c r="C75" s="191">
        <v>93.0</v>
      </c>
      <c r="D75" s="191">
        <v>204.0</v>
      </c>
      <c r="E75" s="191">
        <v>152.0</v>
      </c>
      <c r="F75" s="191">
        <f t="shared" si="5"/>
        <v>0</v>
      </c>
      <c r="G75" s="191">
        <f t="shared" si="6"/>
        <v>53.349264</v>
      </c>
      <c r="H75" s="219">
        <f t="shared" si="7"/>
        <v>53.349264</v>
      </c>
      <c r="I75" s="218">
        <v>1.0</v>
      </c>
      <c r="J75" s="194">
        <f t="shared" si="8"/>
        <v>53.349264</v>
      </c>
      <c r="K75" s="139"/>
      <c r="L75" s="197"/>
      <c r="M75" s="198"/>
      <c r="N75" s="198"/>
      <c r="O75" s="139"/>
      <c r="P75" s="139"/>
      <c r="Q75" s="141">
        <v>18.5</v>
      </c>
      <c r="R75" s="187">
        <f t="shared" si="9"/>
        <v>1.52</v>
      </c>
      <c r="S75" s="181">
        <f t="shared" si="10"/>
        <v>1</v>
      </c>
      <c r="T75" s="181">
        <f t="shared" si="11"/>
        <v>1.52</v>
      </c>
      <c r="U75" s="186">
        <f t="shared" si="12"/>
        <v>53.349264</v>
      </c>
      <c r="V75" s="187">
        <f t="shared" ref="V75:W75" si="70">C75/100</f>
        <v>0.93</v>
      </c>
      <c r="W75" s="187">
        <f t="shared" si="70"/>
        <v>2.04</v>
      </c>
      <c r="X75" s="187">
        <f t="shared" si="14"/>
        <v>1.52</v>
      </c>
      <c r="Y75" s="189">
        <f t="shared" si="15"/>
        <v>2.883744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</row>
    <row r="76" ht="27.0" customHeight="1">
      <c r="A76" s="181">
        <v>55.0</v>
      </c>
      <c r="B76" s="191" t="s">
        <v>98</v>
      </c>
      <c r="C76" s="191">
        <v>96.0</v>
      </c>
      <c r="D76" s="191">
        <v>204.0</v>
      </c>
      <c r="E76" s="191">
        <v>151.0</v>
      </c>
      <c r="F76" s="191">
        <f t="shared" si="5"/>
        <v>0</v>
      </c>
      <c r="G76" s="191">
        <f t="shared" si="6"/>
        <v>54.707904</v>
      </c>
      <c r="H76" s="219">
        <f t="shared" si="7"/>
        <v>54.707904</v>
      </c>
      <c r="I76" s="218">
        <v>1.0</v>
      </c>
      <c r="J76" s="194">
        <f t="shared" si="8"/>
        <v>54.707904</v>
      </c>
      <c r="K76" s="139"/>
      <c r="L76" s="197"/>
      <c r="M76" s="198"/>
      <c r="N76" s="198"/>
      <c r="O76" s="139"/>
      <c r="P76" s="139"/>
      <c r="Q76" s="141">
        <v>18.5</v>
      </c>
      <c r="R76" s="187">
        <f t="shared" si="9"/>
        <v>1.51</v>
      </c>
      <c r="S76" s="181">
        <f t="shared" si="10"/>
        <v>1</v>
      </c>
      <c r="T76" s="181">
        <f t="shared" si="11"/>
        <v>1.51</v>
      </c>
      <c r="U76" s="186">
        <f t="shared" si="12"/>
        <v>54.707904</v>
      </c>
      <c r="V76" s="187">
        <f t="shared" ref="V76:W76" si="71">C76/100</f>
        <v>0.96</v>
      </c>
      <c r="W76" s="187">
        <f t="shared" si="71"/>
        <v>2.04</v>
      </c>
      <c r="X76" s="187">
        <f t="shared" si="14"/>
        <v>1.51</v>
      </c>
      <c r="Y76" s="189">
        <f t="shared" si="15"/>
        <v>2.957184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</row>
    <row r="77" ht="27.0" customHeight="1">
      <c r="A77" s="181">
        <v>56.0</v>
      </c>
      <c r="B77" s="191" t="s">
        <v>98</v>
      </c>
      <c r="C77" s="191">
        <v>93.0</v>
      </c>
      <c r="D77" s="191">
        <v>204.0</v>
      </c>
      <c r="E77" s="191">
        <v>153.0</v>
      </c>
      <c r="F77" s="191">
        <f t="shared" si="5"/>
        <v>0</v>
      </c>
      <c r="G77" s="191">
        <f t="shared" si="6"/>
        <v>53.700246</v>
      </c>
      <c r="H77" s="219">
        <f t="shared" si="7"/>
        <v>53.700246</v>
      </c>
      <c r="I77" s="218">
        <v>1.0</v>
      </c>
      <c r="J77" s="194">
        <f t="shared" si="8"/>
        <v>53.700246</v>
      </c>
      <c r="K77" s="139"/>
      <c r="L77" s="197"/>
      <c r="M77" s="198"/>
      <c r="N77" s="198"/>
      <c r="O77" s="139"/>
      <c r="P77" s="139"/>
      <c r="Q77" s="141">
        <v>18.5</v>
      </c>
      <c r="R77" s="187">
        <f t="shared" si="9"/>
        <v>1.53</v>
      </c>
      <c r="S77" s="181">
        <f t="shared" si="10"/>
        <v>1</v>
      </c>
      <c r="T77" s="181">
        <f t="shared" si="11"/>
        <v>1.53</v>
      </c>
      <c r="U77" s="186">
        <f t="shared" si="12"/>
        <v>53.700246</v>
      </c>
      <c r="V77" s="187">
        <f t="shared" ref="V77:W77" si="72">C77/100</f>
        <v>0.93</v>
      </c>
      <c r="W77" s="187">
        <f t="shared" si="72"/>
        <v>2.04</v>
      </c>
      <c r="X77" s="187">
        <f t="shared" si="14"/>
        <v>1.53</v>
      </c>
      <c r="Y77" s="189">
        <f t="shared" si="15"/>
        <v>2.902716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</row>
    <row r="78" ht="27.0" customHeight="1">
      <c r="A78" s="181">
        <v>57.0</v>
      </c>
      <c r="B78" s="191" t="s">
        <v>98</v>
      </c>
      <c r="C78" s="191">
        <v>94.0</v>
      </c>
      <c r="D78" s="191">
        <v>204.0</v>
      </c>
      <c r="E78" s="191">
        <v>152.0</v>
      </c>
      <c r="F78" s="191">
        <f t="shared" si="5"/>
        <v>0</v>
      </c>
      <c r="G78" s="191">
        <f t="shared" si="6"/>
        <v>53.922912</v>
      </c>
      <c r="H78" s="219">
        <f t="shared" si="7"/>
        <v>53.922912</v>
      </c>
      <c r="I78" s="218">
        <v>1.0</v>
      </c>
      <c r="J78" s="194">
        <f t="shared" si="8"/>
        <v>53.922912</v>
      </c>
      <c r="K78" s="139"/>
      <c r="L78" s="197"/>
      <c r="M78" s="198"/>
      <c r="N78" s="198"/>
      <c r="O78" s="139"/>
      <c r="P78" s="139"/>
      <c r="Q78" s="141">
        <v>18.5</v>
      </c>
      <c r="R78" s="187">
        <f t="shared" si="9"/>
        <v>1.52</v>
      </c>
      <c r="S78" s="181">
        <f t="shared" si="10"/>
        <v>1</v>
      </c>
      <c r="T78" s="181">
        <f t="shared" si="11"/>
        <v>1.52</v>
      </c>
      <c r="U78" s="186">
        <f t="shared" si="12"/>
        <v>53.922912</v>
      </c>
      <c r="V78" s="187">
        <f t="shared" ref="V78:W78" si="73">C78/100</f>
        <v>0.94</v>
      </c>
      <c r="W78" s="187">
        <f t="shared" si="73"/>
        <v>2.04</v>
      </c>
      <c r="X78" s="187">
        <f t="shared" si="14"/>
        <v>1.52</v>
      </c>
      <c r="Y78" s="189">
        <f t="shared" si="15"/>
        <v>2.914752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</row>
    <row r="79" ht="27.0" customHeight="1">
      <c r="A79" s="181">
        <v>58.0</v>
      </c>
      <c r="B79" s="191" t="s">
        <v>98</v>
      </c>
      <c r="C79" s="191">
        <v>76.0</v>
      </c>
      <c r="D79" s="191">
        <v>204.0</v>
      </c>
      <c r="E79" s="191">
        <v>150.0</v>
      </c>
      <c r="F79" s="191">
        <f t="shared" si="5"/>
        <v>0</v>
      </c>
      <c r="G79" s="191">
        <f t="shared" si="6"/>
        <v>43.0236</v>
      </c>
      <c r="H79" s="219">
        <f t="shared" si="7"/>
        <v>43.0236</v>
      </c>
      <c r="I79" s="218">
        <v>1.0</v>
      </c>
      <c r="J79" s="194">
        <f t="shared" si="8"/>
        <v>43.0236</v>
      </c>
      <c r="K79" s="139"/>
      <c r="L79" s="197"/>
      <c r="M79" s="198"/>
      <c r="N79" s="198"/>
      <c r="O79" s="139"/>
      <c r="P79" s="139"/>
      <c r="Q79" s="141">
        <v>18.5</v>
      </c>
      <c r="R79" s="187">
        <f t="shared" si="9"/>
        <v>1.5</v>
      </c>
      <c r="S79" s="181">
        <f t="shared" si="10"/>
        <v>1</v>
      </c>
      <c r="T79" s="181">
        <f t="shared" si="11"/>
        <v>1.5</v>
      </c>
      <c r="U79" s="186">
        <f t="shared" si="12"/>
        <v>43.0236</v>
      </c>
      <c r="V79" s="187">
        <f t="shared" ref="V79:W79" si="74">C79/100</f>
        <v>0.76</v>
      </c>
      <c r="W79" s="187">
        <f t="shared" si="74"/>
        <v>2.04</v>
      </c>
      <c r="X79" s="187">
        <f t="shared" si="14"/>
        <v>1.5</v>
      </c>
      <c r="Y79" s="189">
        <f t="shared" si="15"/>
        <v>2.3256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</row>
    <row r="80" ht="27.0" customHeight="1">
      <c r="A80" s="181">
        <v>59.0</v>
      </c>
      <c r="B80" s="191" t="s">
        <v>98</v>
      </c>
      <c r="C80" s="191">
        <v>95.0</v>
      </c>
      <c r="D80" s="191">
        <v>204.0</v>
      </c>
      <c r="E80" s="191">
        <v>235.0</v>
      </c>
      <c r="F80" s="191">
        <f t="shared" si="5"/>
        <v>0</v>
      </c>
      <c r="G80" s="191">
        <f t="shared" si="6"/>
        <v>84.25455</v>
      </c>
      <c r="H80" s="219">
        <f t="shared" si="7"/>
        <v>84.25455</v>
      </c>
      <c r="I80" s="218">
        <v>1.0</v>
      </c>
      <c r="J80" s="194">
        <f t="shared" si="8"/>
        <v>84.25455</v>
      </c>
      <c r="K80" s="139"/>
      <c r="L80" s="197"/>
      <c r="M80" s="198"/>
      <c r="N80" s="198"/>
      <c r="O80" s="139"/>
      <c r="P80" s="139"/>
      <c r="Q80" s="141">
        <v>18.5</v>
      </c>
      <c r="R80" s="187">
        <f t="shared" si="9"/>
        <v>2.35</v>
      </c>
      <c r="S80" s="181">
        <f t="shared" si="10"/>
        <v>1</v>
      </c>
      <c r="T80" s="181">
        <f t="shared" si="11"/>
        <v>2.35</v>
      </c>
      <c r="U80" s="186">
        <f t="shared" si="12"/>
        <v>84.25455</v>
      </c>
      <c r="V80" s="187">
        <f t="shared" ref="V80:W80" si="75">C80/100</f>
        <v>0.95</v>
      </c>
      <c r="W80" s="187">
        <f t="shared" si="75"/>
        <v>2.04</v>
      </c>
      <c r="X80" s="187">
        <f t="shared" si="14"/>
        <v>2.35</v>
      </c>
      <c r="Y80" s="189">
        <f t="shared" si="15"/>
        <v>4.5543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</row>
    <row r="81" ht="27.0" customHeight="1">
      <c r="A81" s="181">
        <v>60.0</v>
      </c>
      <c r="B81" s="182" t="s">
        <v>64</v>
      </c>
      <c r="C81" s="183">
        <v>100.0</v>
      </c>
      <c r="D81" s="183">
        <v>182.0</v>
      </c>
      <c r="E81" s="183">
        <v>240.0</v>
      </c>
      <c r="F81" s="183">
        <f t="shared" si="5"/>
        <v>0.8</v>
      </c>
      <c r="G81" s="183">
        <f t="shared" si="6"/>
        <v>128.856</v>
      </c>
      <c r="H81" s="184">
        <f t="shared" si="7"/>
        <v>103.0848</v>
      </c>
      <c r="I81" s="183">
        <v>1.0</v>
      </c>
      <c r="J81" s="194">
        <f t="shared" si="8"/>
        <v>103.0848</v>
      </c>
      <c r="K81" s="139"/>
      <c r="L81" s="197"/>
      <c r="M81" s="198"/>
      <c r="N81" s="198"/>
      <c r="O81" s="139"/>
      <c r="P81" s="139"/>
      <c r="Q81" s="141">
        <v>29.5</v>
      </c>
      <c r="R81" s="187">
        <f t="shared" si="9"/>
        <v>2.4</v>
      </c>
      <c r="S81" s="181">
        <f t="shared" si="10"/>
        <v>1</v>
      </c>
      <c r="T81" s="181">
        <f t="shared" si="11"/>
        <v>2.4</v>
      </c>
      <c r="U81" s="186">
        <f t="shared" si="12"/>
        <v>128.856</v>
      </c>
      <c r="V81" s="187">
        <f t="shared" ref="V81:W81" si="76">C81/100</f>
        <v>1</v>
      </c>
      <c r="W81" s="187">
        <f t="shared" si="76"/>
        <v>1.82</v>
      </c>
      <c r="X81" s="187">
        <f t="shared" si="14"/>
        <v>2.4</v>
      </c>
      <c r="Y81" s="189">
        <f t="shared" si="15"/>
        <v>4.368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</row>
    <row r="82" ht="27.0" customHeight="1">
      <c r="A82" s="181">
        <v>61.0</v>
      </c>
      <c r="B82" s="191" t="s">
        <v>55</v>
      </c>
      <c r="C82" s="191">
        <v>107.0</v>
      </c>
      <c r="D82" s="191">
        <v>182.0</v>
      </c>
      <c r="E82" s="191">
        <v>240.0</v>
      </c>
      <c r="F82" s="191">
        <f t="shared" si="5"/>
        <v>0</v>
      </c>
      <c r="G82" s="191">
        <f t="shared" si="6"/>
        <v>137.87592</v>
      </c>
      <c r="H82" s="219">
        <f t="shared" si="7"/>
        <v>137.87592</v>
      </c>
      <c r="I82" s="218">
        <v>4.0</v>
      </c>
      <c r="J82" s="194">
        <f t="shared" si="8"/>
        <v>551.50368</v>
      </c>
      <c r="K82" s="139"/>
      <c r="L82" s="197"/>
      <c r="M82" s="198"/>
      <c r="N82" s="198"/>
      <c r="O82" s="139"/>
      <c r="P82" s="139"/>
      <c r="Q82" s="141">
        <v>29.5</v>
      </c>
      <c r="R82" s="187">
        <f t="shared" si="9"/>
        <v>2.4</v>
      </c>
      <c r="S82" s="181">
        <f t="shared" si="10"/>
        <v>4</v>
      </c>
      <c r="T82" s="181">
        <f t="shared" si="11"/>
        <v>9.6</v>
      </c>
      <c r="U82" s="186">
        <f t="shared" si="12"/>
        <v>137.87592</v>
      </c>
      <c r="V82" s="187">
        <f t="shared" ref="V82:W82" si="77">C82/100</f>
        <v>1.07</v>
      </c>
      <c r="W82" s="187">
        <f t="shared" si="77"/>
        <v>1.82</v>
      </c>
      <c r="X82" s="187">
        <f t="shared" si="14"/>
        <v>9.6</v>
      </c>
      <c r="Y82" s="189">
        <f t="shared" si="15"/>
        <v>18.69504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</row>
    <row r="83" ht="27.0" customHeight="1">
      <c r="A83" s="181">
        <v>62.0</v>
      </c>
      <c r="B83" s="191" t="s">
        <v>55</v>
      </c>
      <c r="C83" s="191">
        <v>104.0</v>
      </c>
      <c r="D83" s="191">
        <v>182.0</v>
      </c>
      <c r="E83" s="191">
        <v>240.0</v>
      </c>
      <c r="F83" s="191">
        <f t="shared" si="5"/>
        <v>0</v>
      </c>
      <c r="G83" s="191">
        <f t="shared" si="6"/>
        <v>134.01024</v>
      </c>
      <c r="H83" s="219">
        <f t="shared" si="7"/>
        <v>134.01024</v>
      </c>
      <c r="I83" s="218">
        <v>10.0</v>
      </c>
      <c r="J83" s="194">
        <f t="shared" si="8"/>
        <v>1340.1024</v>
      </c>
      <c r="K83" s="139"/>
      <c r="L83" s="197"/>
      <c r="M83" s="198"/>
      <c r="N83" s="198"/>
      <c r="O83" s="139"/>
      <c r="P83" s="139"/>
      <c r="Q83" s="141">
        <v>29.5</v>
      </c>
      <c r="R83" s="187">
        <f t="shared" si="9"/>
        <v>2.4</v>
      </c>
      <c r="S83" s="181">
        <f t="shared" si="10"/>
        <v>10</v>
      </c>
      <c r="T83" s="181">
        <f t="shared" si="11"/>
        <v>24</v>
      </c>
      <c r="U83" s="186">
        <f t="shared" si="12"/>
        <v>134.01024</v>
      </c>
      <c r="V83" s="187">
        <f t="shared" ref="V83:W83" si="78">C83/100</f>
        <v>1.04</v>
      </c>
      <c r="W83" s="187">
        <f t="shared" si="78"/>
        <v>1.82</v>
      </c>
      <c r="X83" s="187">
        <f t="shared" si="14"/>
        <v>24</v>
      </c>
      <c r="Y83" s="189">
        <f t="shared" si="15"/>
        <v>45.4272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</row>
    <row r="84" ht="27.0" customHeight="1">
      <c r="A84" s="181">
        <v>63.0</v>
      </c>
      <c r="B84" s="191" t="s">
        <v>55</v>
      </c>
      <c r="C84" s="191">
        <v>93.0</v>
      </c>
      <c r="D84" s="191">
        <v>182.0</v>
      </c>
      <c r="E84" s="191">
        <v>237.0</v>
      </c>
      <c r="F84" s="191">
        <f t="shared" si="5"/>
        <v>0</v>
      </c>
      <c r="G84" s="191">
        <f t="shared" si="6"/>
        <v>118.338129</v>
      </c>
      <c r="H84" s="219">
        <f t="shared" si="7"/>
        <v>118.338129</v>
      </c>
      <c r="I84" s="218">
        <v>1.0</v>
      </c>
      <c r="J84" s="194">
        <f t="shared" si="8"/>
        <v>118.338129</v>
      </c>
      <c r="K84" s="139"/>
      <c r="L84" s="197"/>
      <c r="M84" s="198"/>
      <c r="N84" s="198"/>
      <c r="O84" s="139"/>
      <c r="P84" s="139"/>
      <c r="Q84" s="141">
        <v>29.5</v>
      </c>
      <c r="R84" s="187">
        <f t="shared" si="9"/>
        <v>2.37</v>
      </c>
      <c r="S84" s="181">
        <f t="shared" si="10"/>
        <v>1</v>
      </c>
      <c r="T84" s="181">
        <f t="shared" si="11"/>
        <v>2.37</v>
      </c>
      <c r="U84" s="186">
        <f t="shared" si="12"/>
        <v>118.338129</v>
      </c>
      <c r="V84" s="187">
        <f t="shared" ref="V84:W84" si="79">C84/100</f>
        <v>0.93</v>
      </c>
      <c r="W84" s="187">
        <f t="shared" si="79"/>
        <v>1.82</v>
      </c>
      <c r="X84" s="187">
        <f t="shared" si="14"/>
        <v>2.37</v>
      </c>
      <c r="Y84" s="189">
        <f t="shared" si="15"/>
        <v>4.011462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</row>
    <row r="85" ht="27.0" customHeight="1">
      <c r="A85" s="181">
        <v>64.0</v>
      </c>
      <c r="B85" s="191" t="s">
        <v>55</v>
      </c>
      <c r="C85" s="191">
        <v>105.0</v>
      </c>
      <c r="D85" s="191">
        <v>182.0</v>
      </c>
      <c r="E85" s="191">
        <v>240.0</v>
      </c>
      <c r="F85" s="191">
        <f t="shared" si="5"/>
        <v>0</v>
      </c>
      <c r="G85" s="191">
        <f t="shared" si="6"/>
        <v>135.2988</v>
      </c>
      <c r="H85" s="219">
        <f t="shared" si="7"/>
        <v>135.2988</v>
      </c>
      <c r="I85" s="218">
        <v>8.0</v>
      </c>
      <c r="J85" s="194">
        <f t="shared" si="8"/>
        <v>1082.3904</v>
      </c>
      <c r="K85" s="139"/>
      <c r="L85" s="197"/>
      <c r="M85" s="198"/>
      <c r="N85" s="198"/>
      <c r="O85" s="139"/>
      <c r="P85" s="139"/>
      <c r="Q85" s="141">
        <v>29.5</v>
      </c>
      <c r="R85" s="187">
        <f t="shared" si="9"/>
        <v>2.4</v>
      </c>
      <c r="S85" s="181">
        <f t="shared" si="10"/>
        <v>8</v>
      </c>
      <c r="T85" s="181">
        <f t="shared" si="11"/>
        <v>19.2</v>
      </c>
      <c r="U85" s="186">
        <f t="shared" si="12"/>
        <v>135.2988</v>
      </c>
      <c r="V85" s="187">
        <f t="shared" ref="V85:W85" si="80">C85/100</f>
        <v>1.05</v>
      </c>
      <c r="W85" s="187">
        <f t="shared" si="80"/>
        <v>1.82</v>
      </c>
      <c r="X85" s="187">
        <f t="shared" si="14"/>
        <v>19.2</v>
      </c>
      <c r="Y85" s="189">
        <f t="shared" si="15"/>
        <v>36.6912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</row>
    <row r="86" ht="27.0" customHeight="1">
      <c r="A86" s="181">
        <v>65.0</v>
      </c>
      <c r="B86" s="191" t="s">
        <v>55</v>
      </c>
      <c r="C86" s="191">
        <v>108.0</v>
      </c>
      <c r="D86" s="191">
        <v>182.0</v>
      </c>
      <c r="E86" s="191">
        <v>240.0</v>
      </c>
      <c r="F86" s="191">
        <f t="shared" si="5"/>
        <v>0</v>
      </c>
      <c r="G86" s="191">
        <f t="shared" si="6"/>
        <v>139.16448</v>
      </c>
      <c r="H86" s="219">
        <f t="shared" si="7"/>
        <v>139.16448</v>
      </c>
      <c r="I86" s="218">
        <v>1.0</v>
      </c>
      <c r="J86" s="194">
        <f t="shared" si="8"/>
        <v>139.16448</v>
      </c>
      <c r="K86" s="139"/>
      <c r="L86" s="197"/>
      <c r="M86" s="198"/>
      <c r="N86" s="198"/>
      <c r="O86" s="139"/>
      <c r="P86" s="139"/>
      <c r="Q86" s="141">
        <v>29.5</v>
      </c>
      <c r="R86" s="187">
        <f t="shared" si="9"/>
        <v>2.4</v>
      </c>
      <c r="S86" s="181">
        <f t="shared" si="10"/>
        <v>1</v>
      </c>
      <c r="T86" s="181">
        <f t="shared" si="11"/>
        <v>2.4</v>
      </c>
      <c r="U86" s="186">
        <f t="shared" si="12"/>
        <v>139.16448</v>
      </c>
      <c r="V86" s="187">
        <f t="shared" ref="V86:W86" si="81">C86/100</f>
        <v>1.08</v>
      </c>
      <c r="W86" s="187">
        <f t="shared" si="81"/>
        <v>1.82</v>
      </c>
      <c r="X86" s="187">
        <f t="shared" si="14"/>
        <v>2.4</v>
      </c>
      <c r="Y86" s="189">
        <f t="shared" si="15"/>
        <v>4.71744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</row>
    <row r="87" ht="27.0" customHeight="1">
      <c r="A87" s="181">
        <v>66.0</v>
      </c>
      <c r="B87" s="191" t="s">
        <v>55</v>
      </c>
      <c r="C87" s="191">
        <v>106.0</v>
      </c>
      <c r="D87" s="191">
        <v>182.0</v>
      </c>
      <c r="E87" s="191">
        <v>240.0</v>
      </c>
      <c r="F87" s="191">
        <f t="shared" si="5"/>
        <v>0</v>
      </c>
      <c r="G87" s="191">
        <f t="shared" si="6"/>
        <v>136.58736</v>
      </c>
      <c r="H87" s="219">
        <f t="shared" si="7"/>
        <v>136.58736</v>
      </c>
      <c r="I87" s="218">
        <v>6.0</v>
      </c>
      <c r="J87" s="194">
        <f t="shared" si="8"/>
        <v>819.52416</v>
      </c>
      <c r="K87" s="139"/>
      <c r="L87" s="197"/>
      <c r="M87" s="198"/>
      <c r="N87" s="198"/>
      <c r="O87" s="139"/>
      <c r="P87" s="139"/>
      <c r="Q87" s="141">
        <v>29.5</v>
      </c>
      <c r="R87" s="187">
        <f t="shared" si="9"/>
        <v>2.4</v>
      </c>
      <c r="S87" s="181">
        <f t="shared" si="10"/>
        <v>6</v>
      </c>
      <c r="T87" s="181">
        <f t="shared" si="11"/>
        <v>14.4</v>
      </c>
      <c r="U87" s="186">
        <f t="shared" si="12"/>
        <v>136.58736</v>
      </c>
      <c r="V87" s="187">
        <f t="shared" ref="V87:W87" si="82">C87/100</f>
        <v>1.06</v>
      </c>
      <c r="W87" s="187">
        <f t="shared" si="82"/>
        <v>1.82</v>
      </c>
      <c r="X87" s="187">
        <f t="shared" si="14"/>
        <v>14.4</v>
      </c>
      <c r="Y87" s="189">
        <f t="shared" si="15"/>
        <v>27.78048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</row>
    <row r="88" ht="27.0" customHeight="1">
      <c r="A88" s="181">
        <v>67.0</v>
      </c>
      <c r="B88" s="191" t="s">
        <v>55</v>
      </c>
      <c r="C88" s="191">
        <v>102.0</v>
      </c>
      <c r="D88" s="191">
        <v>182.0</v>
      </c>
      <c r="E88" s="191">
        <v>240.0</v>
      </c>
      <c r="F88" s="191">
        <f t="shared" si="5"/>
        <v>0</v>
      </c>
      <c r="G88" s="191">
        <f t="shared" si="6"/>
        <v>131.43312</v>
      </c>
      <c r="H88" s="219">
        <f t="shared" si="7"/>
        <v>131.43312</v>
      </c>
      <c r="I88" s="218">
        <v>1.0</v>
      </c>
      <c r="J88" s="194">
        <f t="shared" si="8"/>
        <v>131.43312</v>
      </c>
      <c r="K88" s="139"/>
      <c r="L88" s="197"/>
      <c r="M88" s="198"/>
      <c r="N88" s="198"/>
      <c r="O88" s="139"/>
      <c r="P88" s="139"/>
      <c r="Q88" s="141">
        <v>29.5</v>
      </c>
      <c r="R88" s="187">
        <f t="shared" si="9"/>
        <v>2.4</v>
      </c>
      <c r="S88" s="181">
        <f t="shared" si="10"/>
        <v>1</v>
      </c>
      <c r="T88" s="181">
        <f t="shared" si="11"/>
        <v>2.4</v>
      </c>
      <c r="U88" s="186">
        <f t="shared" si="12"/>
        <v>131.43312</v>
      </c>
      <c r="V88" s="187">
        <f t="shared" ref="V88:W88" si="83">C88/100</f>
        <v>1.02</v>
      </c>
      <c r="W88" s="187">
        <f t="shared" si="83"/>
        <v>1.82</v>
      </c>
      <c r="X88" s="187">
        <f t="shared" si="14"/>
        <v>2.4</v>
      </c>
      <c r="Y88" s="189">
        <f t="shared" si="15"/>
        <v>4.45536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</row>
    <row r="89" ht="27.0" customHeight="1">
      <c r="A89" s="181">
        <v>68.0</v>
      </c>
      <c r="B89" s="191" t="s">
        <v>55</v>
      </c>
      <c r="C89" s="191">
        <v>103.0</v>
      </c>
      <c r="D89" s="191">
        <v>182.0</v>
      </c>
      <c r="E89" s="191">
        <v>240.0</v>
      </c>
      <c r="F89" s="191">
        <f t="shared" si="5"/>
        <v>0</v>
      </c>
      <c r="G89" s="191">
        <f t="shared" si="6"/>
        <v>132.72168</v>
      </c>
      <c r="H89" s="219">
        <f t="shared" si="7"/>
        <v>132.72168</v>
      </c>
      <c r="I89" s="218">
        <v>1.0</v>
      </c>
      <c r="J89" s="194">
        <f t="shared" si="8"/>
        <v>132.72168</v>
      </c>
      <c r="K89" s="139"/>
      <c r="L89" s="197"/>
      <c r="M89" s="198"/>
      <c r="N89" s="198"/>
      <c r="O89" s="139"/>
      <c r="P89" s="139"/>
      <c r="Q89" s="141">
        <v>29.5</v>
      </c>
      <c r="R89" s="187">
        <f t="shared" si="9"/>
        <v>2.4</v>
      </c>
      <c r="S89" s="181">
        <f t="shared" si="10"/>
        <v>1</v>
      </c>
      <c r="T89" s="181">
        <f t="shared" si="11"/>
        <v>2.4</v>
      </c>
      <c r="U89" s="186">
        <f t="shared" si="12"/>
        <v>132.72168</v>
      </c>
      <c r="V89" s="187">
        <f t="shared" ref="V89:W89" si="84">C89/100</f>
        <v>1.03</v>
      </c>
      <c r="W89" s="187">
        <f t="shared" si="84"/>
        <v>1.82</v>
      </c>
      <c r="X89" s="187">
        <f t="shared" si="14"/>
        <v>2.4</v>
      </c>
      <c r="Y89" s="189">
        <f t="shared" si="15"/>
        <v>4.49904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</row>
    <row r="90" ht="27.0" customHeight="1">
      <c r="A90" s="181">
        <v>69.0</v>
      </c>
      <c r="B90" s="191" t="s">
        <v>55</v>
      </c>
      <c r="C90" s="191">
        <v>79.0</v>
      </c>
      <c r="D90" s="191">
        <v>182.0</v>
      </c>
      <c r="E90" s="191">
        <v>163.0</v>
      </c>
      <c r="F90" s="191">
        <f t="shared" si="5"/>
        <v>0</v>
      </c>
      <c r="G90" s="191">
        <f t="shared" si="6"/>
        <v>69.136613</v>
      </c>
      <c r="H90" s="219">
        <f t="shared" si="7"/>
        <v>69.136613</v>
      </c>
      <c r="I90" s="218">
        <v>1.0</v>
      </c>
      <c r="J90" s="194">
        <f t="shared" si="8"/>
        <v>69.136613</v>
      </c>
      <c r="K90" s="139"/>
      <c r="L90" s="197"/>
      <c r="M90" s="198"/>
      <c r="N90" s="198"/>
      <c r="O90" s="139"/>
      <c r="P90" s="139"/>
      <c r="Q90" s="141">
        <v>29.5</v>
      </c>
      <c r="R90" s="187">
        <f t="shared" si="9"/>
        <v>1.63</v>
      </c>
      <c r="S90" s="181">
        <f t="shared" si="10"/>
        <v>1</v>
      </c>
      <c r="T90" s="181">
        <f t="shared" si="11"/>
        <v>1.63</v>
      </c>
      <c r="U90" s="186">
        <f t="shared" si="12"/>
        <v>69.136613</v>
      </c>
      <c r="V90" s="187">
        <f t="shared" ref="V90:W90" si="85">C90/100</f>
        <v>0.79</v>
      </c>
      <c r="W90" s="187">
        <f t="shared" si="85"/>
        <v>1.82</v>
      </c>
      <c r="X90" s="187">
        <f t="shared" si="14"/>
        <v>1.63</v>
      </c>
      <c r="Y90" s="189">
        <f t="shared" si="15"/>
        <v>2.343614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</row>
    <row r="91" ht="27.0" customHeight="1">
      <c r="A91" s="181">
        <v>70.0</v>
      </c>
      <c r="B91" s="182" t="s">
        <v>104</v>
      </c>
      <c r="C91" s="183">
        <v>90.0</v>
      </c>
      <c r="D91" s="183">
        <v>187.0</v>
      </c>
      <c r="E91" s="183">
        <v>248.0</v>
      </c>
      <c r="F91" s="183">
        <f t="shared" si="5"/>
        <v>0.8</v>
      </c>
      <c r="G91" s="183">
        <f t="shared" si="6"/>
        <v>123.12828</v>
      </c>
      <c r="H91" s="184">
        <f t="shared" si="7"/>
        <v>98.502624</v>
      </c>
      <c r="I91" s="183">
        <v>1.0</v>
      </c>
      <c r="J91" s="194">
        <f t="shared" si="8"/>
        <v>98.502624</v>
      </c>
      <c r="K91" s="139"/>
      <c r="L91" s="197"/>
      <c r="M91" s="198"/>
      <c r="N91" s="198"/>
      <c r="O91" s="139"/>
      <c r="P91" s="139"/>
      <c r="Q91" s="141">
        <v>29.5</v>
      </c>
      <c r="R91" s="187">
        <f t="shared" si="9"/>
        <v>2.48</v>
      </c>
      <c r="S91" s="181">
        <f t="shared" si="10"/>
        <v>1</v>
      </c>
      <c r="T91" s="181">
        <f t="shared" si="11"/>
        <v>2.48</v>
      </c>
      <c r="U91" s="186">
        <f t="shared" si="12"/>
        <v>123.12828</v>
      </c>
      <c r="V91" s="187">
        <f t="shared" ref="V91:W91" si="86">C91/100</f>
        <v>0.9</v>
      </c>
      <c r="W91" s="187">
        <f t="shared" si="86"/>
        <v>1.87</v>
      </c>
      <c r="X91" s="187">
        <f t="shared" si="14"/>
        <v>2.48</v>
      </c>
      <c r="Y91" s="189">
        <f t="shared" si="15"/>
        <v>4.17384</v>
      </c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</row>
    <row r="92" ht="27.0" customHeight="1">
      <c r="A92" s="181">
        <v>71.0</v>
      </c>
      <c r="B92" s="191" t="s">
        <v>99</v>
      </c>
      <c r="C92" s="191">
        <v>100.0</v>
      </c>
      <c r="D92" s="191">
        <v>187.0</v>
      </c>
      <c r="E92" s="191">
        <v>247.0</v>
      </c>
      <c r="F92" s="191">
        <f t="shared" si="5"/>
        <v>0</v>
      </c>
      <c r="G92" s="191">
        <f t="shared" si="6"/>
        <v>136.25755</v>
      </c>
      <c r="H92" s="219">
        <f t="shared" si="7"/>
        <v>136.25755</v>
      </c>
      <c r="I92" s="218">
        <v>24.0</v>
      </c>
      <c r="J92" s="194">
        <f t="shared" si="8"/>
        <v>3270.1812</v>
      </c>
      <c r="K92" s="139"/>
      <c r="L92" s="197"/>
      <c r="M92" s="198"/>
      <c r="N92" s="198"/>
      <c r="O92" s="139"/>
      <c r="P92" s="139"/>
      <c r="Q92" s="141">
        <v>29.5</v>
      </c>
      <c r="R92" s="187">
        <f t="shared" si="9"/>
        <v>2.47</v>
      </c>
      <c r="S92" s="181">
        <f t="shared" si="10"/>
        <v>24</v>
      </c>
      <c r="T92" s="181">
        <f t="shared" si="11"/>
        <v>59.28</v>
      </c>
      <c r="U92" s="186">
        <f t="shared" si="12"/>
        <v>136.25755</v>
      </c>
      <c r="V92" s="187">
        <f t="shared" ref="V92:W92" si="87">C92/100</f>
        <v>1</v>
      </c>
      <c r="W92" s="187">
        <f t="shared" si="87"/>
        <v>1.87</v>
      </c>
      <c r="X92" s="187">
        <f t="shared" si="14"/>
        <v>59.28</v>
      </c>
      <c r="Y92" s="189">
        <f t="shared" si="15"/>
        <v>110.8536</v>
      </c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</row>
    <row r="93" ht="27.0" customHeight="1">
      <c r="A93" s="181">
        <v>72.0</v>
      </c>
      <c r="B93" s="191" t="s">
        <v>99</v>
      </c>
      <c r="C93" s="191">
        <v>99.0</v>
      </c>
      <c r="D93" s="191">
        <v>187.0</v>
      </c>
      <c r="E93" s="191">
        <v>247.0</v>
      </c>
      <c r="F93" s="191">
        <f t="shared" si="5"/>
        <v>0</v>
      </c>
      <c r="G93" s="191">
        <f t="shared" si="6"/>
        <v>134.8949745</v>
      </c>
      <c r="H93" s="219">
        <f t="shared" si="7"/>
        <v>134.8949745</v>
      </c>
      <c r="I93" s="218">
        <v>9.0</v>
      </c>
      <c r="J93" s="194">
        <f t="shared" si="8"/>
        <v>1214.054771</v>
      </c>
      <c r="K93" s="139"/>
      <c r="L93" s="197"/>
      <c r="M93" s="198"/>
      <c r="N93" s="198"/>
      <c r="O93" s="139"/>
      <c r="P93" s="139"/>
      <c r="Q93" s="141">
        <v>29.5</v>
      </c>
      <c r="R93" s="187">
        <f t="shared" si="9"/>
        <v>2.47</v>
      </c>
      <c r="S93" s="181">
        <f t="shared" si="10"/>
        <v>9</v>
      </c>
      <c r="T93" s="181">
        <f t="shared" si="11"/>
        <v>22.23</v>
      </c>
      <c r="U93" s="186">
        <f t="shared" si="12"/>
        <v>134.8949745</v>
      </c>
      <c r="V93" s="187">
        <f t="shared" ref="V93:W93" si="88">C93/100</f>
        <v>0.99</v>
      </c>
      <c r="W93" s="187">
        <f t="shared" si="88"/>
        <v>1.87</v>
      </c>
      <c r="X93" s="187">
        <f t="shared" si="14"/>
        <v>22.23</v>
      </c>
      <c r="Y93" s="189">
        <f t="shared" si="15"/>
        <v>41.154399</v>
      </c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</row>
    <row r="94" ht="27.0" customHeight="1">
      <c r="A94" s="181">
        <v>73.0</v>
      </c>
      <c r="B94" s="191" t="s">
        <v>99</v>
      </c>
      <c r="C94" s="191">
        <v>98.0</v>
      </c>
      <c r="D94" s="191">
        <v>187.0</v>
      </c>
      <c r="E94" s="191">
        <v>247.0</v>
      </c>
      <c r="F94" s="191">
        <f t="shared" si="5"/>
        <v>0</v>
      </c>
      <c r="G94" s="191">
        <f t="shared" si="6"/>
        <v>133.532399</v>
      </c>
      <c r="H94" s="219">
        <f t="shared" si="7"/>
        <v>133.532399</v>
      </c>
      <c r="I94" s="218">
        <v>2.0</v>
      </c>
      <c r="J94" s="194">
        <f t="shared" si="8"/>
        <v>267.064798</v>
      </c>
      <c r="K94" s="139"/>
      <c r="L94" s="197"/>
      <c r="M94" s="198"/>
      <c r="N94" s="198"/>
      <c r="O94" s="139"/>
      <c r="P94" s="139"/>
      <c r="Q94" s="141">
        <v>29.5</v>
      </c>
      <c r="R94" s="187">
        <f t="shared" si="9"/>
        <v>2.47</v>
      </c>
      <c r="S94" s="181">
        <f t="shared" si="10"/>
        <v>2</v>
      </c>
      <c r="T94" s="181">
        <f t="shared" si="11"/>
        <v>4.94</v>
      </c>
      <c r="U94" s="186">
        <f t="shared" si="12"/>
        <v>133.532399</v>
      </c>
      <c r="V94" s="187">
        <f t="shared" ref="V94:W94" si="89">C94/100</f>
        <v>0.98</v>
      </c>
      <c r="W94" s="187">
        <f t="shared" si="89"/>
        <v>1.87</v>
      </c>
      <c r="X94" s="187">
        <f t="shared" si="14"/>
        <v>4.94</v>
      </c>
      <c r="Y94" s="189">
        <f t="shared" si="15"/>
        <v>9.053044</v>
      </c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</row>
    <row r="95" ht="27.0" customHeight="1">
      <c r="A95" s="181">
        <v>74.0</v>
      </c>
      <c r="B95" s="191" t="s">
        <v>99</v>
      </c>
      <c r="C95" s="191">
        <v>99.0</v>
      </c>
      <c r="D95" s="191">
        <v>187.0</v>
      </c>
      <c r="E95" s="191">
        <v>248.0</v>
      </c>
      <c r="F95" s="191">
        <f t="shared" si="5"/>
        <v>0</v>
      </c>
      <c r="G95" s="191">
        <f t="shared" si="6"/>
        <v>135.441108</v>
      </c>
      <c r="H95" s="219">
        <f t="shared" si="7"/>
        <v>135.441108</v>
      </c>
      <c r="I95" s="218">
        <v>6.0</v>
      </c>
      <c r="J95" s="194">
        <f t="shared" si="8"/>
        <v>812.646648</v>
      </c>
      <c r="K95" s="139"/>
      <c r="L95" s="197"/>
      <c r="M95" s="198"/>
      <c r="N95" s="198"/>
      <c r="O95" s="139"/>
      <c r="P95" s="139"/>
      <c r="Q95" s="141">
        <v>29.5</v>
      </c>
      <c r="R95" s="187">
        <f t="shared" si="9"/>
        <v>2.48</v>
      </c>
      <c r="S95" s="181">
        <f t="shared" si="10"/>
        <v>6</v>
      </c>
      <c r="T95" s="181">
        <f t="shared" si="11"/>
        <v>14.88</v>
      </c>
      <c r="U95" s="186">
        <f t="shared" si="12"/>
        <v>135.441108</v>
      </c>
      <c r="V95" s="187">
        <f t="shared" ref="V95:W95" si="90">C95/100</f>
        <v>0.99</v>
      </c>
      <c r="W95" s="187">
        <f t="shared" si="90"/>
        <v>1.87</v>
      </c>
      <c r="X95" s="187">
        <f t="shared" si="14"/>
        <v>14.88</v>
      </c>
      <c r="Y95" s="189">
        <f t="shared" si="15"/>
        <v>27.547344</v>
      </c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</row>
    <row r="96" ht="27.0" customHeight="1">
      <c r="A96" s="181">
        <v>75.0</v>
      </c>
      <c r="B96" s="191" t="s">
        <v>99</v>
      </c>
      <c r="C96" s="191">
        <v>98.0</v>
      </c>
      <c r="D96" s="191">
        <v>187.0</v>
      </c>
      <c r="E96" s="191">
        <v>248.0</v>
      </c>
      <c r="F96" s="191">
        <f t="shared" si="5"/>
        <v>0</v>
      </c>
      <c r="G96" s="191">
        <f t="shared" si="6"/>
        <v>134.073016</v>
      </c>
      <c r="H96" s="219">
        <f t="shared" si="7"/>
        <v>134.073016</v>
      </c>
      <c r="I96" s="218">
        <v>2.0</v>
      </c>
      <c r="J96" s="194">
        <f t="shared" si="8"/>
        <v>268.146032</v>
      </c>
      <c r="K96" s="139"/>
      <c r="L96" s="197"/>
      <c r="M96" s="198"/>
      <c r="N96" s="198"/>
      <c r="O96" s="139"/>
      <c r="P96" s="139"/>
      <c r="Q96" s="141">
        <v>29.5</v>
      </c>
      <c r="R96" s="187">
        <f t="shared" si="9"/>
        <v>2.48</v>
      </c>
      <c r="S96" s="181">
        <f t="shared" si="10"/>
        <v>2</v>
      </c>
      <c r="T96" s="181">
        <f t="shared" si="11"/>
        <v>4.96</v>
      </c>
      <c r="U96" s="186">
        <f t="shared" si="12"/>
        <v>134.073016</v>
      </c>
      <c r="V96" s="187">
        <f t="shared" ref="V96:W96" si="91">C96/100</f>
        <v>0.98</v>
      </c>
      <c r="W96" s="187">
        <f t="shared" si="91"/>
        <v>1.87</v>
      </c>
      <c r="X96" s="187">
        <f t="shared" si="14"/>
        <v>4.96</v>
      </c>
      <c r="Y96" s="189">
        <f t="shared" si="15"/>
        <v>9.089696</v>
      </c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</row>
    <row r="97" ht="27.0" customHeight="1">
      <c r="A97" s="181">
        <v>76.0</v>
      </c>
      <c r="B97" s="191" t="s">
        <v>99</v>
      </c>
      <c r="C97" s="191">
        <v>97.0</v>
      </c>
      <c r="D97" s="191">
        <v>187.0</v>
      </c>
      <c r="E97" s="191">
        <v>248.0</v>
      </c>
      <c r="F97" s="191">
        <f t="shared" si="5"/>
        <v>0</v>
      </c>
      <c r="G97" s="191">
        <f t="shared" si="6"/>
        <v>132.704924</v>
      </c>
      <c r="H97" s="219">
        <f t="shared" si="7"/>
        <v>132.704924</v>
      </c>
      <c r="I97" s="218">
        <v>1.0</v>
      </c>
      <c r="J97" s="194">
        <f t="shared" si="8"/>
        <v>132.704924</v>
      </c>
      <c r="K97" s="139"/>
      <c r="L97" s="197"/>
      <c r="M97" s="198"/>
      <c r="N97" s="198"/>
      <c r="O97" s="139"/>
      <c r="P97" s="139"/>
      <c r="Q97" s="141">
        <v>29.5</v>
      </c>
      <c r="R97" s="187">
        <f t="shared" si="9"/>
        <v>2.48</v>
      </c>
      <c r="S97" s="181">
        <f t="shared" si="10"/>
        <v>1</v>
      </c>
      <c r="T97" s="181">
        <f t="shared" si="11"/>
        <v>2.48</v>
      </c>
      <c r="U97" s="186">
        <f t="shared" si="12"/>
        <v>132.704924</v>
      </c>
      <c r="V97" s="187">
        <f t="shared" ref="V97:W97" si="92">C97/100</f>
        <v>0.97</v>
      </c>
      <c r="W97" s="187">
        <f t="shared" si="92"/>
        <v>1.87</v>
      </c>
      <c r="X97" s="187">
        <f t="shared" si="14"/>
        <v>2.48</v>
      </c>
      <c r="Y97" s="189">
        <f t="shared" si="15"/>
        <v>4.498472</v>
      </c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</row>
    <row r="98" ht="27.0" customHeight="1">
      <c r="A98" s="181">
        <v>77.0</v>
      </c>
      <c r="B98" s="191" t="s">
        <v>99</v>
      </c>
      <c r="C98" s="191">
        <v>100.0</v>
      </c>
      <c r="D98" s="191">
        <v>187.0</v>
      </c>
      <c r="E98" s="191">
        <v>248.0</v>
      </c>
      <c r="F98" s="191">
        <f t="shared" si="5"/>
        <v>0</v>
      </c>
      <c r="G98" s="191">
        <f t="shared" si="6"/>
        <v>136.8092</v>
      </c>
      <c r="H98" s="219">
        <f t="shared" si="7"/>
        <v>136.8092</v>
      </c>
      <c r="I98" s="218">
        <v>6.0</v>
      </c>
      <c r="J98" s="194">
        <f t="shared" si="8"/>
        <v>820.8552</v>
      </c>
      <c r="K98" s="139"/>
      <c r="L98" s="197"/>
      <c r="M98" s="198"/>
      <c r="N98" s="198"/>
      <c r="O98" s="139"/>
      <c r="P98" s="139"/>
      <c r="Q98" s="141">
        <v>29.5</v>
      </c>
      <c r="R98" s="187">
        <f t="shared" si="9"/>
        <v>2.48</v>
      </c>
      <c r="S98" s="181">
        <f t="shared" si="10"/>
        <v>6</v>
      </c>
      <c r="T98" s="181">
        <f t="shared" si="11"/>
        <v>14.88</v>
      </c>
      <c r="U98" s="186">
        <f t="shared" si="12"/>
        <v>136.8092</v>
      </c>
      <c r="V98" s="187">
        <f t="shared" ref="V98:W98" si="93">C98/100</f>
        <v>1</v>
      </c>
      <c r="W98" s="187">
        <f t="shared" si="93"/>
        <v>1.87</v>
      </c>
      <c r="X98" s="187">
        <f t="shared" si="14"/>
        <v>14.88</v>
      </c>
      <c r="Y98" s="189">
        <f t="shared" si="15"/>
        <v>27.8256</v>
      </c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</row>
    <row r="99" ht="27.0" customHeight="1">
      <c r="A99" s="181">
        <v>78.0</v>
      </c>
      <c r="B99" s="191" t="s">
        <v>99</v>
      </c>
      <c r="C99" s="191">
        <v>88.0</v>
      </c>
      <c r="D99" s="191">
        <v>187.0</v>
      </c>
      <c r="E99" s="191">
        <v>277.0</v>
      </c>
      <c r="F99" s="191">
        <f t="shared" si="5"/>
        <v>0</v>
      </c>
      <c r="G99" s="191">
        <f t="shared" si="6"/>
        <v>134.470204</v>
      </c>
      <c r="H99" s="219">
        <f t="shared" si="7"/>
        <v>134.470204</v>
      </c>
      <c r="I99" s="218">
        <v>1.0</v>
      </c>
      <c r="J99" s="194">
        <f t="shared" si="8"/>
        <v>134.470204</v>
      </c>
      <c r="K99" s="139"/>
      <c r="L99" s="197"/>
      <c r="M99" s="198"/>
      <c r="N99" s="198"/>
      <c r="O99" s="139"/>
      <c r="P99" s="139"/>
      <c r="Q99" s="141">
        <v>29.5</v>
      </c>
      <c r="R99" s="187">
        <f t="shared" si="9"/>
        <v>2.77</v>
      </c>
      <c r="S99" s="181">
        <f t="shared" si="10"/>
        <v>1</v>
      </c>
      <c r="T99" s="181">
        <f t="shared" si="11"/>
        <v>2.77</v>
      </c>
      <c r="U99" s="186">
        <f t="shared" si="12"/>
        <v>134.470204</v>
      </c>
      <c r="V99" s="187">
        <f t="shared" ref="V99:W99" si="94">C99/100</f>
        <v>0.88</v>
      </c>
      <c r="W99" s="187">
        <f t="shared" si="94"/>
        <v>1.87</v>
      </c>
      <c r="X99" s="187">
        <f t="shared" si="14"/>
        <v>2.77</v>
      </c>
      <c r="Y99" s="189">
        <f t="shared" si="15"/>
        <v>4.558312</v>
      </c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</row>
    <row r="100" ht="27.0" customHeight="1">
      <c r="A100" s="181">
        <v>79.0</v>
      </c>
      <c r="B100" s="182" t="s">
        <v>93</v>
      </c>
      <c r="C100" s="191">
        <v>90.0</v>
      </c>
      <c r="D100" s="191">
        <v>204.0</v>
      </c>
      <c r="E100" s="191">
        <v>209.0</v>
      </c>
      <c r="F100" s="191">
        <f t="shared" si="5"/>
        <v>0.8</v>
      </c>
      <c r="G100" s="191">
        <f t="shared" si="6"/>
        <v>101.68686</v>
      </c>
      <c r="H100" s="219">
        <f t="shared" si="7"/>
        <v>81.349488</v>
      </c>
      <c r="I100" s="218">
        <v>1.0</v>
      </c>
      <c r="J100" s="194">
        <f t="shared" si="8"/>
        <v>81.349488</v>
      </c>
      <c r="K100" s="139"/>
      <c r="L100" s="197"/>
      <c r="M100" s="198"/>
      <c r="N100" s="198"/>
      <c r="O100" s="139"/>
      <c r="P100" s="139"/>
      <c r="Q100" s="141">
        <v>26.5</v>
      </c>
      <c r="R100" s="187">
        <f t="shared" si="9"/>
        <v>2.09</v>
      </c>
      <c r="S100" s="181">
        <f t="shared" si="10"/>
        <v>1</v>
      </c>
      <c r="T100" s="181">
        <f t="shared" si="11"/>
        <v>2.09</v>
      </c>
      <c r="U100" s="186">
        <f t="shared" si="12"/>
        <v>101.68686</v>
      </c>
      <c r="V100" s="187">
        <f t="shared" ref="V100:W100" si="95">C100/100</f>
        <v>0.9</v>
      </c>
      <c r="W100" s="187">
        <f t="shared" si="95"/>
        <v>2.04</v>
      </c>
      <c r="X100" s="187">
        <f t="shared" si="14"/>
        <v>2.09</v>
      </c>
      <c r="Y100" s="189">
        <f t="shared" si="15"/>
        <v>3.83724</v>
      </c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</row>
    <row r="101" ht="27.0" customHeight="1">
      <c r="A101" s="181">
        <v>80.0</v>
      </c>
      <c r="B101" s="191" t="s">
        <v>85</v>
      </c>
      <c r="C101" s="191">
        <v>93.0</v>
      </c>
      <c r="D101" s="191">
        <v>204.0</v>
      </c>
      <c r="E101" s="191">
        <v>204.0</v>
      </c>
      <c r="F101" s="191">
        <f t="shared" si="5"/>
        <v>0</v>
      </c>
      <c r="G101" s="191">
        <f t="shared" si="6"/>
        <v>102.562632</v>
      </c>
      <c r="H101" s="219">
        <f t="shared" si="7"/>
        <v>102.562632</v>
      </c>
      <c r="I101" s="218">
        <v>1.0</v>
      </c>
      <c r="J101" s="194">
        <f t="shared" si="8"/>
        <v>102.562632</v>
      </c>
      <c r="K101" s="139"/>
      <c r="L101" s="197"/>
      <c r="M101" s="198"/>
      <c r="N101" s="198"/>
      <c r="O101" s="139"/>
      <c r="P101" s="139"/>
      <c r="Q101" s="141">
        <v>26.5</v>
      </c>
      <c r="R101" s="187">
        <f t="shared" si="9"/>
        <v>2.04</v>
      </c>
      <c r="S101" s="181">
        <f t="shared" si="10"/>
        <v>1</v>
      </c>
      <c r="T101" s="181">
        <f t="shared" si="11"/>
        <v>2.04</v>
      </c>
      <c r="U101" s="186">
        <f t="shared" si="12"/>
        <v>102.562632</v>
      </c>
      <c r="V101" s="187">
        <f t="shared" ref="V101:W101" si="96">C101/100</f>
        <v>0.93</v>
      </c>
      <c r="W101" s="187">
        <f t="shared" si="96"/>
        <v>2.04</v>
      </c>
      <c r="X101" s="187">
        <f t="shared" si="14"/>
        <v>2.04</v>
      </c>
      <c r="Y101" s="189">
        <f t="shared" si="15"/>
        <v>3.870288</v>
      </c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</row>
    <row r="102" ht="27.0" customHeight="1">
      <c r="A102" s="181">
        <v>81.0</v>
      </c>
      <c r="B102" s="191" t="s">
        <v>85</v>
      </c>
      <c r="C102" s="191">
        <v>78.0</v>
      </c>
      <c r="D102" s="191">
        <v>204.0</v>
      </c>
      <c r="E102" s="191">
        <v>96.0</v>
      </c>
      <c r="F102" s="191">
        <f t="shared" si="5"/>
        <v>0</v>
      </c>
      <c r="G102" s="191">
        <f t="shared" si="6"/>
        <v>40.480128</v>
      </c>
      <c r="H102" s="219">
        <f t="shared" si="7"/>
        <v>40.480128</v>
      </c>
      <c r="I102" s="218">
        <v>1.0</v>
      </c>
      <c r="J102" s="194">
        <f t="shared" si="8"/>
        <v>40.480128</v>
      </c>
      <c r="K102" s="139"/>
      <c r="L102" s="197"/>
      <c r="M102" s="198"/>
      <c r="N102" s="198"/>
      <c r="O102" s="139"/>
      <c r="P102" s="139"/>
      <c r="Q102" s="141">
        <v>26.5</v>
      </c>
      <c r="R102" s="187">
        <f t="shared" si="9"/>
        <v>0.96</v>
      </c>
      <c r="S102" s="181">
        <f t="shared" si="10"/>
        <v>1</v>
      </c>
      <c r="T102" s="181">
        <f t="shared" si="11"/>
        <v>0.96</v>
      </c>
      <c r="U102" s="186">
        <f t="shared" si="12"/>
        <v>40.480128</v>
      </c>
      <c r="V102" s="187">
        <f t="shared" ref="V102:W102" si="97">C102/100</f>
        <v>0.78</v>
      </c>
      <c r="W102" s="187">
        <f t="shared" si="97"/>
        <v>2.04</v>
      </c>
      <c r="X102" s="187">
        <f t="shared" si="14"/>
        <v>0.96</v>
      </c>
      <c r="Y102" s="189">
        <f t="shared" si="15"/>
        <v>1.527552</v>
      </c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</row>
    <row r="103" ht="27.0" customHeight="1">
      <c r="A103" s="160"/>
      <c r="B103" s="176"/>
      <c r="C103" s="176"/>
      <c r="D103" s="176"/>
      <c r="E103" s="176"/>
      <c r="F103" s="176"/>
      <c r="G103" s="176"/>
      <c r="H103" s="179"/>
      <c r="I103" s="160"/>
      <c r="J103" s="203">
        <f>+Q140</f>
        <v>175.6</v>
      </c>
      <c r="K103" s="139"/>
      <c r="L103" s="139"/>
      <c r="M103" s="139"/>
      <c r="N103" s="139"/>
      <c r="O103" s="139"/>
      <c r="P103" s="139"/>
      <c r="Q103" s="204"/>
      <c r="R103" s="187">
        <f t="shared" si="9"/>
        <v>0</v>
      </c>
      <c r="S103" s="181" t="str">
        <f t="shared" si="10"/>
        <v/>
      </c>
      <c r="T103" s="181">
        <f t="shared" si="11"/>
        <v>0</v>
      </c>
      <c r="U103" s="186"/>
      <c r="V103" s="187">
        <f t="shared" ref="V103:W103" si="98">C103/100</f>
        <v>0</v>
      </c>
      <c r="W103" s="187">
        <f t="shared" si="98"/>
        <v>0</v>
      </c>
      <c r="X103" s="187">
        <f t="shared" si="14"/>
        <v>0</v>
      </c>
      <c r="Y103" s="189">
        <f t="shared" si="15"/>
        <v>0</v>
      </c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</row>
    <row r="104" ht="27.0" customHeight="1">
      <c r="A104" s="160"/>
      <c r="B104" s="205"/>
      <c r="C104" s="205"/>
      <c r="D104" s="205"/>
      <c r="E104" s="205"/>
      <c r="F104" s="205"/>
      <c r="G104" s="205"/>
      <c r="H104" s="206"/>
      <c r="I104" s="207">
        <f>SUM(I22:I102)</f>
        <v>235</v>
      </c>
      <c r="J104" s="208">
        <f>SUM(J22:J103)</f>
        <v>25638.02627</v>
      </c>
      <c r="K104" s="209"/>
      <c r="L104" s="209"/>
      <c r="M104" s="209"/>
      <c r="N104" s="209"/>
      <c r="O104" s="209"/>
      <c r="P104" s="209"/>
      <c r="Q104" s="141"/>
      <c r="R104" s="209">
        <f>SUMIFS($S$22:$S$102,$R$22:$R$102,"&gt;=3")</f>
        <v>0</v>
      </c>
      <c r="S104" s="209">
        <f t="shared" ref="S104:T104" si="99">SUM(S22:S102)</f>
        <v>235</v>
      </c>
      <c r="T104" s="209">
        <f t="shared" si="99"/>
        <v>490.33</v>
      </c>
      <c r="U104" s="209"/>
      <c r="V104" s="209"/>
      <c r="W104" s="209"/>
      <c r="X104" s="209"/>
      <c r="Y104" s="210">
        <f>SUM(Y22:Y103)</f>
        <v>973.903615</v>
      </c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</row>
    <row r="105" ht="29.2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41"/>
      <c r="R105" s="186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</row>
    <row r="106" ht="29.25" customHeight="1">
      <c r="A106" s="139"/>
      <c r="B106" s="139"/>
      <c r="C106" s="139"/>
      <c r="D106" s="139"/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204"/>
      <c r="R106" s="139"/>
      <c r="S106" s="139" t="s">
        <v>48</v>
      </c>
      <c r="T106" s="139" t="s">
        <v>72</v>
      </c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</row>
    <row r="107" ht="29.25" customHeight="1">
      <c r="A107" s="139"/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41"/>
      <c r="R107" s="139" t="s">
        <v>31</v>
      </c>
      <c r="S107" s="211">
        <f>SUMIFS($J$22:$J$102,$R$22:$R$102,"&gt;=3")</f>
        <v>0</v>
      </c>
      <c r="T107" s="212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</row>
    <row r="108" ht="29.25" customHeight="1">
      <c r="A108" s="139" t="s">
        <v>32</v>
      </c>
      <c r="B108" s="139"/>
      <c r="C108" s="139"/>
      <c r="D108" s="139" t="s">
        <v>33</v>
      </c>
      <c r="E108" s="139"/>
      <c r="F108" s="139"/>
      <c r="G108" s="139"/>
      <c r="H108" s="140"/>
      <c r="I108" s="139"/>
      <c r="J108" s="139"/>
      <c r="K108" s="139"/>
      <c r="L108" s="139"/>
      <c r="M108" s="139"/>
      <c r="N108" s="139"/>
      <c r="O108" s="139"/>
      <c r="P108" s="139"/>
      <c r="Q108" s="141"/>
      <c r="R108" s="139" t="s">
        <v>34</v>
      </c>
      <c r="S108" s="213">
        <f>J104-S107</f>
        <v>25638.02627</v>
      </c>
      <c r="T108" s="212">
        <f>+SUMIFS($T$22:$T$102,$R$22:$R$102,"&gt;=3")</f>
        <v>0</v>
      </c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</row>
    <row r="109" ht="29.25" customHeight="1">
      <c r="A109" s="139"/>
      <c r="B109" s="139"/>
      <c r="C109" s="139"/>
      <c r="D109" s="139"/>
      <c r="E109" s="139"/>
      <c r="F109" s="139"/>
      <c r="G109" s="139"/>
      <c r="H109" s="140"/>
      <c r="I109" s="139"/>
      <c r="J109" s="139"/>
      <c r="K109" s="139"/>
      <c r="L109" s="139"/>
      <c r="M109" s="139"/>
      <c r="N109" s="139"/>
      <c r="O109" s="139"/>
      <c r="P109" s="139"/>
      <c r="Q109" s="204"/>
      <c r="R109" s="139"/>
      <c r="S109" s="214">
        <f>+I104</f>
        <v>235</v>
      </c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</row>
    <row r="110" ht="39.0" customHeight="1">
      <c r="A110" s="176"/>
      <c r="B110" s="160" t="s">
        <v>12</v>
      </c>
      <c r="C110" s="177" t="s">
        <v>73</v>
      </c>
      <c r="D110" s="52"/>
      <c r="E110" s="53"/>
      <c r="F110" s="178"/>
      <c r="G110" s="178"/>
      <c r="H110" s="179" t="s">
        <v>14</v>
      </c>
      <c r="I110" s="160" t="s">
        <v>15</v>
      </c>
      <c r="J110" s="160" t="s">
        <v>16</v>
      </c>
      <c r="K110" s="139"/>
      <c r="L110" s="139"/>
      <c r="M110" s="139"/>
      <c r="N110" s="139"/>
      <c r="O110" s="139"/>
      <c r="P110" s="139"/>
      <c r="Q110" s="141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</row>
    <row r="111" ht="27.0" customHeight="1">
      <c r="A111" s="154">
        <v>1.0</v>
      </c>
      <c r="B111" s="215" t="s">
        <v>79</v>
      </c>
      <c r="C111" s="215">
        <v>93.0</v>
      </c>
      <c r="D111" s="215">
        <v>209.0</v>
      </c>
      <c r="E111" s="215">
        <v>195.0</v>
      </c>
      <c r="F111" s="215">
        <f t="shared" ref="F111:F117" si="100">1-VALUE(IF(RIGHT(B111, 1)="%", RIGHT(B111, 3), 0))</f>
        <v>0.2</v>
      </c>
      <c r="G111" s="215">
        <f t="shared" ref="G111:G117" si="101">+Q111*C111/100*D111/100*E111/100</f>
        <v>0</v>
      </c>
      <c r="H111" s="216">
        <f t="shared" ref="H111:H117" si="102">IF(F111=0, G111, F111*G111)</f>
        <v>0</v>
      </c>
      <c r="I111" s="215">
        <v>1.0</v>
      </c>
      <c r="J111" s="217">
        <f t="shared" ref="J111:J117" si="103">+I111*H111</f>
        <v>0</v>
      </c>
      <c r="K111" s="139"/>
      <c r="L111" s="176">
        <f t="shared" ref="L111:L115" si="104">D111*25.4/1000</f>
        <v>5.3086</v>
      </c>
      <c r="M111" s="160">
        <f t="shared" ref="M111:M114" si="105">+I111</f>
        <v>1</v>
      </c>
      <c r="N111" s="160">
        <f t="shared" ref="N111:N114" si="106">M111*L111</f>
        <v>5.3086</v>
      </c>
      <c r="O111" s="139"/>
      <c r="P111" s="139"/>
      <c r="Q111" s="141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</row>
    <row r="112" ht="27.0" customHeight="1">
      <c r="A112" s="160">
        <v>2.0</v>
      </c>
      <c r="B112" s="218" t="s">
        <v>64</v>
      </c>
      <c r="C112" s="218">
        <v>86.0</v>
      </c>
      <c r="D112" s="218">
        <v>215.0</v>
      </c>
      <c r="E112" s="218">
        <v>222.0</v>
      </c>
      <c r="F112" s="218">
        <f t="shared" si="100"/>
        <v>0.2</v>
      </c>
      <c r="G112" s="218">
        <f t="shared" si="101"/>
        <v>0</v>
      </c>
      <c r="H112" s="219">
        <f t="shared" si="102"/>
        <v>0</v>
      </c>
      <c r="I112" s="218">
        <v>1.0</v>
      </c>
      <c r="J112" s="194">
        <f t="shared" si="103"/>
        <v>0</v>
      </c>
      <c r="K112" s="139"/>
      <c r="L112" s="176">
        <f t="shared" si="104"/>
        <v>5.461</v>
      </c>
      <c r="M112" s="160">
        <f t="shared" si="105"/>
        <v>1</v>
      </c>
      <c r="N112" s="160">
        <f t="shared" si="106"/>
        <v>5.461</v>
      </c>
      <c r="O112" s="139"/>
      <c r="P112" s="139"/>
      <c r="Q112" s="141"/>
      <c r="R112" s="139"/>
      <c r="S112" s="220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</row>
    <row r="113" ht="27.0" customHeight="1">
      <c r="A113" s="160">
        <v>3.0</v>
      </c>
      <c r="B113" s="218" t="s">
        <v>101</v>
      </c>
      <c r="C113" s="218">
        <v>90.0</v>
      </c>
      <c r="D113" s="218">
        <v>204.0</v>
      </c>
      <c r="E113" s="218">
        <v>152.0</v>
      </c>
      <c r="F113" s="218">
        <f t="shared" si="100"/>
        <v>0.2</v>
      </c>
      <c r="G113" s="218">
        <f t="shared" si="101"/>
        <v>0</v>
      </c>
      <c r="H113" s="219">
        <f t="shared" si="102"/>
        <v>0</v>
      </c>
      <c r="I113" s="218">
        <v>1.0</v>
      </c>
      <c r="J113" s="194">
        <f t="shared" si="103"/>
        <v>0</v>
      </c>
      <c r="K113" s="139"/>
      <c r="L113" s="176">
        <f t="shared" si="104"/>
        <v>5.1816</v>
      </c>
      <c r="M113" s="160">
        <f t="shared" si="105"/>
        <v>1</v>
      </c>
      <c r="N113" s="160">
        <f t="shared" si="106"/>
        <v>5.1816</v>
      </c>
      <c r="O113" s="139"/>
      <c r="P113" s="139"/>
      <c r="Q113" s="141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</row>
    <row r="114" ht="27.0" customHeight="1">
      <c r="A114" s="160">
        <v>4.0</v>
      </c>
      <c r="B114" s="218" t="s">
        <v>103</v>
      </c>
      <c r="C114" s="218">
        <v>82.0</v>
      </c>
      <c r="D114" s="218">
        <v>204.0</v>
      </c>
      <c r="E114" s="218">
        <v>156.0</v>
      </c>
      <c r="F114" s="218">
        <f t="shared" si="100"/>
        <v>0.2</v>
      </c>
      <c r="G114" s="218">
        <f t="shared" si="101"/>
        <v>0</v>
      </c>
      <c r="H114" s="219">
        <f t="shared" si="102"/>
        <v>0</v>
      </c>
      <c r="I114" s="218">
        <v>1.0</v>
      </c>
      <c r="J114" s="194">
        <f t="shared" si="103"/>
        <v>0</v>
      </c>
      <c r="K114" s="139"/>
      <c r="L114" s="176">
        <f t="shared" si="104"/>
        <v>5.1816</v>
      </c>
      <c r="M114" s="160">
        <f t="shared" si="105"/>
        <v>1</v>
      </c>
      <c r="N114" s="160">
        <f t="shared" si="106"/>
        <v>5.1816</v>
      </c>
      <c r="O114" s="139"/>
      <c r="P114" s="139"/>
      <c r="Q114" s="141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</row>
    <row r="115" ht="27.0" customHeight="1">
      <c r="A115" s="160">
        <v>5.0</v>
      </c>
      <c r="B115" s="218" t="s">
        <v>64</v>
      </c>
      <c r="C115" s="218">
        <v>100.0</v>
      </c>
      <c r="D115" s="218">
        <v>182.0</v>
      </c>
      <c r="E115" s="218">
        <v>240.0</v>
      </c>
      <c r="F115" s="218">
        <f t="shared" si="100"/>
        <v>0.2</v>
      </c>
      <c r="G115" s="218">
        <f t="shared" si="101"/>
        <v>0</v>
      </c>
      <c r="H115" s="219">
        <f t="shared" si="102"/>
        <v>0</v>
      </c>
      <c r="I115" s="218">
        <v>1.0</v>
      </c>
      <c r="J115" s="194">
        <f t="shared" si="103"/>
        <v>0</v>
      </c>
      <c r="K115" s="139"/>
      <c r="L115" s="139">
        <f t="shared" si="104"/>
        <v>4.6228</v>
      </c>
      <c r="M115" s="221"/>
      <c r="N115" s="221"/>
      <c r="O115" s="139"/>
      <c r="P115" s="139"/>
      <c r="Q115" s="141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</row>
    <row r="116" ht="27.0" customHeight="1">
      <c r="A116" s="160"/>
      <c r="B116" s="218" t="s">
        <v>104</v>
      </c>
      <c r="C116" s="218">
        <v>90.0</v>
      </c>
      <c r="D116" s="218">
        <v>187.0</v>
      </c>
      <c r="E116" s="218">
        <v>248.0</v>
      </c>
      <c r="F116" s="218">
        <f t="shared" si="100"/>
        <v>0.2</v>
      </c>
      <c r="G116" s="218">
        <f t="shared" si="101"/>
        <v>0</v>
      </c>
      <c r="H116" s="219">
        <f t="shared" si="102"/>
        <v>0</v>
      </c>
      <c r="I116" s="218">
        <v>1.0</v>
      </c>
      <c r="J116" s="194">
        <f t="shared" si="103"/>
        <v>0</v>
      </c>
      <c r="K116" s="139"/>
      <c r="L116" s="139"/>
      <c r="M116" s="221"/>
      <c r="N116" s="221"/>
      <c r="O116" s="139"/>
      <c r="P116" s="139"/>
      <c r="Q116" s="141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</row>
    <row r="117" ht="27.0" customHeight="1">
      <c r="A117" s="160">
        <v>6.0</v>
      </c>
      <c r="B117" s="218" t="s">
        <v>93</v>
      </c>
      <c r="C117" s="218">
        <v>90.0</v>
      </c>
      <c r="D117" s="218">
        <v>204.0</v>
      </c>
      <c r="E117" s="218">
        <v>209.0</v>
      </c>
      <c r="F117" s="218">
        <f t="shared" si="100"/>
        <v>0.2</v>
      </c>
      <c r="G117" s="218">
        <f t="shared" si="101"/>
        <v>0</v>
      </c>
      <c r="H117" s="219">
        <f t="shared" si="102"/>
        <v>0</v>
      </c>
      <c r="I117" s="218">
        <v>1.0</v>
      </c>
      <c r="J117" s="194">
        <f t="shared" si="103"/>
        <v>0</v>
      </c>
      <c r="K117" s="139"/>
      <c r="L117" s="139">
        <f>D117*25.4/1000</f>
        <v>5.1816</v>
      </c>
      <c r="M117" s="221"/>
      <c r="N117" s="221"/>
      <c r="O117" s="139"/>
      <c r="P117" s="139"/>
      <c r="Q117" s="141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</row>
    <row r="118" ht="24.75" customHeight="1">
      <c r="A118" s="160"/>
      <c r="B118" s="197"/>
      <c r="C118" s="197"/>
      <c r="D118" s="197"/>
      <c r="E118" s="197"/>
      <c r="F118" s="197"/>
      <c r="G118" s="197"/>
      <c r="H118" s="269" t="s">
        <v>38</v>
      </c>
      <c r="I118" s="197"/>
      <c r="J118" s="226">
        <f>SUM(J111:J117)</f>
        <v>0</v>
      </c>
      <c r="K118" s="139"/>
      <c r="L118" s="139"/>
      <c r="M118" s="139"/>
      <c r="N118" s="139"/>
      <c r="O118" s="139"/>
      <c r="P118" s="139"/>
      <c r="Q118" s="141"/>
      <c r="R118" s="227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</row>
    <row r="119" ht="18.75" customHeight="1">
      <c r="A119" s="174"/>
      <c r="B119" s="144"/>
      <c r="C119" s="144"/>
      <c r="D119" s="144"/>
      <c r="E119" s="144"/>
      <c r="F119" s="144"/>
      <c r="G119" s="144"/>
      <c r="H119" s="145"/>
      <c r="I119" s="144"/>
      <c r="J119" s="175"/>
      <c r="K119" s="139"/>
      <c r="L119" s="139"/>
      <c r="M119" s="139"/>
      <c r="N119" s="139"/>
      <c r="O119" s="139"/>
      <c r="P119" s="139"/>
      <c r="Q119" s="141"/>
      <c r="R119" s="227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</row>
    <row r="120" ht="18.75" customHeight="1">
      <c r="A120" s="139"/>
      <c r="B120" s="139"/>
      <c r="C120" s="139"/>
      <c r="D120" s="139"/>
      <c r="E120" s="139"/>
      <c r="F120" s="139"/>
      <c r="G120" s="139"/>
      <c r="H120" s="140"/>
      <c r="I120" s="139"/>
      <c r="J120" s="139"/>
      <c r="K120" s="139"/>
      <c r="L120" s="139"/>
      <c r="M120" s="139"/>
      <c r="N120" s="139"/>
      <c r="O120" s="139"/>
      <c r="P120" s="139"/>
      <c r="Q120" s="141"/>
      <c r="R120" s="227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</row>
    <row r="121" ht="18.75" customHeight="1">
      <c r="A121" s="139"/>
      <c r="B121" s="139"/>
      <c r="C121" s="139"/>
      <c r="D121" s="139"/>
      <c r="E121" s="139"/>
      <c r="F121" s="139"/>
      <c r="G121" s="139"/>
      <c r="H121" s="140"/>
      <c r="I121" s="139"/>
      <c r="J121" s="139"/>
      <c r="K121" s="139"/>
      <c r="L121" s="139"/>
      <c r="M121" s="139"/>
      <c r="N121" s="139"/>
      <c r="O121" s="139"/>
      <c r="P121" s="139"/>
      <c r="Q121" s="141"/>
      <c r="R121" s="227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</row>
    <row r="122" ht="18.75" customHeight="1">
      <c r="A122" s="139" t="s">
        <v>39</v>
      </c>
      <c r="B122" s="139"/>
      <c r="C122" s="139"/>
      <c r="D122" s="139"/>
      <c r="E122" s="139"/>
      <c r="F122" s="139"/>
      <c r="G122" s="139"/>
      <c r="H122" s="140"/>
      <c r="I122" s="139"/>
      <c r="J122" s="139"/>
      <c r="K122" s="139"/>
      <c r="L122" s="139"/>
      <c r="M122" s="139"/>
      <c r="N122" s="139"/>
      <c r="O122" s="139"/>
      <c r="P122" s="139"/>
      <c r="Q122" s="141"/>
      <c r="R122" s="227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</row>
    <row r="123" ht="18.75" customHeight="1">
      <c r="A123" s="139"/>
      <c r="B123" s="139"/>
      <c r="C123" s="139"/>
      <c r="D123" s="139"/>
      <c r="E123" s="139"/>
      <c r="F123" s="139"/>
      <c r="G123" s="139"/>
      <c r="H123" s="140"/>
      <c r="I123" s="139"/>
      <c r="J123" s="139"/>
      <c r="K123" s="139"/>
      <c r="L123" s="139"/>
      <c r="M123" s="139"/>
      <c r="N123" s="139"/>
      <c r="O123" s="139"/>
      <c r="P123" s="139"/>
      <c r="Q123" s="141"/>
      <c r="R123" s="227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</row>
    <row r="124" ht="42.0" customHeight="1">
      <c r="A124" s="176"/>
      <c r="B124" s="160" t="s">
        <v>12</v>
      </c>
      <c r="C124" s="177" t="s">
        <v>74</v>
      </c>
      <c r="D124" s="52"/>
      <c r="E124" s="53"/>
      <c r="F124" s="228"/>
      <c r="G124" s="228"/>
      <c r="H124" s="179" t="s">
        <v>14</v>
      </c>
      <c r="I124" s="224" t="s">
        <v>15</v>
      </c>
      <c r="J124" s="160" t="s">
        <v>16</v>
      </c>
      <c r="K124" s="139"/>
      <c r="L124" s="139"/>
      <c r="M124" s="139"/>
      <c r="N124" s="139"/>
      <c r="O124" s="139"/>
      <c r="P124" s="139"/>
      <c r="Q124" s="141"/>
      <c r="R124" s="227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</row>
    <row r="125" ht="24.75" customHeight="1">
      <c r="A125" s="160">
        <v>1.0</v>
      </c>
      <c r="B125" s="229" t="s">
        <v>76</v>
      </c>
      <c r="C125" s="181"/>
      <c r="D125" s="181"/>
      <c r="E125" s="181"/>
      <c r="F125" s="181"/>
      <c r="G125" s="181"/>
      <c r="H125" s="232">
        <v>50.0</v>
      </c>
      <c r="I125" s="181">
        <v>1.0</v>
      </c>
      <c r="J125" s="194">
        <f t="shared" ref="J125:J138" si="107">+I125*H125</f>
        <v>50</v>
      </c>
      <c r="K125" s="176"/>
      <c r="L125" s="176"/>
      <c r="M125" s="176"/>
      <c r="N125" s="176"/>
      <c r="O125" s="176"/>
      <c r="P125" s="176"/>
      <c r="Q125" s="231"/>
      <c r="R125" s="227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</row>
    <row r="126" ht="24.75" customHeight="1">
      <c r="A126" s="160">
        <v>2.0</v>
      </c>
      <c r="B126" s="215" t="s">
        <v>76</v>
      </c>
      <c r="C126" s="181"/>
      <c r="D126" s="181"/>
      <c r="E126" s="181"/>
      <c r="F126" s="181"/>
      <c r="G126" s="181"/>
      <c r="H126" s="232">
        <v>9.0</v>
      </c>
      <c r="I126" s="181">
        <v>1.0</v>
      </c>
      <c r="J126" s="194">
        <f t="shared" si="107"/>
        <v>9</v>
      </c>
      <c r="K126" s="176"/>
      <c r="L126" s="176"/>
      <c r="M126" s="176"/>
      <c r="N126" s="176"/>
      <c r="O126" s="176"/>
      <c r="P126" s="176"/>
      <c r="Q126" s="231"/>
      <c r="R126" s="227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</row>
    <row r="127" ht="24.75" customHeight="1">
      <c r="A127" s="160">
        <v>3.0</v>
      </c>
      <c r="B127" s="182" t="s">
        <v>55</v>
      </c>
      <c r="C127" s="181"/>
      <c r="D127" s="181"/>
      <c r="E127" s="181"/>
      <c r="F127" s="181"/>
      <c r="G127" s="181"/>
      <c r="H127" s="232">
        <v>60.0</v>
      </c>
      <c r="I127" s="181">
        <v>1.0</v>
      </c>
      <c r="J127" s="194">
        <f t="shared" si="107"/>
        <v>60</v>
      </c>
      <c r="K127" s="176"/>
      <c r="L127" s="176"/>
      <c r="M127" s="176"/>
      <c r="N127" s="176"/>
      <c r="O127" s="176"/>
      <c r="P127" s="176"/>
      <c r="Q127" s="231"/>
      <c r="R127" s="227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</row>
    <row r="128" ht="24.75" customHeight="1">
      <c r="A128" s="160">
        <v>4.0</v>
      </c>
      <c r="B128" s="218" t="s">
        <v>55</v>
      </c>
      <c r="C128" s="181"/>
      <c r="D128" s="181"/>
      <c r="E128" s="181"/>
      <c r="F128" s="181"/>
      <c r="G128" s="181"/>
      <c r="H128" s="232">
        <v>19.0</v>
      </c>
      <c r="I128" s="181">
        <v>1.0</v>
      </c>
      <c r="J128" s="194">
        <f t="shared" si="107"/>
        <v>19</v>
      </c>
      <c r="K128" s="176"/>
      <c r="L128" s="176"/>
      <c r="M128" s="176"/>
      <c r="N128" s="176"/>
      <c r="O128" s="176"/>
      <c r="P128" s="176"/>
      <c r="Q128" s="231"/>
      <c r="R128" s="227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</row>
    <row r="129" ht="24.75" customHeight="1">
      <c r="A129" s="160">
        <v>5.0</v>
      </c>
      <c r="B129" s="182" t="s">
        <v>102</v>
      </c>
      <c r="C129" s="181"/>
      <c r="D129" s="181"/>
      <c r="E129" s="181"/>
      <c r="F129" s="181"/>
      <c r="G129" s="181"/>
      <c r="H129" s="232">
        <v>46.0</v>
      </c>
      <c r="I129" s="181">
        <v>1.0</v>
      </c>
      <c r="J129" s="194">
        <f t="shared" si="107"/>
        <v>46</v>
      </c>
      <c r="K129" s="176"/>
      <c r="L129" s="176"/>
      <c r="M129" s="176"/>
      <c r="N129" s="176"/>
      <c r="O129" s="176"/>
      <c r="P129" s="176"/>
      <c r="Q129" s="231"/>
      <c r="R129" s="227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</row>
    <row r="130" ht="24.75" customHeight="1">
      <c r="A130" s="160">
        <v>6.0</v>
      </c>
      <c r="B130" s="218" t="s">
        <v>102</v>
      </c>
      <c r="C130" s="181"/>
      <c r="D130" s="181"/>
      <c r="E130" s="181"/>
      <c r="F130" s="181"/>
      <c r="G130" s="181"/>
      <c r="H130" s="232">
        <v>10.0</v>
      </c>
      <c r="I130" s="181">
        <v>1.0</v>
      </c>
      <c r="J130" s="194">
        <f t="shared" si="107"/>
        <v>10</v>
      </c>
      <c r="K130" s="176"/>
      <c r="L130" s="176"/>
      <c r="M130" s="176"/>
      <c r="N130" s="176"/>
      <c r="O130" s="176"/>
      <c r="P130" s="176"/>
      <c r="Q130" s="231"/>
      <c r="R130" s="227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</row>
    <row r="131" ht="24.75" customHeight="1">
      <c r="A131" s="160">
        <v>7.0</v>
      </c>
      <c r="B131" s="182" t="s">
        <v>98</v>
      </c>
      <c r="C131" s="181"/>
      <c r="D131" s="181"/>
      <c r="E131" s="181"/>
      <c r="F131" s="181"/>
      <c r="G131" s="181"/>
      <c r="H131" s="232">
        <v>38.0</v>
      </c>
      <c r="I131" s="181">
        <v>1.0</v>
      </c>
      <c r="J131" s="194">
        <f t="shared" si="107"/>
        <v>38</v>
      </c>
      <c r="K131" s="176"/>
      <c r="L131" s="176"/>
      <c r="M131" s="176"/>
      <c r="N131" s="176"/>
      <c r="O131" s="176"/>
      <c r="P131" s="176"/>
      <c r="Q131" s="231"/>
      <c r="R131" s="227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</row>
    <row r="132" ht="24.75" customHeight="1">
      <c r="A132" s="160">
        <v>8.0</v>
      </c>
      <c r="B132" s="218" t="s">
        <v>98</v>
      </c>
      <c r="C132" s="181"/>
      <c r="D132" s="181"/>
      <c r="E132" s="181"/>
      <c r="F132" s="181"/>
      <c r="G132" s="181"/>
      <c r="H132" s="232">
        <v>7.0</v>
      </c>
      <c r="I132" s="181">
        <v>1.0</v>
      </c>
      <c r="J132" s="194">
        <f t="shared" si="107"/>
        <v>7</v>
      </c>
      <c r="K132" s="176"/>
      <c r="L132" s="176"/>
      <c r="M132" s="176"/>
      <c r="N132" s="176"/>
      <c r="O132" s="176"/>
      <c r="P132" s="176"/>
      <c r="Q132" s="231"/>
      <c r="R132" s="227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</row>
    <row r="133" ht="24.75" customHeight="1">
      <c r="A133" s="160">
        <v>9.0</v>
      </c>
      <c r="B133" s="182" t="s">
        <v>55</v>
      </c>
      <c r="C133" s="181"/>
      <c r="D133" s="181"/>
      <c r="E133" s="181"/>
      <c r="F133" s="181"/>
      <c r="G133" s="181"/>
      <c r="H133" s="232">
        <v>55.0</v>
      </c>
      <c r="I133" s="181">
        <v>1.0</v>
      </c>
      <c r="J133" s="194">
        <f t="shared" si="107"/>
        <v>55</v>
      </c>
      <c r="K133" s="176"/>
      <c r="L133" s="176"/>
      <c r="M133" s="176"/>
      <c r="N133" s="176"/>
      <c r="O133" s="176"/>
      <c r="P133" s="176"/>
      <c r="Q133" s="231"/>
      <c r="R133" s="227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</row>
    <row r="134" ht="24.75" customHeight="1">
      <c r="A134" s="160">
        <v>10.0</v>
      </c>
      <c r="B134" s="218" t="s">
        <v>55</v>
      </c>
      <c r="C134" s="181"/>
      <c r="D134" s="181"/>
      <c r="E134" s="181"/>
      <c r="F134" s="181"/>
      <c r="G134" s="181"/>
      <c r="H134" s="232">
        <v>27.0</v>
      </c>
      <c r="I134" s="181">
        <v>1.0</v>
      </c>
      <c r="J134" s="194">
        <f t="shared" si="107"/>
        <v>27</v>
      </c>
      <c r="K134" s="176"/>
      <c r="L134" s="176"/>
      <c r="M134" s="176"/>
      <c r="N134" s="176"/>
      <c r="O134" s="176"/>
      <c r="P134" s="176"/>
      <c r="Q134" s="231"/>
      <c r="R134" s="227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</row>
    <row r="135" ht="24.75" customHeight="1">
      <c r="A135" s="160">
        <v>11.0</v>
      </c>
      <c r="B135" s="182" t="s">
        <v>99</v>
      </c>
      <c r="C135" s="181"/>
      <c r="D135" s="181"/>
      <c r="E135" s="181"/>
      <c r="F135" s="181"/>
      <c r="G135" s="181"/>
      <c r="H135" s="232">
        <v>55.0</v>
      </c>
      <c r="I135" s="181">
        <v>1.0</v>
      </c>
      <c r="J135" s="194">
        <f t="shared" si="107"/>
        <v>55</v>
      </c>
      <c r="K135" s="176"/>
      <c r="L135" s="176"/>
      <c r="M135" s="176"/>
      <c r="N135" s="176"/>
      <c r="O135" s="176"/>
      <c r="P135" s="176"/>
      <c r="Q135" s="231"/>
      <c r="R135" s="227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</row>
    <row r="136" ht="24.75" customHeight="1">
      <c r="A136" s="160">
        <v>12.0</v>
      </c>
      <c r="B136" s="218" t="s">
        <v>99</v>
      </c>
      <c r="C136" s="181"/>
      <c r="D136" s="181"/>
      <c r="E136" s="181"/>
      <c r="F136" s="181"/>
      <c r="G136" s="181"/>
      <c r="H136" s="232">
        <v>28.0</v>
      </c>
      <c r="I136" s="181">
        <v>1.0</v>
      </c>
      <c r="J136" s="194">
        <f t="shared" si="107"/>
        <v>28</v>
      </c>
      <c r="K136" s="176"/>
      <c r="L136" s="176"/>
      <c r="M136" s="176"/>
      <c r="N136" s="176"/>
      <c r="O136" s="176"/>
      <c r="P136" s="176"/>
      <c r="Q136" s="231"/>
      <c r="R136" s="227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</row>
    <row r="137" ht="24.75" customHeight="1">
      <c r="A137" s="160">
        <v>13.0</v>
      </c>
      <c r="B137" s="182" t="s">
        <v>85</v>
      </c>
      <c r="C137" s="181"/>
      <c r="D137" s="181"/>
      <c r="E137" s="181"/>
      <c r="F137" s="181"/>
      <c r="G137" s="181"/>
      <c r="H137" s="232">
        <v>25.0</v>
      </c>
      <c r="I137" s="181">
        <v>1.0</v>
      </c>
      <c r="J137" s="194">
        <f t="shared" si="107"/>
        <v>25</v>
      </c>
      <c r="K137" s="176"/>
      <c r="L137" s="176"/>
      <c r="M137" s="176"/>
      <c r="N137" s="176"/>
      <c r="O137" s="176"/>
      <c r="P137" s="176"/>
      <c r="Q137" s="231"/>
      <c r="R137" s="227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</row>
    <row r="138" ht="24.75" customHeight="1">
      <c r="A138" s="160">
        <v>14.0</v>
      </c>
      <c r="B138" s="191" t="s">
        <v>85</v>
      </c>
      <c r="C138" s="181"/>
      <c r="D138" s="181"/>
      <c r="E138" s="181"/>
      <c r="F138" s="181"/>
      <c r="G138" s="181"/>
      <c r="H138" s="232">
        <v>10.0</v>
      </c>
      <c r="I138" s="181">
        <v>1.0</v>
      </c>
      <c r="J138" s="194">
        <f t="shared" si="107"/>
        <v>10</v>
      </c>
      <c r="K138" s="176"/>
      <c r="L138" s="176"/>
      <c r="M138" s="176"/>
      <c r="N138" s="176"/>
      <c r="O138" s="176"/>
      <c r="P138" s="176"/>
      <c r="Q138" s="231"/>
      <c r="R138" s="227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</row>
    <row r="139" ht="18.75" customHeight="1">
      <c r="A139" s="139"/>
      <c r="B139" s="139"/>
      <c r="C139" s="139"/>
      <c r="D139" s="139"/>
      <c r="E139" s="139"/>
      <c r="F139" s="139"/>
      <c r="G139" s="139"/>
      <c r="H139" s="140" t="s">
        <v>38</v>
      </c>
      <c r="I139" s="139"/>
      <c r="J139" s="235">
        <f>SUM(J125:J138)</f>
        <v>439</v>
      </c>
      <c r="K139" s="236"/>
      <c r="L139" s="236"/>
      <c r="M139" s="236"/>
      <c r="N139" s="236"/>
      <c r="O139" s="236"/>
      <c r="P139" s="236"/>
      <c r="Q139" s="237"/>
      <c r="R139" s="227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</row>
    <row r="140" ht="18.75" customHeight="1">
      <c r="A140" s="144"/>
      <c r="B140" s="144"/>
      <c r="C140" s="144"/>
      <c r="D140" s="144"/>
      <c r="E140" s="144"/>
      <c r="F140" s="144"/>
      <c r="G140" s="144"/>
      <c r="H140" s="145"/>
      <c r="I140" s="173"/>
      <c r="J140" s="205">
        <f>+J139*60%</f>
        <v>263.4</v>
      </c>
      <c r="K140" s="205"/>
      <c r="L140" s="205"/>
      <c r="M140" s="205"/>
      <c r="N140" s="205"/>
      <c r="O140" s="205"/>
      <c r="P140" s="205"/>
      <c r="Q140" s="207">
        <f>+J139*40%</f>
        <v>175.6</v>
      </c>
      <c r="R140" s="227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</row>
    <row r="141" ht="18.75" customHeight="1">
      <c r="A141" s="139"/>
      <c r="B141" s="139"/>
      <c r="C141" s="139"/>
      <c r="D141" s="139"/>
      <c r="E141" s="139"/>
      <c r="F141" s="139"/>
      <c r="G141" s="139"/>
      <c r="H141" s="140"/>
      <c r="I141" s="139"/>
      <c r="J141" s="139"/>
      <c r="K141" s="139"/>
      <c r="L141" s="139"/>
      <c r="M141" s="139"/>
      <c r="N141" s="139"/>
      <c r="O141" s="139"/>
      <c r="P141" s="139"/>
      <c r="Q141" s="141"/>
      <c r="R141" s="227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</row>
    <row r="142" ht="18.75" customHeight="1">
      <c r="A142" s="139"/>
      <c r="B142" s="139"/>
      <c r="C142" s="139"/>
      <c r="D142" s="139"/>
      <c r="E142" s="139"/>
      <c r="F142" s="139"/>
      <c r="G142" s="139"/>
      <c r="H142" s="140"/>
      <c r="I142" s="139"/>
      <c r="J142" s="139"/>
      <c r="K142" s="139"/>
      <c r="L142" s="139"/>
      <c r="M142" s="139"/>
      <c r="N142" s="139"/>
      <c r="O142" s="139"/>
      <c r="P142" s="139"/>
      <c r="Q142" s="141"/>
      <c r="R142" s="227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</row>
    <row r="143" ht="19.5" customHeight="1">
      <c r="A143" s="238" t="s">
        <v>41</v>
      </c>
      <c r="B143" s="139"/>
      <c r="C143" s="139"/>
      <c r="D143" s="139"/>
      <c r="E143" s="139"/>
      <c r="F143" s="139"/>
      <c r="G143" s="139"/>
      <c r="H143" s="140"/>
      <c r="I143" s="139"/>
      <c r="J143" s="139"/>
      <c r="K143" s="139"/>
      <c r="L143" s="139"/>
      <c r="M143" s="139"/>
      <c r="N143" s="139"/>
      <c r="O143" s="139"/>
      <c r="P143" s="139"/>
      <c r="Q143" s="141"/>
      <c r="R143" s="227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</row>
    <row r="144" ht="57.0" customHeight="1">
      <c r="A144" s="239"/>
      <c r="B144" s="240" t="s">
        <v>42</v>
      </c>
      <c r="C144" s="240" t="s">
        <v>43</v>
      </c>
      <c r="D144" s="240" t="s">
        <v>44</v>
      </c>
      <c r="E144" s="240" t="s">
        <v>45</v>
      </c>
      <c r="F144" s="240"/>
      <c r="G144" s="240"/>
      <c r="H144" s="241" t="s">
        <v>46</v>
      </c>
      <c r="I144" s="242" t="s">
        <v>47</v>
      </c>
      <c r="J144" s="139"/>
      <c r="K144" s="139"/>
      <c r="L144" s="139"/>
      <c r="M144" s="139"/>
      <c r="N144" s="139"/>
      <c r="O144" s="139"/>
      <c r="P144" s="139"/>
      <c r="Q144" s="141"/>
      <c r="R144" s="227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</row>
    <row r="145" ht="18.75" customHeight="1">
      <c r="A145" s="243" t="s">
        <v>48</v>
      </c>
      <c r="B145" s="244">
        <f>+E15</f>
        <v>29841.9022</v>
      </c>
      <c r="C145" s="245">
        <f>+J104</f>
        <v>25638.02627</v>
      </c>
      <c r="D145" s="245">
        <f>+J118</f>
        <v>0</v>
      </c>
      <c r="E145" s="246">
        <f>J140</f>
        <v>263.4</v>
      </c>
      <c r="F145" s="246"/>
      <c r="G145" s="246"/>
      <c r="H145" s="247">
        <f>+I15</f>
        <v>1458.972407</v>
      </c>
      <c r="I145" s="248">
        <f>+B145-C145-D145-E145-H145</f>
        <v>2481.50352</v>
      </c>
      <c r="J145" s="139"/>
      <c r="K145" s="139"/>
      <c r="L145" s="139"/>
      <c r="M145" s="139"/>
      <c r="N145" s="139"/>
      <c r="O145" s="139"/>
      <c r="P145" s="139"/>
      <c r="Q145" s="141"/>
      <c r="R145" s="227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</row>
    <row r="146" ht="19.5" customHeight="1">
      <c r="A146" s="249" t="s">
        <v>49</v>
      </c>
      <c r="B146" s="250"/>
      <c r="C146" s="251">
        <f>+C145/B145</f>
        <v>0.8591284195</v>
      </c>
      <c r="D146" s="251">
        <f>+D145/B145</f>
        <v>0</v>
      </c>
      <c r="E146" s="251">
        <f>+E145/B145</f>
        <v>0.008826515089</v>
      </c>
      <c r="F146" s="251"/>
      <c r="G146" s="251"/>
      <c r="H146" s="252">
        <f>+H145/B145</f>
        <v>0.0488900606</v>
      </c>
      <c r="I146" s="253">
        <f>+I145/B145</f>
        <v>0.08315500479</v>
      </c>
      <c r="J146" s="139"/>
      <c r="K146" s="139"/>
      <c r="L146" s="139"/>
      <c r="M146" s="139"/>
      <c r="N146" s="139"/>
      <c r="O146" s="139"/>
      <c r="P146" s="139"/>
      <c r="Q146" s="141"/>
      <c r="R146" s="227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</row>
    <row r="147" ht="19.5" customHeight="1">
      <c r="A147" s="163"/>
      <c r="B147" s="221"/>
      <c r="C147" s="254"/>
      <c r="D147" s="254"/>
      <c r="E147" s="254"/>
      <c r="F147" s="254"/>
      <c r="G147" s="254"/>
      <c r="H147" s="255"/>
      <c r="I147" s="256"/>
      <c r="J147" s="139"/>
      <c r="K147" s="139"/>
      <c r="L147" s="139"/>
      <c r="M147" s="139"/>
      <c r="N147" s="139"/>
      <c r="O147" s="139"/>
      <c r="P147" s="139"/>
      <c r="Q147" s="141"/>
      <c r="R147" s="227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</row>
    <row r="148" ht="18.75" customHeight="1">
      <c r="A148" s="257"/>
      <c r="B148" s="258"/>
      <c r="C148" s="258"/>
      <c r="D148" s="258" t="s">
        <v>50</v>
      </c>
      <c r="E148" s="258" t="s">
        <v>48</v>
      </c>
      <c r="F148" s="258"/>
      <c r="G148" s="258"/>
      <c r="H148" s="259">
        <f>+D145+E145+H145+I145</f>
        <v>4203.875927</v>
      </c>
      <c r="I148" s="260"/>
      <c r="J148" s="139"/>
      <c r="K148" s="139"/>
      <c r="L148" s="139"/>
      <c r="M148" s="139"/>
      <c r="N148" s="139"/>
      <c r="O148" s="139"/>
      <c r="P148" s="139"/>
      <c r="Q148" s="141"/>
      <c r="R148" s="140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</row>
    <row r="149" ht="18.75" customHeight="1">
      <c r="A149" s="261"/>
      <c r="B149" s="139"/>
      <c r="C149" s="139"/>
      <c r="D149" s="139"/>
      <c r="E149" s="139" t="s">
        <v>49</v>
      </c>
      <c r="F149" s="139"/>
      <c r="G149" s="139"/>
      <c r="H149" s="255">
        <f>+H148/B145</f>
        <v>0.1408715805</v>
      </c>
      <c r="I149" s="262"/>
      <c r="J149" s="139"/>
      <c r="K149" s="139"/>
      <c r="L149" s="139"/>
      <c r="M149" s="139"/>
      <c r="N149" s="139"/>
      <c r="O149" s="139"/>
      <c r="P149" s="139"/>
      <c r="Q149" s="141"/>
      <c r="R149" s="140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</row>
    <row r="150" ht="18.75" customHeight="1">
      <c r="A150" s="261"/>
      <c r="B150" s="139"/>
      <c r="C150" s="139" t="s">
        <v>51</v>
      </c>
      <c r="D150" s="139"/>
      <c r="E150" s="139"/>
      <c r="F150" s="139"/>
      <c r="G150" s="139"/>
      <c r="H150" s="140"/>
      <c r="I150" s="262"/>
      <c r="J150" s="139"/>
      <c r="K150" s="139"/>
      <c r="L150" s="139"/>
      <c r="M150" s="139"/>
      <c r="N150" s="139"/>
      <c r="O150" s="139"/>
      <c r="P150" s="139"/>
      <c r="Q150" s="141"/>
      <c r="R150" s="140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</row>
    <row r="151" ht="18.75" customHeight="1">
      <c r="A151" s="261"/>
      <c r="B151" s="139"/>
      <c r="C151" s="139"/>
      <c r="D151" s="139" t="s">
        <v>52</v>
      </c>
      <c r="E151" s="139"/>
      <c r="F151" s="139"/>
      <c r="G151" s="139"/>
      <c r="H151" s="140">
        <f>+H150*(H148-H145)</f>
        <v>0</v>
      </c>
      <c r="I151" s="262"/>
      <c r="J151" s="139"/>
      <c r="K151" s="139"/>
      <c r="L151" s="139"/>
      <c r="M151" s="139"/>
      <c r="N151" s="139"/>
      <c r="O151" s="139"/>
      <c r="P151" s="139"/>
      <c r="Q151" s="141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</row>
    <row r="152" ht="19.5" customHeight="1">
      <c r="A152" s="263"/>
      <c r="B152" s="264"/>
      <c r="C152" s="264"/>
      <c r="D152" s="264"/>
      <c r="E152" s="264"/>
      <c r="F152" s="264"/>
      <c r="G152" s="264"/>
      <c r="H152" s="265"/>
      <c r="I152" s="266"/>
      <c r="J152" s="139"/>
      <c r="K152" s="139"/>
      <c r="L152" s="139"/>
      <c r="M152" s="139"/>
      <c r="N152" s="139"/>
      <c r="O152" s="139"/>
      <c r="P152" s="139"/>
      <c r="Q152" s="141"/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</row>
    <row r="153" ht="18.75" customHeight="1">
      <c r="A153" s="139"/>
      <c r="B153" s="139"/>
      <c r="C153" s="139"/>
      <c r="D153" s="139"/>
      <c r="E153" s="139"/>
      <c r="F153" s="139"/>
      <c r="G153" s="139"/>
      <c r="H153" s="140"/>
      <c r="I153" s="139"/>
      <c r="J153" s="139"/>
      <c r="K153" s="139"/>
      <c r="L153" s="139"/>
      <c r="M153" s="139"/>
      <c r="N153" s="139"/>
      <c r="O153" s="139"/>
      <c r="P153" s="139"/>
      <c r="Q153" s="141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</row>
    <row r="154" ht="18.75" customHeight="1">
      <c r="A154" s="139"/>
      <c r="B154" s="139"/>
      <c r="C154" s="139"/>
      <c r="D154" s="139"/>
      <c r="E154" s="139"/>
      <c r="F154" s="139"/>
      <c r="G154" s="139"/>
      <c r="H154" s="140"/>
      <c r="I154" s="139"/>
      <c r="J154" s="139"/>
      <c r="K154" s="139"/>
      <c r="L154" s="139"/>
      <c r="M154" s="139"/>
      <c r="N154" s="139"/>
      <c r="O154" s="139"/>
      <c r="P154" s="139"/>
      <c r="Q154" s="141"/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</row>
    <row r="155" ht="18.75" customHeight="1">
      <c r="A155" s="139"/>
      <c r="B155" s="139"/>
      <c r="C155" s="139"/>
      <c r="D155" s="139"/>
      <c r="E155" s="139"/>
      <c r="F155" s="139"/>
      <c r="G155" s="139"/>
      <c r="H155" s="140"/>
      <c r="I155" s="139"/>
      <c r="J155" s="139"/>
      <c r="K155" s="139"/>
      <c r="L155" s="139"/>
      <c r="M155" s="139"/>
      <c r="N155" s="139"/>
      <c r="O155" s="139"/>
      <c r="P155" s="139"/>
      <c r="Q155" s="141"/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10:E110"/>
    <mergeCell ref="C124:E12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44351.0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</row>
    <row r="7" ht="36.0" customHeight="1">
      <c r="A7" s="146" t="s">
        <v>6</v>
      </c>
      <c r="B7" s="147"/>
      <c r="C7" s="148" t="s">
        <v>105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</row>
    <row r="8" ht="26.25" customHeight="1">
      <c r="A8" s="153">
        <v>1.0</v>
      </c>
      <c r="B8" s="154" t="s">
        <v>97</v>
      </c>
      <c r="C8" s="154">
        <v>24.5</v>
      </c>
      <c r="D8" s="155">
        <v>0.0575</v>
      </c>
      <c r="E8" s="156">
        <f>247.888*7.58</f>
        <v>1878.99104</v>
      </c>
      <c r="F8" s="156"/>
      <c r="G8" s="156"/>
      <c r="H8" s="157">
        <v>7.58</v>
      </c>
      <c r="I8" s="158">
        <f t="shared" ref="I8:I14" si="1">+D8*E8</f>
        <v>108.0419848</v>
      </c>
      <c r="J8" s="159">
        <f t="shared" ref="J8:J14" si="2">E8-I8</f>
        <v>1770.949055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</row>
    <row r="9" ht="26.25" customHeight="1">
      <c r="A9" s="153">
        <v>2.0</v>
      </c>
      <c r="B9" s="160" t="s">
        <v>56</v>
      </c>
      <c r="C9" s="154">
        <v>29.5</v>
      </c>
      <c r="D9" s="161">
        <v>0.0147</v>
      </c>
      <c r="E9" s="162">
        <f>252.956*16.45</f>
        <v>4161.1262</v>
      </c>
      <c r="F9" s="162"/>
      <c r="G9" s="162"/>
      <c r="H9" s="157">
        <v>16.45</v>
      </c>
      <c r="I9" s="158">
        <f t="shared" si="1"/>
        <v>61.16855514</v>
      </c>
      <c r="J9" s="159">
        <f t="shared" si="2"/>
        <v>4099.957645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</row>
    <row r="10" ht="26.25" customHeight="1">
      <c r="A10" s="153">
        <v>3.0</v>
      </c>
      <c r="B10" s="160" t="s">
        <v>56</v>
      </c>
      <c r="C10" s="154">
        <v>29.5</v>
      </c>
      <c r="D10" s="155">
        <v>0.0147</v>
      </c>
      <c r="E10" s="156">
        <f>252.956*20.861</f>
        <v>5276.915116</v>
      </c>
      <c r="F10" s="156"/>
      <c r="G10" s="156"/>
      <c r="H10" s="157">
        <v>20.861</v>
      </c>
      <c r="I10" s="158">
        <f t="shared" si="1"/>
        <v>77.57065221</v>
      </c>
      <c r="J10" s="159">
        <f t="shared" si="2"/>
        <v>5199.344464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</row>
    <row r="11" ht="26.25" customHeight="1">
      <c r="A11" s="153">
        <v>4.0</v>
      </c>
      <c r="B11" s="160" t="s">
        <v>55</v>
      </c>
      <c r="C11" s="154">
        <v>29.5</v>
      </c>
      <c r="D11" s="161">
        <v>0.0155</v>
      </c>
      <c r="E11" s="162">
        <f>253.395*75.936</f>
        <v>19241.80272</v>
      </c>
      <c r="F11" s="162"/>
      <c r="G11" s="162"/>
      <c r="H11" s="157">
        <v>75.936</v>
      </c>
      <c r="I11" s="158">
        <f t="shared" si="1"/>
        <v>298.2479422</v>
      </c>
      <c r="J11" s="159">
        <f t="shared" si="2"/>
        <v>18943.55478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</row>
    <row r="12" ht="26.25" customHeight="1">
      <c r="A12" s="153">
        <v>5.0</v>
      </c>
      <c r="B12" s="160" t="s">
        <v>61</v>
      </c>
      <c r="C12" s="154">
        <v>29.5</v>
      </c>
      <c r="D12" s="161">
        <v>0.068</v>
      </c>
      <c r="E12" s="162">
        <f>256.161*10.749</f>
        <v>2753.474589</v>
      </c>
      <c r="F12" s="162"/>
      <c r="G12" s="162"/>
      <c r="H12" s="157">
        <v>10.749</v>
      </c>
      <c r="I12" s="158">
        <f t="shared" si="1"/>
        <v>187.2362721</v>
      </c>
      <c r="J12" s="159">
        <f t="shared" si="2"/>
        <v>2566.238317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</row>
    <row r="13" ht="26.25" customHeight="1">
      <c r="A13" s="153">
        <v>6.0</v>
      </c>
      <c r="B13" s="160" t="s">
        <v>85</v>
      </c>
      <c r="C13" s="160">
        <v>26.5</v>
      </c>
      <c r="D13" s="161">
        <v>0.0559</v>
      </c>
      <c r="E13" s="162">
        <f>267.196*13.609</f>
        <v>3636.270364</v>
      </c>
      <c r="F13" s="162"/>
      <c r="G13" s="162"/>
      <c r="H13" s="157">
        <v>13.609</v>
      </c>
      <c r="I13" s="158">
        <f t="shared" si="1"/>
        <v>203.2675133</v>
      </c>
      <c r="J13" s="159">
        <f t="shared" si="2"/>
        <v>3433.002851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</row>
    <row r="14" ht="26.25" customHeight="1">
      <c r="A14" s="153">
        <v>7.0</v>
      </c>
      <c r="B14" s="160" t="s">
        <v>60</v>
      </c>
      <c r="C14" s="160">
        <v>35.5</v>
      </c>
      <c r="D14" s="161">
        <v>0.0441</v>
      </c>
      <c r="E14" s="162">
        <f>245.723*9.328</f>
        <v>2292.104144</v>
      </c>
      <c r="F14" s="162"/>
      <c r="G14" s="162"/>
      <c r="H14" s="157">
        <v>9.328</v>
      </c>
      <c r="I14" s="158">
        <f t="shared" si="1"/>
        <v>101.0817928</v>
      </c>
      <c r="J14" s="159">
        <f t="shared" si="2"/>
        <v>2191.022351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</row>
    <row r="15" ht="18.75" customHeight="1">
      <c r="A15" s="163"/>
      <c r="B15" s="164"/>
      <c r="C15" s="165"/>
      <c r="D15" s="166"/>
      <c r="E15" s="167">
        <f>SUM(E8:E14)</f>
        <v>39240.68417</v>
      </c>
      <c r="F15" s="168"/>
      <c r="G15" s="168"/>
      <c r="H15" s="169"/>
      <c r="I15" s="170">
        <f t="shared" ref="I15:J15" si="3">SUM(I8:I14)</f>
        <v>1036.614712</v>
      </c>
      <c r="J15" s="171">
        <f t="shared" si="3"/>
        <v>38204.06946</v>
      </c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</row>
    <row r="16" ht="18.75" customHeight="1">
      <c r="A16" s="172"/>
      <c r="B16" s="144"/>
      <c r="C16" s="144"/>
      <c r="D16" s="173"/>
      <c r="E16" s="174"/>
      <c r="F16" s="151"/>
      <c r="G16" s="151"/>
      <c r="H16" s="147"/>
      <c r="I16" s="175"/>
      <c r="J16" s="139"/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</row>
    <row r="19" ht="18.75" customHeight="1">
      <c r="A19" s="139" t="s">
        <v>11</v>
      </c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41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</row>
    <row r="21" ht="40.5" customHeight="1">
      <c r="A21" s="176"/>
      <c r="B21" s="160" t="s">
        <v>12</v>
      </c>
      <c r="C21" s="177" t="s">
        <v>62</v>
      </c>
      <c r="D21" s="52"/>
      <c r="E21" s="53"/>
      <c r="F21" s="178"/>
      <c r="G21" s="178"/>
      <c r="H21" s="179" t="s">
        <v>14</v>
      </c>
      <c r="I21" s="160" t="s">
        <v>15</v>
      </c>
      <c r="J21" s="160" t="s">
        <v>16</v>
      </c>
      <c r="K21" s="139"/>
      <c r="L21" s="160" t="s">
        <v>17</v>
      </c>
      <c r="M21" s="160" t="s">
        <v>15</v>
      </c>
      <c r="N21" s="176" t="s">
        <v>18</v>
      </c>
      <c r="O21" s="139"/>
      <c r="P21" s="139"/>
      <c r="Q21" s="180"/>
      <c r="R21" s="160" t="s">
        <v>17</v>
      </c>
      <c r="S21" s="160" t="s">
        <v>15</v>
      </c>
      <c r="T21" s="176" t="s">
        <v>18</v>
      </c>
      <c r="U21" s="139"/>
      <c r="V21" s="176" t="s">
        <v>19</v>
      </c>
      <c r="W21" s="176" t="s">
        <v>20</v>
      </c>
      <c r="X21" s="176" t="s">
        <v>21</v>
      </c>
      <c r="Y21" s="176" t="s">
        <v>106</v>
      </c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</row>
    <row r="22" ht="27.0" customHeight="1">
      <c r="A22" s="181">
        <v>1.0</v>
      </c>
      <c r="B22" s="182" t="s">
        <v>107</v>
      </c>
      <c r="C22" s="183">
        <v>83.0</v>
      </c>
      <c r="D22" s="183">
        <v>189.0</v>
      </c>
      <c r="E22" s="183">
        <v>190.0</v>
      </c>
      <c r="F22" s="183">
        <f t="shared" ref="F22:F126" si="5">VALUE(IF(RIGHT(B22, 1)="%", RIGHT(B22, 3), 0))</f>
        <v>0.8</v>
      </c>
      <c r="G22" s="183">
        <f t="shared" ref="G22:G126" si="6">+Q22*C22/100*D22/100*E22/100</f>
        <v>73.022985</v>
      </c>
      <c r="H22" s="184">
        <f t="shared" ref="H22:H126" si="7">IF(F22=0, G22, F22*G22)</f>
        <v>58.418388</v>
      </c>
      <c r="I22" s="183">
        <v>1.0</v>
      </c>
      <c r="J22" s="193">
        <f t="shared" ref="J22:J126" si="8">+I22*H22</f>
        <v>58.418388</v>
      </c>
      <c r="K22" s="186"/>
      <c r="L22" s="187">
        <f>D22*25.4/1000</f>
        <v>4.8006</v>
      </c>
      <c r="M22" s="181">
        <f>+I22</f>
        <v>1</v>
      </c>
      <c r="N22" s="181">
        <f>M22*L22</f>
        <v>4.8006</v>
      </c>
      <c r="O22" s="186"/>
      <c r="P22" s="186"/>
      <c r="Q22" s="188">
        <v>24.5</v>
      </c>
      <c r="R22" s="187">
        <f t="shared" ref="R22:R127" si="9">E22/100</f>
        <v>1.9</v>
      </c>
      <c r="S22" s="181">
        <f t="shared" ref="S22:S127" si="10">I22</f>
        <v>1</v>
      </c>
      <c r="T22" s="181">
        <f t="shared" ref="T22:T127" si="11">S22*R22</f>
        <v>1.9</v>
      </c>
      <c r="U22" s="186">
        <f t="shared" ref="U22:U126" si="12">Q22*C22/100*D22/100*E22/100</f>
        <v>73.022985</v>
      </c>
      <c r="V22" s="187">
        <f t="shared" ref="V22:W22" si="4">C22/100</f>
        <v>0.83</v>
      </c>
      <c r="W22" s="187">
        <f t="shared" si="4"/>
        <v>1.89</v>
      </c>
      <c r="X22" s="187">
        <f t="shared" ref="X22:X127" si="14">T22</f>
        <v>1.9</v>
      </c>
      <c r="Y22" s="189">
        <f t="shared" ref="Y22:Y127" si="15">V22*W22*X22</f>
        <v>2.98053</v>
      </c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</row>
    <row r="23" ht="27.0" customHeight="1">
      <c r="A23" s="181">
        <v>2.0</v>
      </c>
      <c r="B23" s="191" t="s">
        <v>97</v>
      </c>
      <c r="C23" s="191">
        <v>82.0</v>
      </c>
      <c r="D23" s="191">
        <v>189.0</v>
      </c>
      <c r="E23" s="191">
        <v>132.0</v>
      </c>
      <c r="F23" s="191">
        <f t="shared" si="5"/>
        <v>0</v>
      </c>
      <c r="G23" s="191">
        <f t="shared" si="6"/>
        <v>50.120532</v>
      </c>
      <c r="H23" s="219">
        <f t="shared" si="7"/>
        <v>50.120532</v>
      </c>
      <c r="I23" s="218">
        <v>1.0</v>
      </c>
      <c r="J23" s="193">
        <f t="shared" si="8"/>
        <v>50.120532</v>
      </c>
      <c r="K23" s="186"/>
      <c r="L23" s="187"/>
      <c r="M23" s="181"/>
      <c r="N23" s="181"/>
      <c r="O23" s="186"/>
      <c r="P23" s="186"/>
      <c r="Q23" s="188">
        <v>24.5</v>
      </c>
      <c r="R23" s="187">
        <f t="shared" si="9"/>
        <v>1.32</v>
      </c>
      <c r="S23" s="181">
        <f t="shared" si="10"/>
        <v>1</v>
      </c>
      <c r="T23" s="181">
        <f t="shared" si="11"/>
        <v>1.32</v>
      </c>
      <c r="U23" s="186">
        <f t="shared" si="12"/>
        <v>50.120532</v>
      </c>
      <c r="V23" s="187">
        <f t="shared" ref="V23:W23" si="13">C23/100</f>
        <v>0.82</v>
      </c>
      <c r="W23" s="187">
        <f t="shared" si="13"/>
        <v>1.89</v>
      </c>
      <c r="X23" s="187">
        <f t="shared" si="14"/>
        <v>1.32</v>
      </c>
      <c r="Y23" s="189">
        <f t="shared" si="15"/>
        <v>2.045736</v>
      </c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</row>
    <row r="24" ht="27.0" customHeight="1">
      <c r="A24" s="181">
        <v>3.0</v>
      </c>
      <c r="B24" s="191" t="s">
        <v>97</v>
      </c>
      <c r="C24" s="191">
        <v>99.0</v>
      </c>
      <c r="D24" s="191">
        <v>189.0</v>
      </c>
      <c r="E24" s="191">
        <v>180.0</v>
      </c>
      <c r="F24" s="191">
        <f t="shared" si="5"/>
        <v>0</v>
      </c>
      <c r="G24" s="191">
        <f t="shared" si="6"/>
        <v>82.51551</v>
      </c>
      <c r="H24" s="219">
        <f t="shared" si="7"/>
        <v>82.51551</v>
      </c>
      <c r="I24" s="218">
        <v>1.0</v>
      </c>
      <c r="J24" s="193">
        <f t="shared" si="8"/>
        <v>82.51551</v>
      </c>
      <c r="K24" s="186"/>
      <c r="L24" s="187">
        <f t="shared" ref="L24:L39" si="17">D24*25.4/1000</f>
        <v>4.8006</v>
      </c>
      <c r="M24" s="181">
        <f t="shared" ref="M24:M42" si="18">+I24</f>
        <v>1</v>
      </c>
      <c r="N24" s="181">
        <f t="shared" ref="N24:N39" si="19">M24*L24</f>
        <v>4.8006</v>
      </c>
      <c r="O24" s="186"/>
      <c r="P24" s="186"/>
      <c r="Q24" s="188">
        <v>24.5</v>
      </c>
      <c r="R24" s="187">
        <f t="shared" si="9"/>
        <v>1.8</v>
      </c>
      <c r="S24" s="181">
        <f t="shared" si="10"/>
        <v>1</v>
      </c>
      <c r="T24" s="181">
        <f t="shared" si="11"/>
        <v>1.8</v>
      </c>
      <c r="U24" s="186">
        <f t="shared" si="12"/>
        <v>82.51551</v>
      </c>
      <c r="V24" s="187">
        <f t="shared" ref="V24:W24" si="16">C24/100</f>
        <v>0.99</v>
      </c>
      <c r="W24" s="187">
        <f t="shared" si="16"/>
        <v>1.89</v>
      </c>
      <c r="X24" s="187">
        <f t="shared" si="14"/>
        <v>1.8</v>
      </c>
      <c r="Y24" s="189">
        <f t="shared" si="15"/>
        <v>3.36798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</row>
    <row r="25" ht="27.0" customHeight="1">
      <c r="A25" s="181">
        <v>4.0</v>
      </c>
      <c r="B25" s="191" t="s">
        <v>97</v>
      </c>
      <c r="C25" s="191">
        <v>93.0</v>
      </c>
      <c r="D25" s="191">
        <v>189.0</v>
      </c>
      <c r="E25" s="191">
        <v>190.0</v>
      </c>
      <c r="F25" s="191">
        <f t="shared" si="5"/>
        <v>0</v>
      </c>
      <c r="G25" s="191">
        <f t="shared" si="6"/>
        <v>81.820935</v>
      </c>
      <c r="H25" s="219">
        <f t="shared" si="7"/>
        <v>81.820935</v>
      </c>
      <c r="I25" s="218">
        <v>1.0</v>
      </c>
      <c r="J25" s="193">
        <f t="shared" si="8"/>
        <v>81.820935</v>
      </c>
      <c r="K25" s="186"/>
      <c r="L25" s="187">
        <f t="shared" si="17"/>
        <v>4.8006</v>
      </c>
      <c r="M25" s="181">
        <f t="shared" si="18"/>
        <v>1</v>
      </c>
      <c r="N25" s="181">
        <f t="shared" si="19"/>
        <v>4.8006</v>
      </c>
      <c r="O25" s="186"/>
      <c r="P25" s="186"/>
      <c r="Q25" s="188">
        <v>24.5</v>
      </c>
      <c r="R25" s="187">
        <f t="shared" si="9"/>
        <v>1.9</v>
      </c>
      <c r="S25" s="181">
        <f t="shared" si="10"/>
        <v>1</v>
      </c>
      <c r="T25" s="181">
        <f t="shared" si="11"/>
        <v>1.9</v>
      </c>
      <c r="U25" s="186">
        <f t="shared" si="12"/>
        <v>81.820935</v>
      </c>
      <c r="V25" s="187">
        <f t="shared" ref="V25:W25" si="20">C25/100</f>
        <v>0.93</v>
      </c>
      <c r="W25" s="187">
        <f t="shared" si="20"/>
        <v>1.89</v>
      </c>
      <c r="X25" s="187">
        <f t="shared" si="14"/>
        <v>1.9</v>
      </c>
      <c r="Y25" s="189">
        <f t="shared" si="15"/>
        <v>3.33963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</row>
    <row r="26" ht="27.0" customHeight="1">
      <c r="A26" s="181">
        <v>5.0</v>
      </c>
      <c r="B26" s="191" t="s">
        <v>97</v>
      </c>
      <c r="C26" s="191">
        <v>97.0</v>
      </c>
      <c r="D26" s="191">
        <v>189.0</v>
      </c>
      <c r="E26" s="191">
        <v>190.0</v>
      </c>
      <c r="F26" s="191">
        <f t="shared" si="5"/>
        <v>0</v>
      </c>
      <c r="G26" s="191">
        <f t="shared" si="6"/>
        <v>85.340115</v>
      </c>
      <c r="H26" s="219">
        <f t="shared" si="7"/>
        <v>85.340115</v>
      </c>
      <c r="I26" s="218">
        <v>1.0</v>
      </c>
      <c r="J26" s="193">
        <f t="shared" si="8"/>
        <v>85.340115</v>
      </c>
      <c r="K26" s="186"/>
      <c r="L26" s="187">
        <f t="shared" si="17"/>
        <v>4.8006</v>
      </c>
      <c r="M26" s="181">
        <f t="shared" si="18"/>
        <v>1</v>
      </c>
      <c r="N26" s="181">
        <f t="shared" si="19"/>
        <v>4.8006</v>
      </c>
      <c r="O26" s="186"/>
      <c r="P26" s="186"/>
      <c r="Q26" s="188">
        <v>24.5</v>
      </c>
      <c r="R26" s="187">
        <f t="shared" si="9"/>
        <v>1.9</v>
      </c>
      <c r="S26" s="181">
        <f t="shared" si="10"/>
        <v>1</v>
      </c>
      <c r="T26" s="181">
        <f t="shared" si="11"/>
        <v>1.9</v>
      </c>
      <c r="U26" s="186">
        <f t="shared" si="12"/>
        <v>85.340115</v>
      </c>
      <c r="V26" s="187">
        <f t="shared" ref="V26:W26" si="21">C26/100</f>
        <v>0.97</v>
      </c>
      <c r="W26" s="187">
        <f t="shared" si="21"/>
        <v>1.89</v>
      </c>
      <c r="X26" s="187">
        <f t="shared" si="14"/>
        <v>1.9</v>
      </c>
      <c r="Y26" s="189">
        <f t="shared" si="15"/>
        <v>3.48327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</row>
    <row r="27" ht="27.0" customHeight="1">
      <c r="A27" s="181">
        <v>6.0</v>
      </c>
      <c r="B27" s="191" t="s">
        <v>97</v>
      </c>
      <c r="C27" s="191">
        <v>97.0</v>
      </c>
      <c r="D27" s="191">
        <v>189.0</v>
      </c>
      <c r="E27" s="191">
        <v>157.0</v>
      </c>
      <c r="F27" s="191">
        <f t="shared" si="5"/>
        <v>0</v>
      </c>
      <c r="G27" s="191">
        <f t="shared" si="6"/>
        <v>70.5178845</v>
      </c>
      <c r="H27" s="219">
        <f t="shared" si="7"/>
        <v>70.5178845</v>
      </c>
      <c r="I27" s="218">
        <v>2.0</v>
      </c>
      <c r="J27" s="193">
        <f t="shared" si="8"/>
        <v>141.035769</v>
      </c>
      <c r="K27" s="186"/>
      <c r="L27" s="187">
        <f t="shared" si="17"/>
        <v>4.8006</v>
      </c>
      <c r="M27" s="181">
        <f t="shared" si="18"/>
        <v>2</v>
      </c>
      <c r="N27" s="181">
        <f t="shared" si="19"/>
        <v>9.6012</v>
      </c>
      <c r="O27" s="186"/>
      <c r="P27" s="186"/>
      <c r="Q27" s="188">
        <v>24.5</v>
      </c>
      <c r="R27" s="187">
        <f t="shared" si="9"/>
        <v>1.57</v>
      </c>
      <c r="S27" s="181">
        <f t="shared" si="10"/>
        <v>2</v>
      </c>
      <c r="T27" s="181">
        <f t="shared" si="11"/>
        <v>3.14</v>
      </c>
      <c r="U27" s="186">
        <f t="shared" si="12"/>
        <v>70.5178845</v>
      </c>
      <c r="V27" s="187">
        <f t="shared" ref="V27:W27" si="22">C27/100</f>
        <v>0.97</v>
      </c>
      <c r="W27" s="187">
        <f t="shared" si="22"/>
        <v>1.89</v>
      </c>
      <c r="X27" s="187">
        <f t="shared" si="14"/>
        <v>3.14</v>
      </c>
      <c r="Y27" s="189">
        <f t="shared" si="15"/>
        <v>5.756562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</row>
    <row r="28" ht="27.0" customHeight="1">
      <c r="A28" s="181">
        <v>7.0</v>
      </c>
      <c r="B28" s="191" t="s">
        <v>97</v>
      </c>
      <c r="C28" s="191">
        <v>98.0</v>
      </c>
      <c r="D28" s="191">
        <v>189.0</v>
      </c>
      <c r="E28" s="191">
        <v>180.0</v>
      </c>
      <c r="F28" s="191">
        <f t="shared" si="5"/>
        <v>0</v>
      </c>
      <c r="G28" s="191">
        <f t="shared" si="6"/>
        <v>81.68202</v>
      </c>
      <c r="H28" s="219">
        <f t="shared" si="7"/>
        <v>81.68202</v>
      </c>
      <c r="I28" s="218">
        <v>1.0</v>
      </c>
      <c r="J28" s="193">
        <f t="shared" si="8"/>
        <v>81.68202</v>
      </c>
      <c r="K28" s="186"/>
      <c r="L28" s="187">
        <f t="shared" si="17"/>
        <v>4.8006</v>
      </c>
      <c r="M28" s="181">
        <f t="shared" si="18"/>
        <v>1</v>
      </c>
      <c r="N28" s="181">
        <f t="shared" si="19"/>
        <v>4.8006</v>
      </c>
      <c r="O28" s="186"/>
      <c r="P28" s="186"/>
      <c r="Q28" s="188">
        <v>24.5</v>
      </c>
      <c r="R28" s="187">
        <f t="shared" si="9"/>
        <v>1.8</v>
      </c>
      <c r="S28" s="181">
        <f t="shared" si="10"/>
        <v>1</v>
      </c>
      <c r="T28" s="181">
        <f t="shared" si="11"/>
        <v>1.8</v>
      </c>
      <c r="U28" s="186">
        <f t="shared" si="12"/>
        <v>81.68202</v>
      </c>
      <c r="V28" s="187">
        <f t="shared" ref="V28:W28" si="23">C28/100</f>
        <v>0.98</v>
      </c>
      <c r="W28" s="187">
        <f t="shared" si="23"/>
        <v>1.89</v>
      </c>
      <c r="X28" s="187">
        <f t="shared" si="14"/>
        <v>1.8</v>
      </c>
      <c r="Y28" s="189">
        <f t="shared" si="15"/>
        <v>3.33396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8.0</v>
      </c>
      <c r="B29" s="191" t="s">
        <v>97</v>
      </c>
      <c r="C29" s="191">
        <v>96.0</v>
      </c>
      <c r="D29" s="191">
        <v>189.0</v>
      </c>
      <c r="E29" s="191">
        <v>180.0</v>
      </c>
      <c r="F29" s="191">
        <f t="shared" si="5"/>
        <v>0</v>
      </c>
      <c r="G29" s="191">
        <f t="shared" si="6"/>
        <v>80.01504</v>
      </c>
      <c r="H29" s="219">
        <f t="shared" si="7"/>
        <v>80.01504</v>
      </c>
      <c r="I29" s="218">
        <v>1.0</v>
      </c>
      <c r="J29" s="193">
        <f t="shared" si="8"/>
        <v>80.01504</v>
      </c>
      <c r="K29" s="186"/>
      <c r="L29" s="187">
        <f t="shared" si="17"/>
        <v>4.8006</v>
      </c>
      <c r="M29" s="181">
        <f t="shared" si="18"/>
        <v>1</v>
      </c>
      <c r="N29" s="181">
        <f t="shared" si="19"/>
        <v>4.8006</v>
      </c>
      <c r="O29" s="186"/>
      <c r="P29" s="186"/>
      <c r="Q29" s="188">
        <v>24.5</v>
      </c>
      <c r="R29" s="187">
        <f t="shared" si="9"/>
        <v>1.8</v>
      </c>
      <c r="S29" s="181">
        <f t="shared" si="10"/>
        <v>1</v>
      </c>
      <c r="T29" s="181">
        <f t="shared" si="11"/>
        <v>1.8</v>
      </c>
      <c r="U29" s="186">
        <f t="shared" si="12"/>
        <v>80.01504</v>
      </c>
      <c r="V29" s="187">
        <f t="shared" ref="V29:W29" si="24">C29/100</f>
        <v>0.96</v>
      </c>
      <c r="W29" s="187">
        <f t="shared" si="24"/>
        <v>1.89</v>
      </c>
      <c r="X29" s="187">
        <f t="shared" si="14"/>
        <v>1.8</v>
      </c>
      <c r="Y29" s="189">
        <f t="shared" si="15"/>
        <v>3.26592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9.0</v>
      </c>
      <c r="B30" s="191" t="s">
        <v>97</v>
      </c>
      <c r="C30" s="191">
        <v>95.0</v>
      </c>
      <c r="D30" s="191">
        <v>189.0</v>
      </c>
      <c r="E30" s="191">
        <v>190.0</v>
      </c>
      <c r="F30" s="191">
        <f t="shared" si="5"/>
        <v>0</v>
      </c>
      <c r="G30" s="191">
        <f t="shared" si="6"/>
        <v>83.580525</v>
      </c>
      <c r="H30" s="219">
        <f t="shared" si="7"/>
        <v>83.580525</v>
      </c>
      <c r="I30" s="218">
        <v>1.0</v>
      </c>
      <c r="J30" s="193">
        <f t="shared" si="8"/>
        <v>83.580525</v>
      </c>
      <c r="K30" s="186"/>
      <c r="L30" s="187">
        <f t="shared" si="17"/>
        <v>4.8006</v>
      </c>
      <c r="M30" s="181">
        <f t="shared" si="18"/>
        <v>1</v>
      </c>
      <c r="N30" s="181">
        <f t="shared" si="19"/>
        <v>4.8006</v>
      </c>
      <c r="O30" s="186"/>
      <c r="P30" s="186"/>
      <c r="Q30" s="188">
        <v>24.5</v>
      </c>
      <c r="R30" s="187">
        <f t="shared" si="9"/>
        <v>1.9</v>
      </c>
      <c r="S30" s="181">
        <f t="shared" si="10"/>
        <v>1</v>
      </c>
      <c r="T30" s="181">
        <f t="shared" si="11"/>
        <v>1.9</v>
      </c>
      <c r="U30" s="186">
        <f t="shared" si="12"/>
        <v>83.580525</v>
      </c>
      <c r="V30" s="187">
        <f t="shared" ref="V30:W30" si="25">C30/100</f>
        <v>0.95</v>
      </c>
      <c r="W30" s="187">
        <f t="shared" si="25"/>
        <v>1.89</v>
      </c>
      <c r="X30" s="187">
        <f t="shared" si="14"/>
        <v>1.9</v>
      </c>
      <c r="Y30" s="189">
        <f t="shared" si="15"/>
        <v>3.41145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10.0</v>
      </c>
      <c r="B31" s="191" t="s">
        <v>97</v>
      </c>
      <c r="C31" s="191">
        <v>93.0</v>
      </c>
      <c r="D31" s="191">
        <v>189.0</v>
      </c>
      <c r="E31" s="191">
        <v>190.0</v>
      </c>
      <c r="F31" s="191">
        <f t="shared" si="5"/>
        <v>0</v>
      </c>
      <c r="G31" s="191">
        <f t="shared" si="6"/>
        <v>81.820935</v>
      </c>
      <c r="H31" s="219">
        <f t="shared" si="7"/>
        <v>81.820935</v>
      </c>
      <c r="I31" s="218">
        <v>1.0</v>
      </c>
      <c r="J31" s="193">
        <f t="shared" si="8"/>
        <v>81.820935</v>
      </c>
      <c r="K31" s="186"/>
      <c r="L31" s="187">
        <f t="shared" si="17"/>
        <v>4.8006</v>
      </c>
      <c r="M31" s="181">
        <f t="shared" si="18"/>
        <v>1</v>
      </c>
      <c r="N31" s="181">
        <f t="shared" si="19"/>
        <v>4.8006</v>
      </c>
      <c r="O31" s="186"/>
      <c r="P31" s="186"/>
      <c r="Q31" s="188">
        <v>24.5</v>
      </c>
      <c r="R31" s="187">
        <f t="shared" si="9"/>
        <v>1.9</v>
      </c>
      <c r="S31" s="181">
        <f t="shared" si="10"/>
        <v>1</v>
      </c>
      <c r="T31" s="181">
        <f t="shared" si="11"/>
        <v>1.9</v>
      </c>
      <c r="U31" s="186">
        <f t="shared" si="12"/>
        <v>81.820935</v>
      </c>
      <c r="V31" s="187">
        <f t="shared" ref="V31:W31" si="26">C31/100</f>
        <v>0.93</v>
      </c>
      <c r="W31" s="187">
        <f t="shared" si="26"/>
        <v>1.89</v>
      </c>
      <c r="X31" s="187">
        <f t="shared" si="14"/>
        <v>1.9</v>
      </c>
      <c r="Y31" s="189">
        <f t="shared" si="15"/>
        <v>3.33963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11.0</v>
      </c>
      <c r="B32" s="191" t="s">
        <v>97</v>
      </c>
      <c r="C32" s="191">
        <v>93.0</v>
      </c>
      <c r="D32" s="191">
        <v>189.0</v>
      </c>
      <c r="E32" s="191">
        <v>189.0</v>
      </c>
      <c r="F32" s="191">
        <f t="shared" si="5"/>
        <v>0</v>
      </c>
      <c r="G32" s="191">
        <f t="shared" si="6"/>
        <v>81.3902985</v>
      </c>
      <c r="H32" s="219">
        <f t="shared" si="7"/>
        <v>81.3902985</v>
      </c>
      <c r="I32" s="218">
        <v>1.0</v>
      </c>
      <c r="J32" s="193">
        <f t="shared" si="8"/>
        <v>81.3902985</v>
      </c>
      <c r="K32" s="186"/>
      <c r="L32" s="187">
        <f t="shared" si="17"/>
        <v>4.8006</v>
      </c>
      <c r="M32" s="181">
        <f t="shared" si="18"/>
        <v>1</v>
      </c>
      <c r="N32" s="181">
        <f t="shared" si="19"/>
        <v>4.8006</v>
      </c>
      <c r="O32" s="186"/>
      <c r="P32" s="186"/>
      <c r="Q32" s="188">
        <v>24.5</v>
      </c>
      <c r="R32" s="187">
        <f t="shared" si="9"/>
        <v>1.89</v>
      </c>
      <c r="S32" s="181">
        <f t="shared" si="10"/>
        <v>1</v>
      </c>
      <c r="T32" s="181">
        <f t="shared" si="11"/>
        <v>1.89</v>
      </c>
      <c r="U32" s="186">
        <f t="shared" si="12"/>
        <v>81.3902985</v>
      </c>
      <c r="V32" s="187">
        <f t="shared" ref="V32:W32" si="27">C32/100</f>
        <v>0.93</v>
      </c>
      <c r="W32" s="187">
        <f t="shared" si="27"/>
        <v>1.89</v>
      </c>
      <c r="X32" s="187">
        <f t="shared" si="14"/>
        <v>1.89</v>
      </c>
      <c r="Y32" s="189">
        <f t="shared" si="15"/>
        <v>3.322053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12.0</v>
      </c>
      <c r="B33" s="191" t="s">
        <v>97</v>
      </c>
      <c r="C33" s="191">
        <v>94.0</v>
      </c>
      <c r="D33" s="191">
        <v>189.0</v>
      </c>
      <c r="E33" s="191">
        <v>190.0</v>
      </c>
      <c r="F33" s="191">
        <f t="shared" si="5"/>
        <v>0</v>
      </c>
      <c r="G33" s="191">
        <f t="shared" si="6"/>
        <v>82.70073</v>
      </c>
      <c r="H33" s="219">
        <f t="shared" si="7"/>
        <v>82.70073</v>
      </c>
      <c r="I33" s="218">
        <v>1.0</v>
      </c>
      <c r="J33" s="193">
        <f t="shared" si="8"/>
        <v>82.70073</v>
      </c>
      <c r="K33" s="186"/>
      <c r="L33" s="187">
        <f t="shared" si="17"/>
        <v>4.8006</v>
      </c>
      <c r="M33" s="181">
        <f t="shared" si="18"/>
        <v>1</v>
      </c>
      <c r="N33" s="181">
        <f t="shared" si="19"/>
        <v>4.8006</v>
      </c>
      <c r="O33" s="186"/>
      <c r="P33" s="186"/>
      <c r="Q33" s="188">
        <v>24.5</v>
      </c>
      <c r="R33" s="187">
        <f t="shared" si="9"/>
        <v>1.9</v>
      </c>
      <c r="S33" s="181">
        <f t="shared" si="10"/>
        <v>1</v>
      </c>
      <c r="T33" s="181">
        <f t="shared" si="11"/>
        <v>1.9</v>
      </c>
      <c r="U33" s="186">
        <f t="shared" si="12"/>
        <v>82.70073</v>
      </c>
      <c r="V33" s="187">
        <f t="shared" ref="V33:W33" si="28">C33/100</f>
        <v>0.94</v>
      </c>
      <c r="W33" s="187">
        <f t="shared" si="28"/>
        <v>1.89</v>
      </c>
      <c r="X33" s="187">
        <f t="shared" si="14"/>
        <v>1.9</v>
      </c>
      <c r="Y33" s="189">
        <f t="shared" si="15"/>
        <v>3.37554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13.0</v>
      </c>
      <c r="B34" s="191" t="s">
        <v>97</v>
      </c>
      <c r="C34" s="191">
        <v>94.0</v>
      </c>
      <c r="D34" s="191">
        <v>189.0</v>
      </c>
      <c r="E34" s="191">
        <v>189.0</v>
      </c>
      <c r="F34" s="191">
        <f t="shared" si="5"/>
        <v>0</v>
      </c>
      <c r="G34" s="191">
        <f t="shared" si="6"/>
        <v>82.265463</v>
      </c>
      <c r="H34" s="219">
        <f t="shared" si="7"/>
        <v>82.265463</v>
      </c>
      <c r="I34" s="218">
        <v>1.0</v>
      </c>
      <c r="J34" s="193">
        <f t="shared" si="8"/>
        <v>82.265463</v>
      </c>
      <c r="K34" s="186"/>
      <c r="L34" s="187">
        <f t="shared" si="17"/>
        <v>4.8006</v>
      </c>
      <c r="M34" s="181">
        <f t="shared" si="18"/>
        <v>1</v>
      </c>
      <c r="N34" s="181">
        <f t="shared" si="19"/>
        <v>4.8006</v>
      </c>
      <c r="O34" s="186"/>
      <c r="P34" s="186"/>
      <c r="Q34" s="188">
        <v>24.5</v>
      </c>
      <c r="R34" s="187">
        <f t="shared" si="9"/>
        <v>1.89</v>
      </c>
      <c r="S34" s="181">
        <f t="shared" si="10"/>
        <v>1</v>
      </c>
      <c r="T34" s="181">
        <f t="shared" si="11"/>
        <v>1.89</v>
      </c>
      <c r="U34" s="186">
        <f t="shared" si="12"/>
        <v>82.265463</v>
      </c>
      <c r="V34" s="187">
        <f t="shared" ref="V34:W34" si="29">C34/100</f>
        <v>0.94</v>
      </c>
      <c r="W34" s="187">
        <f t="shared" si="29"/>
        <v>1.89</v>
      </c>
      <c r="X34" s="187">
        <f t="shared" si="14"/>
        <v>1.89</v>
      </c>
      <c r="Y34" s="189">
        <f t="shared" si="15"/>
        <v>3.357774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14.0</v>
      </c>
      <c r="B35" s="191" t="s">
        <v>97</v>
      </c>
      <c r="C35" s="191">
        <v>99.0</v>
      </c>
      <c r="D35" s="191">
        <v>189.0</v>
      </c>
      <c r="E35" s="191">
        <v>180.0</v>
      </c>
      <c r="F35" s="191">
        <f t="shared" si="5"/>
        <v>0</v>
      </c>
      <c r="G35" s="191">
        <f t="shared" si="6"/>
        <v>82.51551</v>
      </c>
      <c r="H35" s="219">
        <f t="shared" si="7"/>
        <v>82.51551</v>
      </c>
      <c r="I35" s="218">
        <v>2.0</v>
      </c>
      <c r="J35" s="193">
        <f t="shared" si="8"/>
        <v>165.03102</v>
      </c>
      <c r="K35" s="186"/>
      <c r="L35" s="187">
        <f t="shared" si="17"/>
        <v>4.8006</v>
      </c>
      <c r="M35" s="181">
        <f t="shared" si="18"/>
        <v>2</v>
      </c>
      <c r="N35" s="181">
        <f t="shared" si="19"/>
        <v>9.6012</v>
      </c>
      <c r="O35" s="186"/>
      <c r="P35" s="186"/>
      <c r="Q35" s="188">
        <v>24.5</v>
      </c>
      <c r="R35" s="187">
        <f t="shared" si="9"/>
        <v>1.8</v>
      </c>
      <c r="S35" s="181">
        <f t="shared" si="10"/>
        <v>2</v>
      </c>
      <c r="T35" s="181">
        <f t="shared" si="11"/>
        <v>3.6</v>
      </c>
      <c r="U35" s="186">
        <f t="shared" si="12"/>
        <v>82.51551</v>
      </c>
      <c r="V35" s="187">
        <f t="shared" ref="V35:W35" si="30">C35/100</f>
        <v>0.99</v>
      </c>
      <c r="W35" s="187">
        <f t="shared" si="30"/>
        <v>1.89</v>
      </c>
      <c r="X35" s="187">
        <f t="shared" si="14"/>
        <v>3.6</v>
      </c>
      <c r="Y35" s="189">
        <f t="shared" si="15"/>
        <v>6.73596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15.0</v>
      </c>
      <c r="B36" s="191" t="s">
        <v>97</v>
      </c>
      <c r="C36" s="191">
        <v>98.0</v>
      </c>
      <c r="D36" s="191">
        <v>189.0</v>
      </c>
      <c r="E36" s="191">
        <v>157.0</v>
      </c>
      <c r="F36" s="191">
        <f t="shared" si="5"/>
        <v>0</v>
      </c>
      <c r="G36" s="191">
        <f t="shared" si="6"/>
        <v>71.244873</v>
      </c>
      <c r="H36" s="219">
        <f t="shared" si="7"/>
        <v>71.244873</v>
      </c>
      <c r="I36" s="218">
        <v>1.0</v>
      </c>
      <c r="J36" s="193">
        <f t="shared" si="8"/>
        <v>71.244873</v>
      </c>
      <c r="K36" s="186"/>
      <c r="L36" s="187">
        <f t="shared" si="17"/>
        <v>4.8006</v>
      </c>
      <c r="M36" s="181">
        <f t="shared" si="18"/>
        <v>1</v>
      </c>
      <c r="N36" s="181">
        <f t="shared" si="19"/>
        <v>4.8006</v>
      </c>
      <c r="O36" s="186"/>
      <c r="P36" s="186"/>
      <c r="Q36" s="188">
        <v>24.5</v>
      </c>
      <c r="R36" s="187">
        <f t="shared" si="9"/>
        <v>1.57</v>
      </c>
      <c r="S36" s="181">
        <f t="shared" si="10"/>
        <v>1</v>
      </c>
      <c r="T36" s="181">
        <f t="shared" si="11"/>
        <v>1.57</v>
      </c>
      <c r="U36" s="186">
        <f t="shared" si="12"/>
        <v>71.244873</v>
      </c>
      <c r="V36" s="187">
        <f t="shared" ref="V36:W36" si="31">C36/100</f>
        <v>0.98</v>
      </c>
      <c r="W36" s="187">
        <f t="shared" si="31"/>
        <v>1.89</v>
      </c>
      <c r="X36" s="187">
        <f t="shared" si="14"/>
        <v>1.57</v>
      </c>
      <c r="Y36" s="189">
        <f t="shared" si="15"/>
        <v>2.907954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16.0</v>
      </c>
      <c r="B37" s="191" t="s">
        <v>97</v>
      </c>
      <c r="C37" s="191">
        <v>98.0</v>
      </c>
      <c r="D37" s="191">
        <v>189.0</v>
      </c>
      <c r="E37" s="191">
        <v>156.0</v>
      </c>
      <c r="F37" s="191">
        <f t="shared" si="5"/>
        <v>0</v>
      </c>
      <c r="G37" s="191">
        <f t="shared" si="6"/>
        <v>70.791084</v>
      </c>
      <c r="H37" s="219">
        <f t="shared" si="7"/>
        <v>70.791084</v>
      </c>
      <c r="I37" s="218">
        <v>2.0</v>
      </c>
      <c r="J37" s="193">
        <f t="shared" si="8"/>
        <v>141.582168</v>
      </c>
      <c r="K37" s="186"/>
      <c r="L37" s="187">
        <f t="shared" si="17"/>
        <v>4.8006</v>
      </c>
      <c r="M37" s="181">
        <f t="shared" si="18"/>
        <v>2</v>
      </c>
      <c r="N37" s="181">
        <f t="shared" si="19"/>
        <v>9.6012</v>
      </c>
      <c r="O37" s="186"/>
      <c r="P37" s="186"/>
      <c r="Q37" s="188">
        <v>24.5</v>
      </c>
      <c r="R37" s="187">
        <f t="shared" si="9"/>
        <v>1.56</v>
      </c>
      <c r="S37" s="181">
        <f t="shared" si="10"/>
        <v>2</v>
      </c>
      <c r="T37" s="181">
        <f t="shared" si="11"/>
        <v>3.12</v>
      </c>
      <c r="U37" s="186">
        <f t="shared" si="12"/>
        <v>70.791084</v>
      </c>
      <c r="V37" s="187">
        <f t="shared" ref="V37:W37" si="32">C37/100</f>
        <v>0.98</v>
      </c>
      <c r="W37" s="187">
        <f t="shared" si="32"/>
        <v>1.89</v>
      </c>
      <c r="X37" s="187">
        <f t="shared" si="14"/>
        <v>3.12</v>
      </c>
      <c r="Y37" s="189">
        <f t="shared" si="15"/>
        <v>5.778864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17.0</v>
      </c>
      <c r="B38" s="191" t="s">
        <v>97</v>
      </c>
      <c r="C38" s="191">
        <v>70.0</v>
      </c>
      <c r="D38" s="191">
        <v>189.0</v>
      </c>
      <c r="E38" s="191">
        <v>102.0</v>
      </c>
      <c r="F38" s="191">
        <f t="shared" si="5"/>
        <v>0</v>
      </c>
      <c r="G38" s="191">
        <f t="shared" si="6"/>
        <v>33.06177</v>
      </c>
      <c r="H38" s="219">
        <f t="shared" si="7"/>
        <v>33.06177</v>
      </c>
      <c r="I38" s="218">
        <v>1.0</v>
      </c>
      <c r="J38" s="193">
        <f t="shared" si="8"/>
        <v>33.06177</v>
      </c>
      <c r="K38" s="186"/>
      <c r="L38" s="187">
        <f t="shared" si="17"/>
        <v>4.8006</v>
      </c>
      <c r="M38" s="181">
        <f t="shared" si="18"/>
        <v>1</v>
      </c>
      <c r="N38" s="181">
        <f t="shared" si="19"/>
        <v>4.8006</v>
      </c>
      <c r="O38" s="186"/>
      <c r="P38" s="186"/>
      <c r="Q38" s="188">
        <v>24.5</v>
      </c>
      <c r="R38" s="187">
        <f t="shared" si="9"/>
        <v>1.02</v>
      </c>
      <c r="S38" s="181">
        <f t="shared" si="10"/>
        <v>1</v>
      </c>
      <c r="T38" s="181">
        <f t="shared" si="11"/>
        <v>1.02</v>
      </c>
      <c r="U38" s="186">
        <f t="shared" si="12"/>
        <v>33.06177</v>
      </c>
      <c r="V38" s="187">
        <f t="shared" ref="V38:W38" si="33">C38/100</f>
        <v>0.7</v>
      </c>
      <c r="W38" s="187">
        <f t="shared" si="33"/>
        <v>1.89</v>
      </c>
      <c r="X38" s="187">
        <f t="shared" si="14"/>
        <v>1.02</v>
      </c>
      <c r="Y38" s="189">
        <f t="shared" si="15"/>
        <v>1.34946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18.0</v>
      </c>
      <c r="B39" s="182" t="s">
        <v>65</v>
      </c>
      <c r="C39" s="183">
        <v>89.0</v>
      </c>
      <c r="D39" s="183">
        <v>203.0</v>
      </c>
      <c r="E39" s="183">
        <v>251.0</v>
      </c>
      <c r="F39" s="183">
        <f t="shared" si="5"/>
        <v>0.8</v>
      </c>
      <c r="G39" s="183">
        <f t="shared" si="6"/>
        <v>133.7771015</v>
      </c>
      <c r="H39" s="184">
        <f t="shared" si="7"/>
        <v>107.0216812</v>
      </c>
      <c r="I39" s="183">
        <v>1.0</v>
      </c>
      <c r="J39" s="193">
        <f t="shared" si="8"/>
        <v>107.0216812</v>
      </c>
      <c r="K39" s="186"/>
      <c r="L39" s="164">
        <f t="shared" si="17"/>
        <v>5.1562</v>
      </c>
      <c r="M39" s="195">
        <f t="shared" si="18"/>
        <v>1</v>
      </c>
      <c r="N39" s="195">
        <f t="shared" si="19"/>
        <v>5.1562</v>
      </c>
      <c r="O39" s="186"/>
      <c r="P39" s="186"/>
      <c r="Q39" s="188">
        <v>29.5</v>
      </c>
      <c r="R39" s="187">
        <f t="shared" si="9"/>
        <v>2.51</v>
      </c>
      <c r="S39" s="181">
        <f t="shared" si="10"/>
        <v>1</v>
      </c>
      <c r="T39" s="181">
        <f t="shared" si="11"/>
        <v>2.51</v>
      </c>
      <c r="U39" s="186">
        <f t="shared" si="12"/>
        <v>133.7771015</v>
      </c>
      <c r="V39" s="187">
        <f t="shared" ref="V39:W39" si="34">C39/100</f>
        <v>0.89</v>
      </c>
      <c r="W39" s="187">
        <f t="shared" si="34"/>
        <v>2.03</v>
      </c>
      <c r="X39" s="187">
        <f t="shared" si="14"/>
        <v>2.51</v>
      </c>
      <c r="Y39" s="189">
        <f t="shared" si="15"/>
        <v>4.534817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19.0</v>
      </c>
      <c r="B40" s="191" t="s">
        <v>56</v>
      </c>
      <c r="C40" s="191">
        <v>73.0</v>
      </c>
      <c r="D40" s="191">
        <v>203.0</v>
      </c>
      <c r="E40" s="191">
        <v>196.0</v>
      </c>
      <c r="F40" s="191">
        <f t="shared" si="5"/>
        <v>0</v>
      </c>
      <c r="G40" s="191">
        <f t="shared" si="6"/>
        <v>85.683458</v>
      </c>
      <c r="H40" s="219">
        <f t="shared" si="7"/>
        <v>85.683458</v>
      </c>
      <c r="I40" s="218">
        <v>1.0</v>
      </c>
      <c r="J40" s="193">
        <f t="shared" si="8"/>
        <v>85.683458</v>
      </c>
      <c r="K40" s="186"/>
      <c r="L40" s="164"/>
      <c r="M40" s="195">
        <f t="shared" si="18"/>
        <v>1</v>
      </c>
      <c r="N40" s="195"/>
      <c r="O40" s="186"/>
      <c r="P40" s="186"/>
      <c r="Q40" s="188">
        <v>29.5</v>
      </c>
      <c r="R40" s="187">
        <f t="shared" si="9"/>
        <v>1.96</v>
      </c>
      <c r="S40" s="181">
        <f t="shared" si="10"/>
        <v>1</v>
      </c>
      <c r="T40" s="181">
        <f t="shared" si="11"/>
        <v>1.96</v>
      </c>
      <c r="U40" s="186">
        <f t="shared" si="12"/>
        <v>85.683458</v>
      </c>
      <c r="V40" s="187">
        <f t="shared" ref="V40:W40" si="35">C40/100</f>
        <v>0.73</v>
      </c>
      <c r="W40" s="187">
        <f t="shared" si="35"/>
        <v>2.03</v>
      </c>
      <c r="X40" s="187">
        <f t="shared" si="14"/>
        <v>1.96</v>
      </c>
      <c r="Y40" s="189">
        <f t="shared" si="15"/>
        <v>2.904524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20.0</v>
      </c>
      <c r="B41" s="191" t="s">
        <v>56</v>
      </c>
      <c r="C41" s="191">
        <v>94.0</v>
      </c>
      <c r="D41" s="191">
        <v>203.0</v>
      </c>
      <c r="E41" s="191">
        <v>193.0</v>
      </c>
      <c r="F41" s="191">
        <f t="shared" si="5"/>
        <v>0</v>
      </c>
      <c r="G41" s="191">
        <f t="shared" si="6"/>
        <v>108.643367</v>
      </c>
      <c r="H41" s="219">
        <f t="shared" si="7"/>
        <v>108.643367</v>
      </c>
      <c r="I41" s="218">
        <v>1.0</v>
      </c>
      <c r="J41" s="193">
        <f t="shared" si="8"/>
        <v>108.643367</v>
      </c>
      <c r="K41" s="186"/>
      <c r="L41" s="164"/>
      <c r="M41" s="195">
        <f t="shared" si="18"/>
        <v>1</v>
      </c>
      <c r="N41" s="195"/>
      <c r="O41" s="186"/>
      <c r="P41" s="186"/>
      <c r="Q41" s="188">
        <v>29.5</v>
      </c>
      <c r="R41" s="187">
        <f t="shared" si="9"/>
        <v>1.93</v>
      </c>
      <c r="S41" s="181">
        <f t="shared" si="10"/>
        <v>1</v>
      </c>
      <c r="T41" s="181">
        <f t="shared" si="11"/>
        <v>1.93</v>
      </c>
      <c r="U41" s="186">
        <f t="shared" si="12"/>
        <v>108.643367</v>
      </c>
      <c r="V41" s="187">
        <f t="shared" ref="V41:W41" si="36">C41/100</f>
        <v>0.94</v>
      </c>
      <c r="W41" s="187">
        <f t="shared" si="36"/>
        <v>2.03</v>
      </c>
      <c r="X41" s="187">
        <f t="shared" si="14"/>
        <v>1.93</v>
      </c>
      <c r="Y41" s="189">
        <f t="shared" si="15"/>
        <v>3.682826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21.0</v>
      </c>
      <c r="B42" s="191" t="s">
        <v>56</v>
      </c>
      <c r="C42" s="191">
        <v>99.0</v>
      </c>
      <c r="D42" s="191">
        <v>203.0</v>
      </c>
      <c r="E42" s="191">
        <v>202.0</v>
      </c>
      <c r="F42" s="191">
        <f t="shared" si="5"/>
        <v>0</v>
      </c>
      <c r="G42" s="191">
        <f t="shared" si="6"/>
        <v>119.758023</v>
      </c>
      <c r="H42" s="219">
        <f t="shared" si="7"/>
        <v>119.758023</v>
      </c>
      <c r="I42" s="218">
        <v>3.0</v>
      </c>
      <c r="J42" s="193">
        <f t="shared" si="8"/>
        <v>359.274069</v>
      </c>
      <c r="K42" s="186"/>
      <c r="L42" s="164"/>
      <c r="M42" s="195">
        <f t="shared" si="18"/>
        <v>3</v>
      </c>
      <c r="N42" s="195"/>
      <c r="O42" s="186"/>
      <c r="P42" s="186"/>
      <c r="Q42" s="188">
        <v>29.5</v>
      </c>
      <c r="R42" s="187">
        <f t="shared" si="9"/>
        <v>2.02</v>
      </c>
      <c r="S42" s="181">
        <f t="shared" si="10"/>
        <v>3</v>
      </c>
      <c r="T42" s="181">
        <f t="shared" si="11"/>
        <v>6.06</v>
      </c>
      <c r="U42" s="186">
        <f t="shared" si="12"/>
        <v>119.758023</v>
      </c>
      <c r="V42" s="187">
        <f t="shared" ref="V42:W42" si="37">C42/100</f>
        <v>0.99</v>
      </c>
      <c r="W42" s="187">
        <f t="shared" si="37"/>
        <v>2.03</v>
      </c>
      <c r="X42" s="187">
        <f t="shared" si="14"/>
        <v>6.06</v>
      </c>
      <c r="Y42" s="189">
        <f t="shared" si="15"/>
        <v>12.178782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22.0</v>
      </c>
      <c r="B43" s="191" t="s">
        <v>56</v>
      </c>
      <c r="C43" s="191">
        <v>100.0</v>
      </c>
      <c r="D43" s="191">
        <v>203.0</v>
      </c>
      <c r="E43" s="191">
        <v>202.0</v>
      </c>
      <c r="F43" s="191">
        <f t="shared" si="5"/>
        <v>0</v>
      </c>
      <c r="G43" s="191">
        <f t="shared" si="6"/>
        <v>120.9677</v>
      </c>
      <c r="H43" s="219">
        <f t="shared" si="7"/>
        <v>120.9677</v>
      </c>
      <c r="I43" s="218">
        <v>9.0</v>
      </c>
      <c r="J43" s="193">
        <f t="shared" si="8"/>
        <v>1088.7093</v>
      </c>
      <c r="K43" s="186"/>
      <c r="L43" s="164"/>
      <c r="M43" s="195"/>
      <c r="N43" s="195"/>
      <c r="O43" s="186"/>
      <c r="P43" s="186"/>
      <c r="Q43" s="188">
        <v>29.5</v>
      </c>
      <c r="R43" s="187">
        <f t="shared" si="9"/>
        <v>2.02</v>
      </c>
      <c r="S43" s="181">
        <f t="shared" si="10"/>
        <v>9</v>
      </c>
      <c r="T43" s="181">
        <f t="shared" si="11"/>
        <v>18.18</v>
      </c>
      <c r="U43" s="186">
        <f t="shared" si="12"/>
        <v>120.9677</v>
      </c>
      <c r="V43" s="187">
        <f t="shared" ref="V43:W43" si="38">C43/100</f>
        <v>1</v>
      </c>
      <c r="W43" s="187">
        <f t="shared" si="38"/>
        <v>2.03</v>
      </c>
      <c r="X43" s="187">
        <f t="shared" si="14"/>
        <v>18.18</v>
      </c>
      <c r="Y43" s="189">
        <f t="shared" si="15"/>
        <v>36.9054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</row>
    <row r="44" ht="27.0" customHeight="1">
      <c r="A44" s="181">
        <v>23.0</v>
      </c>
      <c r="B44" s="191" t="s">
        <v>56</v>
      </c>
      <c r="C44" s="191">
        <v>101.0</v>
      </c>
      <c r="D44" s="191">
        <v>203.0</v>
      </c>
      <c r="E44" s="191">
        <v>212.0</v>
      </c>
      <c r="F44" s="191">
        <f t="shared" si="5"/>
        <v>0</v>
      </c>
      <c r="G44" s="191">
        <f t="shared" si="6"/>
        <v>128.225762</v>
      </c>
      <c r="H44" s="219">
        <f t="shared" si="7"/>
        <v>128.225762</v>
      </c>
      <c r="I44" s="218">
        <v>1.0</v>
      </c>
      <c r="J44" s="193">
        <f t="shared" si="8"/>
        <v>128.225762</v>
      </c>
      <c r="K44" s="186"/>
      <c r="L44" s="164"/>
      <c r="M44" s="195"/>
      <c r="N44" s="195"/>
      <c r="O44" s="186"/>
      <c r="P44" s="186"/>
      <c r="Q44" s="188">
        <v>29.5</v>
      </c>
      <c r="R44" s="187">
        <f t="shared" si="9"/>
        <v>2.12</v>
      </c>
      <c r="S44" s="181">
        <f t="shared" si="10"/>
        <v>1</v>
      </c>
      <c r="T44" s="181">
        <f t="shared" si="11"/>
        <v>2.12</v>
      </c>
      <c r="U44" s="186">
        <f t="shared" si="12"/>
        <v>128.225762</v>
      </c>
      <c r="V44" s="187">
        <f t="shared" ref="V44:W44" si="39">C44/100</f>
        <v>1.01</v>
      </c>
      <c r="W44" s="187">
        <f t="shared" si="39"/>
        <v>2.03</v>
      </c>
      <c r="X44" s="187">
        <f t="shared" si="14"/>
        <v>2.12</v>
      </c>
      <c r="Y44" s="189">
        <f t="shared" si="15"/>
        <v>4.346636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</row>
    <row r="45" ht="27.0" customHeight="1">
      <c r="A45" s="181">
        <v>24.0</v>
      </c>
      <c r="B45" s="191" t="s">
        <v>56</v>
      </c>
      <c r="C45" s="191">
        <v>100.0</v>
      </c>
      <c r="D45" s="191">
        <v>203.0</v>
      </c>
      <c r="E45" s="191">
        <v>248.0</v>
      </c>
      <c r="F45" s="191">
        <f t="shared" si="5"/>
        <v>0</v>
      </c>
      <c r="G45" s="191">
        <f t="shared" si="6"/>
        <v>148.5148</v>
      </c>
      <c r="H45" s="219">
        <f t="shared" si="7"/>
        <v>148.5148</v>
      </c>
      <c r="I45" s="218">
        <v>1.0</v>
      </c>
      <c r="J45" s="193">
        <f t="shared" si="8"/>
        <v>148.5148</v>
      </c>
      <c r="K45" s="186"/>
      <c r="L45" s="164"/>
      <c r="M45" s="195"/>
      <c r="N45" s="195"/>
      <c r="O45" s="186"/>
      <c r="P45" s="186"/>
      <c r="Q45" s="188">
        <v>29.5</v>
      </c>
      <c r="R45" s="187">
        <f t="shared" si="9"/>
        <v>2.48</v>
      </c>
      <c r="S45" s="181">
        <f t="shared" si="10"/>
        <v>1</v>
      </c>
      <c r="T45" s="181">
        <f t="shared" si="11"/>
        <v>2.48</v>
      </c>
      <c r="U45" s="186">
        <f t="shared" si="12"/>
        <v>148.5148</v>
      </c>
      <c r="V45" s="187">
        <f t="shared" ref="V45:W45" si="40">C45/100</f>
        <v>1</v>
      </c>
      <c r="W45" s="187">
        <f t="shared" si="40"/>
        <v>2.03</v>
      </c>
      <c r="X45" s="187">
        <f t="shared" si="14"/>
        <v>2.48</v>
      </c>
      <c r="Y45" s="189">
        <f t="shared" si="15"/>
        <v>5.0344</v>
      </c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</row>
    <row r="46" ht="27.0" customHeight="1">
      <c r="A46" s="181">
        <v>25.0</v>
      </c>
      <c r="B46" s="191" t="s">
        <v>56</v>
      </c>
      <c r="C46" s="191">
        <v>100.0</v>
      </c>
      <c r="D46" s="191">
        <v>203.0</v>
      </c>
      <c r="E46" s="191">
        <v>255.0</v>
      </c>
      <c r="F46" s="191">
        <f t="shared" si="5"/>
        <v>0</v>
      </c>
      <c r="G46" s="191">
        <f t="shared" si="6"/>
        <v>152.70675</v>
      </c>
      <c r="H46" s="219">
        <f t="shared" si="7"/>
        <v>152.70675</v>
      </c>
      <c r="I46" s="218">
        <v>1.0</v>
      </c>
      <c r="J46" s="193">
        <f t="shared" si="8"/>
        <v>152.70675</v>
      </c>
      <c r="K46" s="186"/>
      <c r="L46" s="164"/>
      <c r="M46" s="195"/>
      <c r="N46" s="195"/>
      <c r="O46" s="186"/>
      <c r="P46" s="186"/>
      <c r="Q46" s="196">
        <v>29.5</v>
      </c>
      <c r="R46" s="187">
        <f t="shared" si="9"/>
        <v>2.55</v>
      </c>
      <c r="S46" s="181">
        <f t="shared" si="10"/>
        <v>1</v>
      </c>
      <c r="T46" s="181">
        <f t="shared" si="11"/>
        <v>2.55</v>
      </c>
      <c r="U46" s="186">
        <f t="shared" si="12"/>
        <v>152.70675</v>
      </c>
      <c r="V46" s="187">
        <f t="shared" ref="V46:W46" si="41">C46/100</f>
        <v>1</v>
      </c>
      <c r="W46" s="187">
        <f t="shared" si="41"/>
        <v>2.03</v>
      </c>
      <c r="X46" s="187">
        <f t="shared" si="14"/>
        <v>2.55</v>
      </c>
      <c r="Y46" s="189">
        <f t="shared" si="15"/>
        <v>5.1765</v>
      </c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</row>
    <row r="47" ht="27.0" customHeight="1">
      <c r="A47" s="181">
        <v>26.0</v>
      </c>
      <c r="B47" s="191" t="s">
        <v>56</v>
      </c>
      <c r="C47" s="191">
        <v>100.0</v>
      </c>
      <c r="D47" s="191">
        <v>203.0</v>
      </c>
      <c r="E47" s="191">
        <v>250.0</v>
      </c>
      <c r="F47" s="191">
        <f t="shared" si="5"/>
        <v>0</v>
      </c>
      <c r="G47" s="191">
        <f t="shared" si="6"/>
        <v>149.7125</v>
      </c>
      <c r="H47" s="219">
        <f t="shared" si="7"/>
        <v>149.7125</v>
      </c>
      <c r="I47" s="218">
        <v>2.0</v>
      </c>
      <c r="J47" s="193">
        <f t="shared" si="8"/>
        <v>299.425</v>
      </c>
      <c r="K47" s="186"/>
      <c r="L47" s="164"/>
      <c r="M47" s="195"/>
      <c r="N47" s="195"/>
      <c r="O47" s="186"/>
      <c r="P47" s="186"/>
      <c r="Q47" s="196">
        <v>29.5</v>
      </c>
      <c r="R47" s="187">
        <f t="shared" si="9"/>
        <v>2.5</v>
      </c>
      <c r="S47" s="181">
        <f t="shared" si="10"/>
        <v>2</v>
      </c>
      <c r="T47" s="181">
        <f t="shared" si="11"/>
        <v>5</v>
      </c>
      <c r="U47" s="186">
        <f t="shared" si="12"/>
        <v>149.7125</v>
      </c>
      <c r="V47" s="187">
        <f t="shared" ref="V47:W47" si="42">C47/100</f>
        <v>1</v>
      </c>
      <c r="W47" s="187">
        <f t="shared" si="42"/>
        <v>2.03</v>
      </c>
      <c r="X47" s="187">
        <f t="shared" si="14"/>
        <v>5</v>
      </c>
      <c r="Y47" s="189">
        <f t="shared" si="15"/>
        <v>10.15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</row>
    <row r="48" ht="27.0" customHeight="1">
      <c r="A48" s="181">
        <v>27.0</v>
      </c>
      <c r="B48" s="191" t="s">
        <v>56</v>
      </c>
      <c r="C48" s="191">
        <v>99.0</v>
      </c>
      <c r="D48" s="191">
        <v>203.0</v>
      </c>
      <c r="E48" s="191">
        <v>252.0</v>
      </c>
      <c r="F48" s="191">
        <f t="shared" si="5"/>
        <v>0</v>
      </c>
      <c r="G48" s="191">
        <f t="shared" si="6"/>
        <v>149.401098</v>
      </c>
      <c r="H48" s="219">
        <f t="shared" si="7"/>
        <v>149.401098</v>
      </c>
      <c r="I48" s="218">
        <v>1.0</v>
      </c>
      <c r="J48" s="193">
        <f t="shared" si="8"/>
        <v>149.401098</v>
      </c>
      <c r="K48" s="186"/>
      <c r="L48" s="164"/>
      <c r="M48" s="195"/>
      <c r="N48" s="195"/>
      <c r="O48" s="186"/>
      <c r="P48" s="186"/>
      <c r="Q48" s="196">
        <v>29.5</v>
      </c>
      <c r="R48" s="187">
        <f t="shared" si="9"/>
        <v>2.52</v>
      </c>
      <c r="S48" s="181">
        <f t="shared" si="10"/>
        <v>1</v>
      </c>
      <c r="T48" s="181">
        <f t="shared" si="11"/>
        <v>2.52</v>
      </c>
      <c r="U48" s="186">
        <f t="shared" si="12"/>
        <v>149.401098</v>
      </c>
      <c r="V48" s="187">
        <f t="shared" ref="V48:W48" si="43">C48/100</f>
        <v>0.99</v>
      </c>
      <c r="W48" s="187">
        <f t="shared" si="43"/>
        <v>2.03</v>
      </c>
      <c r="X48" s="187">
        <f t="shared" si="14"/>
        <v>2.52</v>
      </c>
      <c r="Y48" s="189">
        <f t="shared" si="15"/>
        <v>5.064444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</row>
    <row r="49" ht="27.0" customHeight="1">
      <c r="A49" s="181">
        <v>28.0</v>
      </c>
      <c r="B49" s="191" t="s">
        <v>56</v>
      </c>
      <c r="C49" s="191">
        <v>98.0</v>
      </c>
      <c r="D49" s="191">
        <v>203.0</v>
      </c>
      <c r="E49" s="191">
        <v>251.0</v>
      </c>
      <c r="F49" s="191">
        <f t="shared" si="5"/>
        <v>0</v>
      </c>
      <c r="G49" s="191">
        <f t="shared" si="6"/>
        <v>147.305123</v>
      </c>
      <c r="H49" s="219">
        <f t="shared" si="7"/>
        <v>147.305123</v>
      </c>
      <c r="I49" s="218">
        <v>2.0</v>
      </c>
      <c r="J49" s="194">
        <f t="shared" si="8"/>
        <v>294.610246</v>
      </c>
      <c r="K49" s="139"/>
      <c r="L49" s="197"/>
      <c r="M49" s="198"/>
      <c r="N49" s="198"/>
      <c r="O49" s="139"/>
      <c r="P49" s="139"/>
      <c r="Q49" s="141">
        <v>29.5</v>
      </c>
      <c r="R49" s="187">
        <f t="shared" si="9"/>
        <v>2.51</v>
      </c>
      <c r="S49" s="181">
        <f t="shared" si="10"/>
        <v>2</v>
      </c>
      <c r="T49" s="181">
        <f t="shared" si="11"/>
        <v>5.02</v>
      </c>
      <c r="U49" s="186">
        <f t="shared" si="12"/>
        <v>147.305123</v>
      </c>
      <c r="V49" s="187">
        <f t="shared" ref="V49:W49" si="44">C49/100</f>
        <v>0.98</v>
      </c>
      <c r="W49" s="187">
        <f t="shared" si="44"/>
        <v>2.03</v>
      </c>
      <c r="X49" s="187">
        <f t="shared" si="14"/>
        <v>5.02</v>
      </c>
      <c r="Y49" s="189">
        <f t="shared" si="15"/>
        <v>9.986788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</row>
    <row r="50" ht="27.0" customHeight="1">
      <c r="A50" s="181">
        <v>29.0</v>
      </c>
      <c r="B50" s="191" t="s">
        <v>56</v>
      </c>
      <c r="C50" s="191">
        <v>96.0</v>
      </c>
      <c r="D50" s="191">
        <v>203.0</v>
      </c>
      <c r="E50" s="191">
        <v>251.0</v>
      </c>
      <c r="F50" s="191">
        <f t="shared" si="5"/>
        <v>0</v>
      </c>
      <c r="G50" s="191">
        <f t="shared" si="6"/>
        <v>144.298896</v>
      </c>
      <c r="H50" s="219">
        <f t="shared" si="7"/>
        <v>144.298896</v>
      </c>
      <c r="I50" s="218">
        <v>1.0</v>
      </c>
      <c r="J50" s="194">
        <f t="shared" si="8"/>
        <v>144.298896</v>
      </c>
      <c r="K50" s="139"/>
      <c r="L50" s="197"/>
      <c r="M50" s="198"/>
      <c r="N50" s="198"/>
      <c r="O50" s="139"/>
      <c r="P50" s="139"/>
      <c r="Q50" s="141">
        <v>29.5</v>
      </c>
      <c r="R50" s="187">
        <f t="shared" si="9"/>
        <v>2.51</v>
      </c>
      <c r="S50" s="181">
        <f t="shared" si="10"/>
        <v>1</v>
      </c>
      <c r="T50" s="181">
        <f t="shared" si="11"/>
        <v>2.51</v>
      </c>
      <c r="U50" s="186">
        <f t="shared" si="12"/>
        <v>144.298896</v>
      </c>
      <c r="V50" s="187">
        <f t="shared" ref="V50:W50" si="45">C50/100</f>
        <v>0.96</v>
      </c>
      <c r="W50" s="187">
        <f t="shared" si="45"/>
        <v>2.03</v>
      </c>
      <c r="X50" s="187">
        <f t="shared" si="14"/>
        <v>2.51</v>
      </c>
      <c r="Y50" s="189">
        <f t="shared" si="15"/>
        <v>4.891488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ht="27.0" customHeight="1">
      <c r="A51" s="181">
        <v>30.0</v>
      </c>
      <c r="B51" s="191" t="s">
        <v>56</v>
      </c>
      <c r="C51" s="191">
        <v>94.0</v>
      </c>
      <c r="D51" s="191">
        <v>203.0</v>
      </c>
      <c r="E51" s="191">
        <v>251.0</v>
      </c>
      <c r="F51" s="191">
        <f t="shared" si="5"/>
        <v>0</v>
      </c>
      <c r="G51" s="191">
        <f t="shared" si="6"/>
        <v>141.292669</v>
      </c>
      <c r="H51" s="219">
        <f t="shared" si="7"/>
        <v>141.292669</v>
      </c>
      <c r="I51" s="218">
        <v>1.0</v>
      </c>
      <c r="J51" s="194">
        <f t="shared" si="8"/>
        <v>141.292669</v>
      </c>
      <c r="K51" s="139"/>
      <c r="L51" s="197"/>
      <c r="M51" s="198"/>
      <c r="N51" s="198"/>
      <c r="O51" s="139"/>
      <c r="P51" s="139"/>
      <c r="Q51" s="141">
        <v>29.5</v>
      </c>
      <c r="R51" s="187">
        <f t="shared" si="9"/>
        <v>2.51</v>
      </c>
      <c r="S51" s="181">
        <f t="shared" si="10"/>
        <v>1</v>
      </c>
      <c r="T51" s="181">
        <f t="shared" si="11"/>
        <v>2.51</v>
      </c>
      <c r="U51" s="186">
        <f t="shared" si="12"/>
        <v>141.292669</v>
      </c>
      <c r="V51" s="187">
        <f t="shared" ref="V51:W51" si="46">C51/100</f>
        <v>0.94</v>
      </c>
      <c r="W51" s="187">
        <f t="shared" si="46"/>
        <v>2.03</v>
      </c>
      <c r="X51" s="187">
        <f t="shared" si="14"/>
        <v>2.51</v>
      </c>
      <c r="Y51" s="189">
        <f t="shared" si="15"/>
        <v>4.789582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</row>
    <row r="52" ht="27.0" customHeight="1">
      <c r="A52" s="181">
        <v>31.0</v>
      </c>
      <c r="B52" s="191" t="s">
        <v>56</v>
      </c>
      <c r="C52" s="191">
        <v>97.0</v>
      </c>
      <c r="D52" s="191">
        <v>203.0</v>
      </c>
      <c r="E52" s="191">
        <v>251.0</v>
      </c>
      <c r="F52" s="191">
        <f t="shared" si="5"/>
        <v>0</v>
      </c>
      <c r="G52" s="191">
        <f t="shared" si="6"/>
        <v>145.8020095</v>
      </c>
      <c r="H52" s="219">
        <f t="shared" si="7"/>
        <v>145.8020095</v>
      </c>
      <c r="I52" s="218">
        <v>1.0</v>
      </c>
      <c r="J52" s="194">
        <f t="shared" si="8"/>
        <v>145.8020095</v>
      </c>
      <c r="K52" s="139"/>
      <c r="L52" s="197"/>
      <c r="M52" s="198"/>
      <c r="N52" s="198"/>
      <c r="O52" s="139"/>
      <c r="P52" s="139"/>
      <c r="Q52" s="141">
        <v>29.5</v>
      </c>
      <c r="R52" s="187">
        <f t="shared" si="9"/>
        <v>2.51</v>
      </c>
      <c r="S52" s="181">
        <f t="shared" si="10"/>
        <v>1</v>
      </c>
      <c r="T52" s="181">
        <f t="shared" si="11"/>
        <v>2.51</v>
      </c>
      <c r="U52" s="186">
        <f t="shared" si="12"/>
        <v>145.8020095</v>
      </c>
      <c r="V52" s="187">
        <f t="shared" ref="V52:W52" si="47">C52/100</f>
        <v>0.97</v>
      </c>
      <c r="W52" s="187">
        <f t="shared" si="47"/>
        <v>2.03</v>
      </c>
      <c r="X52" s="187">
        <f t="shared" si="14"/>
        <v>2.51</v>
      </c>
      <c r="Y52" s="189">
        <f t="shared" si="15"/>
        <v>4.942441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7.0" customHeight="1">
      <c r="A53" s="181">
        <v>32.0</v>
      </c>
      <c r="B53" s="191" t="s">
        <v>56</v>
      </c>
      <c r="C53" s="191">
        <v>100.0</v>
      </c>
      <c r="D53" s="191">
        <v>203.0</v>
      </c>
      <c r="E53" s="191">
        <v>252.0</v>
      </c>
      <c r="F53" s="191">
        <f t="shared" si="5"/>
        <v>0</v>
      </c>
      <c r="G53" s="191">
        <f t="shared" si="6"/>
        <v>150.9102</v>
      </c>
      <c r="H53" s="219">
        <f t="shared" si="7"/>
        <v>150.9102</v>
      </c>
      <c r="I53" s="218">
        <v>1.0</v>
      </c>
      <c r="J53" s="194">
        <f t="shared" si="8"/>
        <v>150.9102</v>
      </c>
      <c r="K53" s="139"/>
      <c r="L53" s="197"/>
      <c r="M53" s="198"/>
      <c r="N53" s="198"/>
      <c r="O53" s="139"/>
      <c r="P53" s="139"/>
      <c r="Q53" s="141">
        <v>29.5</v>
      </c>
      <c r="R53" s="187">
        <f t="shared" si="9"/>
        <v>2.52</v>
      </c>
      <c r="S53" s="181">
        <f t="shared" si="10"/>
        <v>1</v>
      </c>
      <c r="T53" s="181">
        <f t="shared" si="11"/>
        <v>2.52</v>
      </c>
      <c r="U53" s="186">
        <f t="shared" si="12"/>
        <v>150.9102</v>
      </c>
      <c r="V53" s="187">
        <f t="shared" ref="V53:W53" si="48">C53/100</f>
        <v>1</v>
      </c>
      <c r="W53" s="187">
        <f t="shared" si="48"/>
        <v>2.03</v>
      </c>
      <c r="X53" s="187">
        <f t="shared" si="14"/>
        <v>2.52</v>
      </c>
      <c r="Y53" s="189">
        <f t="shared" si="15"/>
        <v>5.1156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7.0" customHeight="1">
      <c r="A54" s="181">
        <v>33.0</v>
      </c>
      <c r="B54" s="182" t="s">
        <v>65</v>
      </c>
      <c r="C54" s="183">
        <v>92.0</v>
      </c>
      <c r="D54" s="183">
        <v>203.0</v>
      </c>
      <c r="E54" s="183">
        <v>251.0</v>
      </c>
      <c r="F54" s="183">
        <f t="shared" si="5"/>
        <v>0.8</v>
      </c>
      <c r="G54" s="183">
        <f t="shared" si="6"/>
        <v>138.286442</v>
      </c>
      <c r="H54" s="184">
        <f t="shared" si="7"/>
        <v>110.6291536</v>
      </c>
      <c r="I54" s="183">
        <v>1.0</v>
      </c>
      <c r="J54" s="194">
        <f t="shared" si="8"/>
        <v>110.6291536</v>
      </c>
      <c r="K54" s="139"/>
      <c r="L54" s="197"/>
      <c r="M54" s="198"/>
      <c r="N54" s="198"/>
      <c r="O54" s="139"/>
      <c r="P54" s="139"/>
      <c r="Q54" s="141">
        <v>29.5</v>
      </c>
      <c r="R54" s="187">
        <f t="shared" si="9"/>
        <v>2.51</v>
      </c>
      <c r="S54" s="181">
        <f t="shared" si="10"/>
        <v>1</v>
      </c>
      <c r="T54" s="181">
        <f t="shared" si="11"/>
        <v>2.51</v>
      </c>
      <c r="U54" s="186">
        <f t="shared" si="12"/>
        <v>138.286442</v>
      </c>
      <c r="V54" s="187">
        <f t="shared" ref="V54:W54" si="49">C54/100</f>
        <v>0.92</v>
      </c>
      <c r="W54" s="187">
        <f t="shared" si="49"/>
        <v>2.03</v>
      </c>
      <c r="X54" s="187">
        <f t="shared" si="14"/>
        <v>2.51</v>
      </c>
      <c r="Y54" s="189">
        <f t="shared" si="15"/>
        <v>4.687676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27.0" customHeight="1">
      <c r="A55" s="181">
        <v>34.0</v>
      </c>
      <c r="B55" s="191" t="s">
        <v>56</v>
      </c>
      <c r="C55" s="191">
        <v>98.0</v>
      </c>
      <c r="D55" s="191">
        <v>203.0</v>
      </c>
      <c r="E55" s="191">
        <v>200.0</v>
      </c>
      <c r="F55" s="191">
        <f t="shared" si="5"/>
        <v>0</v>
      </c>
      <c r="G55" s="191">
        <f t="shared" si="6"/>
        <v>117.3746</v>
      </c>
      <c r="H55" s="219">
        <f t="shared" si="7"/>
        <v>117.3746</v>
      </c>
      <c r="I55" s="218">
        <v>3.0</v>
      </c>
      <c r="J55" s="194">
        <f t="shared" si="8"/>
        <v>352.1238</v>
      </c>
      <c r="K55" s="139"/>
      <c r="L55" s="197"/>
      <c r="M55" s="198"/>
      <c r="N55" s="198"/>
      <c r="O55" s="139"/>
      <c r="P55" s="139"/>
      <c r="Q55" s="141">
        <v>29.5</v>
      </c>
      <c r="R55" s="187">
        <f t="shared" si="9"/>
        <v>2</v>
      </c>
      <c r="S55" s="181">
        <f t="shared" si="10"/>
        <v>3</v>
      </c>
      <c r="T55" s="181">
        <f t="shared" si="11"/>
        <v>6</v>
      </c>
      <c r="U55" s="186">
        <f t="shared" si="12"/>
        <v>117.3746</v>
      </c>
      <c r="V55" s="187">
        <f t="shared" ref="V55:W55" si="50">C55/100</f>
        <v>0.98</v>
      </c>
      <c r="W55" s="187">
        <f t="shared" si="50"/>
        <v>2.03</v>
      </c>
      <c r="X55" s="187">
        <f t="shared" si="14"/>
        <v>6</v>
      </c>
      <c r="Y55" s="189">
        <f t="shared" si="15"/>
        <v>11.9364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81">
        <v>35.0</v>
      </c>
      <c r="B56" s="191" t="s">
        <v>56</v>
      </c>
      <c r="C56" s="191">
        <v>98.0</v>
      </c>
      <c r="D56" s="191">
        <v>203.0</v>
      </c>
      <c r="E56" s="191">
        <v>201.0</v>
      </c>
      <c r="F56" s="191">
        <f t="shared" si="5"/>
        <v>0</v>
      </c>
      <c r="G56" s="191">
        <f t="shared" si="6"/>
        <v>117.961473</v>
      </c>
      <c r="H56" s="219">
        <f t="shared" si="7"/>
        <v>117.961473</v>
      </c>
      <c r="I56" s="218">
        <v>9.0</v>
      </c>
      <c r="J56" s="194">
        <f t="shared" si="8"/>
        <v>1061.653257</v>
      </c>
      <c r="K56" s="139"/>
      <c r="L56" s="197"/>
      <c r="M56" s="198"/>
      <c r="N56" s="198"/>
      <c r="O56" s="139"/>
      <c r="P56" s="139"/>
      <c r="Q56" s="141">
        <v>29.5</v>
      </c>
      <c r="R56" s="187">
        <f t="shared" si="9"/>
        <v>2.01</v>
      </c>
      <c r="S56" s="181">
        <f t="shared" si="10"/>
        <v>9</v>
      </c>
      <c r="T56" s="181">
        <f t="shared" si="11"/>
        <v>18.09</v>
      </c>
      <c r="U56" s="186">
        <f t="shared" si="12"/>
        <v>117.961473</v>
      </c>
      <c r="V56" s="187">
        <f t="shared" ref="V56:W56" si="51">C56/100</f>
        <v>0.98</v>
      </c>
      <c r="W56" s="187">
        <f t="shared" si="51"/>
        <v>2.03</v>
      </c>
      <c r="X56" s="187">
        <f t="shared" si="14"/>
        <v>18.09</v>
      </c>
      <c r="Y56" s="189">
        <f t="shared" si="15"/>
        <v>35.988246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36.0</v>
      </c>
      <c r="B57" s="191" t="s">
        <v>56</v>
      </c>
      <c r="C57" s="191">
        <v>100.0</v>
      </c>
      <c r="D57" s="191">
        <v>203.0</v>
      </c>
      <c r="E57" s="191">
        <v>251.0</v>
      </c>
      <c r="F57" s="191">
        <f t="shared" si="5"/>
        <v>0</v>
      </c>
      <c r="G57" s="191">
        <f t="shared" si="6"/>
        <v>150.31135</v>
      </c>
      <c r="H57" s="219">
        <f t="shared" si="7"/>
        <v>150.31135</v>
      </c>
      <c r="I57" s="218">
        <v>6.0</v>
      </c>
      <c r="J57" s="194">
        <f t="shared" si="8"/>
        <v>901.8681</v>
      </c>
      <c r="K57" s="139"/>
      <c r="L57" s="197"/>
      <c r="M57" s="198"/>
      <c r="N57" s="198"/>
      <c r="O57" s="139"/>
      <c r="P57" s="139"/>
      <c r="Q57" s="141">
        <v>29.5</v>
      </c>
      <c r="R57" s="187">
        <f t="shared" si="9"/>
        <v>2.51</v>
      </c>
      <c r="S57" s="181">
        <f t="shared" si="10"/>
        <v>6</v>
      </c>
      <c r="T57" s="181">
        <f t="shared" si="11"/>
        <v>15.06</v>
      </c>
      <c r="U57" s="186">
        <f t="shared" si="12"/>
        <v>150.31135</v>
      </c>
      <c r="V57" s="187">
        <f t="shared" ref="V57:W57" si="52">C57/100</f>
        <v>1</v>
      </c>
      <c r="W57" s="187">
        <f t="shared" si="52"/>
        <v>2.03</v>
      </c>
      <c r="X57" s="187">
        <f t="shared" si="14"/>
        <v>15.06</v>
      </c>
      <c r="Y57" s="189">
        <f t="shared" si="15"/>
        <v>30.5718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37.0</v>
      </c>
      <c r="B58" s="191" t="s">
        <v>56</v>
      </c>
      <c r="C58" s="191">
        <v>100.0</v>
      </c>
      <c r="D58" s="191">
        <v>203.0</v>
      </c>
      <c r="E58" s="191">
        <v>252.0</v>
      </c>
      <c r="F58" s="191">
        <f t="shared" si="5"/>
        <v>0</v>
      </c>
      <c r="G58" s="191">
        <f t="shared" si="6"/>
        <v>150.9102</v>
      </c>
      <c r="H58" s="219">
        <f t="shared" si="7"/>
        <v>150.9102</v>
      </c>
      <c r="I58" s="218">
        <v>2.0</v>
      </c>
      <c r="J58" s="194">
        <f t="shared" si="8"/>
        <v>301.8204</v>
      </c>
      <c r="K58" s="139"/>
      <c r="L58" s="197"/>
      <c r="M58" s="198"/>
      <c r="N58" s="198"/>
      <c r="O58" s="139"/>
      <c r="P58" s="139"/>
      <c r="Q58" s="141">
        <v>29.5</v>
      </c>
      <c r="R58" s="187">
        <f t="shared" si="9"/>
        <v>2.52</v>
      </c>
      <c r="S58" s="181">
        <f t="shared" si="10"/>
        <v>2</v>
      </c>
      <c r="T58" s="181">
        <f t="shared" si="11"/>
        <v>5.04</v>
      </c>
      <c r="U58" s="186">
        <f t="shared" si="12"/>
        <v>150.9102</v>
      </c>
      <c r="V58" s="187">
        <f t="shared" ref="V58:W58" si="53">C58/100</f>
        <v>1</v>
      </c>
      <c r="W58" s="187">
        <f t="shared" si="53"/>
        <v>2.03</v>
      </c>
      <c r="X58" s="187">
        <f t="shared" si="14"/>
        <v>5.04</v>
      </c>
      <c r="Y58" s="189">
        <f t="shared" si="15"/>
        <v>10.2312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38.0</v>
      </c>
      <c r="B59" s="191" t="s">
        <v>56</v>
      </c>
      <c r="C59" s="191">
        <v>96.0</v>
      </c>
      <c r="D59" s="191">
        <v>203.0</v>
      </c>
      <c r="E59" s="191">
        <v>201.0</v>
      </c>
      <c r="F59" s="191">
        <f t="shared" si="5"/>
        <v>0</v>
      </c>
      <c r="G59" s="191">
        <f t="shared" si="6"/>
        <v>115.554096</v>
      </c>
      <c r="H59" s="219">
        <f t="shared" si="7"/>
        <v>115.554096</v>
      </c>
      <c r="I59" s="218">
        <v>5.0</v>
      </c>
      <c r="J59" s="194">
        <f t="shared" si="8"/>
        <v>577.77048</v>
      </c>
      <c r="K59" s="139"/>
      <c r="L59" s="197"/>
      <c r="M59" s="198"/>
      <c r="N59" s="198"/>
      <c r="O59" s="139"/>
      <c r="P59" s="139"/>
      <c r="Q59" s="141">
        <v>29.5</v>
      </c>
      <c r="R59" s="187">
        <f t="shared" si="9"/>
        <v>2.01</v>
      </c>
      <c r="S59" s="181">
        <f t="shared" si="10"/>
        <v>5</v>
      </c>
      <c r="T59" s="181">
        <f t="shared" si="11"/>
        <v>10.05</v>
      </c>
      <c r="U59" s="186">
        <f t="shared" si="12"/>
        <v>115.554096</v>
      </c>
      <c r="V59" s="187">
        <f t="shared" ref="V59:W59" si="54">C59/100</f>
        <v>0.96</v>
      </c>
      <c r="W59" s="187">
        <f t="shared" si="54"/>
        <v>2.03</v>
      </c>
      <c r="X59" s="187">
        <f t="shared" si="14"/>
        <v>10.05</v>
      </c>
      <c r="Y59" s="189">
        <f t="shared" si="15"/>
        <v>19.58544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39.0</v>
      </c>
      <c r="B60" s="191" t="s">
        <v>56</v>
      </c>
      <c r="C60" s="191">
        <v>100.0</v>
      </c>
      <c r="D60" s="191">
        <v>203.0</v>
      </c>
      <c r="E60" s="191">
        <v>201.0</v>
      </c>
      <c r="F60" s="191">
        <f t="shared" si="5"/>
        <v>0</v>
      </c>
      <c r="G60" s="191">
        <f t="shared" si="6"/>
        <v>120.36885</v>
      </c>
      <c r="H60" s="219">
        <f t="shared" si="7"/>
        <v>120.36885</v>
      </c>
      <c r="I60" s="218">
        <v>3.0</v>
      </c>
      <c r="J60" s="194">
        <f t="shared" si="8"/>
        <v>361.10655</v>
      </c>
      <c r="K60" s="139"/>
      <c r="L60" s="197"/>
      <c r="M60" s="198"/>
      <c r="N60" s="198"/>
      <c r="O60" s="139"/>
      <c r="P60" s="139"/>
      <c r="Q60" s="141">
        <v>29.5</v>
      </c>
      <c r="R60" s="187">
        <f t="shared" si="9"/>
        <v>2.01</v>
      </c>
      <c r="S60" s="181">
        <f t="shared" si="10"/>
        <v>3</v>
      </c>
      <c r="T60" s="181">
        <f t="shared" si="11"/>
        <v>6.03</v>
      </c>
      <c r="U60" s="186">
        <f t="shared" si="12"/>
        <v>120.36885</v>
      </c>
      <c r="V60" s="187">
        <f t="shared" ref="V60:W60" si="55">C60/100</f>
        <v>1</v>
      </c>
      <c r="W60" s="187">
        <f t="shared" si="55"/>
        <v>2.03</v>
      </c>
      <c r="X60" s="187">
        <f t="shared" si="14"/>
        <v>6.03</v>
      </c>
      <c r="Y60" s="189">
        <f t="shared" si="15"/>
        <v>12.2409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81">
        <v>40.0</v>
      </c>
      <c r="B61" s="191" t="s">
        <v>56</v>
      </c>
      <c r="C61" s="191">
        <v>101.0</v>
      </c>
      <c r="D61" s="191">
        <v>203.0</v>
      </c>
      <c r="E61" s="191">
        <v>251.0</v>
      </c>
      <c r="F61" s="191">
        <f t="shared" si="5"/>
        <v>0</v>
      </c>
      <c r="G61" s="191">
        <f t="shared" si="6"/>
        <v>151.8144635</v>
      </c>
      <c r="H61" s="219">
        <f t="shared" si="7"/>
        <v>151.8144635</v>
      </c>
      <c r="I61" s="218">
        <v>2.0</v>
      </c>
      <c r="J61" s="194">
        <f t="shared" si="8"/>
        <v>303.628927</v>
      </c>
      <c r="K61" s="139"/>
      <c r="L61" s="197"/>
      <c r="M61" s="198"/>
      <c r="N61" s="198"/>
      <c r="O61" s="139"/>
      <c r="P61" s="139"/>
      <c r="Q61" s="141">
        <v>29.5</v>
      </c>
      <c r="R61" s="187">
        <f t="shared" si="9"/>
        <v>2.51</v>
      </c>
      <c r="S61" s="181">
        <f t="shared" si="10"/>
        <v>2</v>
      </c>
      <c r="T61" s="181">
        <f t="shared" si="11"/>
        <v>5.02</v>
      </c>
      <c r="U61" s="186">
        <f t="shared" si="12"/>
        <v>151.8144635</v>
      </c>
      <c r="V61" s="187">
        <f t="shared" ref="V61:W61" si="56">C61/100</f>
        <v>1.01</v>
      </c>
      <c r="W61" s="187">
        <f t="shared" si="56"/>
        <v>2.03</v>
      </c>
      <c r="X61" s="187">
        <f t="shared" si="14"/>
        <v>5.02</v>
      </c>
      <c r="Y61" s="189">
        <f t="shared" si="15"/>
        <v>10.292506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81">
        <v>41.0</v>
      </c>
      <c r="B62" s="191" t="s">
        <v>56</v>
      </c>
      <c r="C62" s="191">
        <v>99.0</v>
      </c>
      <c r="D62" s="191">
        <v>203.0</v>
      </c>
      <c r="E62" s="191">
        <v>201.0</v>
      </c>
      <c r="F62" s="191">
        <f t="shared" si="5"/>
        <v>0</v>
      </c>
      <c r="G62" s="191">
        <f t="shared" si="6"/>
        <v>119.1651615</v>
      </c>
      <c r="H62" s="219">
        <f t="shared" si="7"/>
        <v>119.1651615</v>
      </c>
      <c r="I62" s="218">
        <v>2.0</v>
      </c>
      <c r="J62" s="194">
        <f t="shared" si="8"/>
        <v>238.330323</v>
      </c>
      <c r="K62" s="139"/>
      <c r="L62" s="197"/>
      <c r="M62" s="198"/>
      <c r="N62" s="198"/>
      <c r="O62" s="139"/>
      <c r="P62" s="139"/>
      <c r="Q62" s="141">
        <v>29.5</v>
      </c>
      <c r="R62" s="187">
        <f t="shared" si="9"/>
        <v>2.01</v>
      </c>
      <c r="S62" s="181">
        <f t="shared" si="10"/>
        <v>2</v>
      </c>
      <c r="T62" s="181">
        <f t="shared" si="11"/>
        <v>4.02</v>
      </c>
      <c r="U62" s="186">
        <f t="shared" si="12"/>
        <v>119.1651615</v>
      </c>
      <c r="V62" s="187">
        <f t="shared" ref="V62:W62" si="57">C62/100</f>
        <v>0.99</v>
      </c>
      <c r="W62" s="187">
        <f t="shared" si="57"/>
        <v>2.03</v>
      </c>
      <c r="X62" s="187">
        <f t="shared" si="14"/>
        <v>4.02</v>
      </c>
      <c r="Y62" s="189">
        <f t="shared" si="15"/>
        <v>8.078994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27.0" customHeight="1">
      <c r="A63" s="181">
        <v>42.0</v>
      </c>
      <c r="B63" s="191" t="s">
        <v>56</v>
      </c>
      <c r="C63" s="191">
        <v>99.0</v>
      </c>
      <c r="D63" s="191">
        <v>203.0</v>
      </c>
      <c r="E63" s="191">
        <v>200.0</v>
      </c>
      <c r="F63" s="191">
        <f t="shared" si="5"/>
        <v>0</v>
      </c>
      <c r="G63" s="191">
        <f t="shared" si="6"/>
        <v>118.5723</v>
      </c>
      <c r="H63" s="219">
        <f t="shared" si="7"/>
        <v>118.5723</v>
      </c>
      <c r="I63" s="218">
        <v>1.0</v>
      </c>
      <c r="J63" s="194">
        <f t="shared" si="8"/>
        <v>118.5723</v>
      </c>
      <c r="K63" s="139"/>
      <c r="L63" s="197"/>
      <c r="M63" s="198"/>
      <c r="N63" s="198"/>
      <c r="O63" s="139"/>
      <c r="P63" s="139"/>
      <c r="Q63" s="141">
        <v>29.5</v>
      </c>
      <c r="R63" s="187">
        <f t="shared" si="9"/>
        <v>2</v>
      </c>
      <c r="S63" s="181">
        <f t="shared" si="10"/>
        <v>1</v>
      </c>
      <c r="T63" s="181">
        <f t="shared" si="11"/>
        <v>2</v>
      </c>
      <c r="U63" s="186">
        <f t="shared" si="12"/>
        <v>118.5723</v>
      </c>
      <c r="V63" s="187">
        <f t="shared" ref="V63:W63" si="58">C63/100</f>
        <v>0.99</v>
      </c>
      <c r="W63" s="187">
        <f t="shared" si="58"/>
        <v>2.03</v>
      </c>
      <c r="X63" s="187">
        <f t="shared" si="14"/>
        <v>2</v>
      </c>
      <c r="Y63" s="189">
        <f t="shared" si="15"/>
        <v>4.0194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7.0" customHeight="1">
      <c r="A64" s="181">
        <v>43.0</v>
      </c>
      <c r="B64" s="191" t="s">
        <v>56</v>
      </c>
      <c r="C64" s="191">
        <v>96.0</v>
      </c>
      <c r="D64" s="191">
        <v>203.0</v>
      </c>
      <c r="E64" s="191">
        <v>186.0</v>
      </c>
      <c r="F64" s="191">
        <f t="shared" si="5"/>
        <v>0</v>
      </c>
      <c r="G64" s="191">
        <f t="shared" si="6"/>
        <v>106.930656</v>
      </c>
      <c r="H64" s="219">
        <f t="shared" si="7"/>
        <v>106.930656</v>
      </c>
      <c r="I64" s="218">
        <v>1.0</v>
      </c>
      <c r="J64" s="194">
        <f t="shared" si="8"/>
        <v>106.930656</v>
      </c>
      <c r="K64" s="139"/>
      <c r="L64" s="197"/>
      <c r="M64" s="198"/>
      <c r="N64" s="198"/>
      <c r="O64" s="139"/>
      <c r="P64" s="139"/>
      <c r="Q64" s="141">
        <v>29.5</v>
      </c>
      <c r="R64" s="187">
        <f t="shared" si="9"/>
        <v>1.86</v>
      </c>
      <c r="S64" s="181">
        <f t="shared" si="10"/>
        <v>1</v>
      </c>
      <c r="T64" s="181">
        <f t="shared" si="11"/>
        <v>1.86</v>
      </c>
      <c r="U64" s="186">
        <f t="shared" si="12"/>
        <v>106.930656</v>
      </c>
      <c r="V64" s="187">
        <f t="shared" ref="V64:W64" si="59">C64/100</f>
        <v>0.96</v>
      </c>
      <c r="W64" s="187">
        <f t="shared" si="59"/>
        <v>2.03</v>
      </c>
      <c r="X64" s="187">
        <f t="shared" si="14"/>
        <v>1.86</v>
      </c>
      <c r="Y64" s="189">
        <f t="shared" si="15"/>
        <v>3.624768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7.0" customHeight="1">
      <c r="A65" s="181">
        <v>44.0</v>
      </c>
      <c r="B65" s="191" t="s">
        <v>56</v>
      </c>
      <c r="C65" s="191">
        <v>97.0</v>
      </c>
      <c r="D65" s="191">
        <v>203.0</v>
      </c>
      <c r="E65" s="191">
        <v>200.0</v>
      </c>
      <c r="F65" s="191">
        <f t="shared" si="5"/>
        <v>0</v>
      </c>
      <c r="G65" s="191">
        <f t="shared" si="6"/>
        <v>116.1769</v>
      </c>
      <c r="H65" s="219">
        <f t="shared" si="7"/>
        <v>116.1769</v>
      </c>
      <c r="I65" s="218">
        <v>2.0</v>
      </c>
      <c r="J65" s="194">
        <f t="shared" si="8"/>
        <v>232.3538</v>
      </c>
      <c r="K65" s="139"/>
      <c r="L65" s="197"/>
      <c r="M65" s="198"/>
      <c r="N65" s="198"/>
      <c r="O65" s="139"/>
      <c r="P65" s="139"/>
      <c r="Q65" s="141">
        <v>29.5</v>
      </c>
      <c r="R65" s="187">
        <f t="shared" si="9"/>
        <v>2</v>
      </c>
      <c r="S65" s="181">
        <f t="shared" si="10"/>
        <v>2</v>
      </c>
      <c r="T65" s="181">
        <f t="shared" si="11"/>
        <v>4</v>
      </c>
      <c r="U65" s="186">
        <f t="shared" si="12"/>
        <v>116.1769</v>
      </c>
      <c r="V65" s="187">
        <f t="shared" ref="V65:W65" si="60">C65/100</f>
        <v>0.97</v>
      </c>
      <c r="W65" s="187">
        <f t="shared" si="60"/>
        <v>2.03</v>
      </c>
      <c r="X65" s="187">
        <f t="shared" si="14"/>
        <v>4</v>
      </c>
      <c r="Y65" s="189">
        <f t="shared" si="15"/>
        <v>7.8764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7.0" customHeight="1">
      <c r="A66" s="181">
        <v>45.0</v>
      </c>
      <c r="B66" s="191" t="s">
        <v>56</v>
      </c>
      <c r="C66" s="191">
        <v>97.0</v>
      </c>
      <c r="D66" s="191">
        <v>203.0</v>
      </c>
      <c r="E66" s="191">
        <v>202.0</v>
      </c>
      <c r="F66" s="191">
        <f t="shared" si="5"/>
        <v>0</v>
      </c>
      <c r="G66" s="191">
        <f t="shared" si="6"/>
        <v>117.338669</v>
      </c>
      <c r="H66" s="219">
        <f t="shared" si="7"/>
        <v>117.338669</v>
      </c>
      <c r="I66" s="218">
        <v>1.0</v>
      </c>
      <c r="J66" s="194">
        <f t="shared" si="8"/>
        <v>117.338669</v>
      </c>
      <c r="K66" s="139"/>
      <c r="L66" s="197"/>
      <c r="M66" s="198"/>
      <c r="N66" s="198"/>
      <c r="O66" s="139"/>
      <c r="P66" s="139"/>
      <c r="Q66" s="141">
        <v>29.5</v>
      </c>
      <c r="R66" s="187">
        <f t="shared" si="9"/>
        <v>2.02</v>
      </c>
      <c r="S66" s="181">
        <f t="shared" si="10"/>
        <v>1</v>
      </c>
      <c r="T66" s="181">
        <f t="shared" si="11"/>
        <v>2.02</v>
      </c>
      <c r="U66" s="186">
        <f t="shared" si="12"/>
        <v>117.338669</v>
      </c>
      <c r="V66" s="187">
        <f t="shared" ref="V66:W66" si="61">C66/100</f>
        <v>0.97</v>
      </c>
      <c r="W66" s="187">
        <f t="shared" si="61"/>
        <v>2.03</v>
      </c>
      <c r="X66" s="187">
        <f t="shared" si="14"/>
        <v>2.02</v>
      </c>
      <c r="Y66" s="189">
        <f t="shared" si="15"/>
        <v>3.977582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7.0" customHeight="1">
      <c r="A67" s="181">
        <v>46.0</v>
      </c>
      <c r="B67" s="275" t="s">
        <v>66</v>
      </c>
      <c r="C67" s="275">
        <v>100.0</v>
      </c>
      <c r="D67" s="275">
        <v>203.0</v>
      </c>
      <c r="E67" s="275">
        <v>150.0</v>
      </c>
      <c r="F67" s="275">
        <f t="shared" si="5"/>
        <v>0.5</v>
      </c>
      <c r="G67" s="275">
        <f t="shared" si="6"/>
        <v>89.8275</v>
      </c>
      <c r="H67" s="276">
        <f t="shared" si="7"/>
        <v>44.91375</v>
      </c>
      <c r="I67" s="275">
        <v>1.0</v>
      </c>
      <c r="J67" s="194">
        <f t="shared" si="8"/>
        <v>44.91375</v>
      </c>
      <c r="K67" s="139"/>
      <c r="L67" s="197"/>
      <c r="M67" s="198"/>
      <c r="N67" s="198"/>
      <c r="O67" s="139"/>
      <c r="P67" s="139"/>
      <c r="Q67" s="141">
        <v>29.5</v>
      </c>
      <c r="R67" s="187">
        <f t="shared" si="9"/>
        <v>1.5</v>
      </c>
      <c r="S67" s="181">
        <f t="shared" si="10"/>
        <v>1</v>
      </c>
      <c r="T67" s="181">
        <f t="shared" si="11"/>
        <v>1.5</v>
      </c>
      <c r="U67" s="186">
        <f t="shared" si="12"/>
        <v>89.8275</v>
      </c>
      <c r="V67" s="187">
        <f t="shared" ref="V67:W67" si="62">C67/100</f>
        <v>1</v>
      </c>
      <c r="W67" s="187">
        <f t="shared" si="62"/>
        <v>2.03</v>
      </c>
      <c r="X67" s="187">
        <f t="shared" si="14"/>
        <v>1.5</v>
      </c>
      <c r="Y67" s="189">
        <f t="shared" si="15"/>
        <v>3.045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7.0" customHeight="1">
      <c r="A68" s="181">
        <v>47.0</v>
      </c>
      <c r="B68" s="182" t="s">
        <v>64</v>
      </c>
      <c r="C68" s="191">
        <v>95.0</v>
      </c>
      <c r="D68" s="191">
        <v>203.0</v>
      </c>
      <c r="E68" s="191">
        <v>232.0</v>
      </c>
      <c r="F68" s="191">
        <f t="shared" si="5"/>
        <v>0.8</v>
      </c>
      <c r="G68" s="191">
        <f t="shared" si="6"/>
        <v>131.98654</v>
      </c>
      <c r="H68" s="192">
        <f t="shared" si="7"/>
        <v>105.589232</v>
      </c>
      <c r="I68" s="218">
        <v>6.0</v>
      </c>
      <c r="J68" s="194">
        <f t="shared" si="8"/>
        <v>633.535392</v>
      </c>
      <c r="K68" s="139"/>
      <c r="L68" s="197"/>
      <c r="M68" s="198"/>
      <c r="N68" s="198"/>
      <c r="O68" s="139"/>
      <c r="P68" s="139"/>
      <c r="Q68" s="141">
        <v>29.5</v>
      </c>
      <c r="R68" s="187">
        <f t="shared" si="9"/>
        <v>2.32</v>
      </c>
      <c r="S68" s="181">
        <f t="shared" si="10"/>
        <v>6</v>
      </c>
      <c r="T68" s="181">
        <f t="shared" si="11"/>
        <v>13.92</v>
      </c>
      <c r="U68" s="186">
        <f t="shared" si="12"/>
        <v>131.98654</v>
      </c>
      <c r="V68" s="187">
        <f t="shared" ref="V68:W68" si="63">C68/100</f>
        <v>0.95</v>
      </c>
      <c r="W68" s="187">
        <f t="shared" si="63"/>
        <v>2.03</v>
      </c>
      <c r="X68" s="187">
        <f t="shared" si="14"/>
        <v>13.92</v>
      </c>
      <c r="Y68" s="189">
        <f t="shared" si="15"/>
        <v>26.84472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81">
        <v>48.0</v>
      </c>
      <c r="B69" s="191" t="s">
        <v>55</v>
      </c>
      <c r="C69" s="191">
        <v>94.0</v>
      </c>
      <c r="D69" s="191">
        <v>203.0</v>
      </c>
      <c r="E69" s="191">
        <v>200.0</v>
      </c>
      <c r="F69" s="191">
        <f t="shared" si="5"/>
        <v>0</v>
      </c>
      <c r="G69" s="191">
        <f t="shared" si="6"/>
        <v>112.5838</v>
      </c>
      <c r="H69" s="192">
        <f t="shared" si="7"/>
        <v>112.5838</v>
      </c>
      <c r="I69" s="218">
        <v>9.0</v>
      </c>
      <c r="J69" s="194">
        <f t="shared" si="8"/>
        <v>1013.2542</v>
      </c>
      <c r="K69" s="139"/>
      <c r="L69" s="197"/>
      <c r="M69" s="198"/>
      <c r="N69" s="198"/>
      <c r="O69" s="139"/>
      <c r="P69" s="139"/>
      <c r="Q69" s="141">
        <v>29.5</v>
      </c>
      <c r="R69" s="187">
        <f t="shared" si="9"/>
        <v>2</v>
      </c>
      <c r="S69" s="181">
        <f t="shared" si="10"/>
        <v>9</v>
      </c>
      <c r="T69" s="181">
        <f t="shared" si="11"/>
        <v>18</v>
      </c>
      <c r="U69" s="186">
        <f t="shared" si="12"/>
        <v>112.5838</v>
      </c>
      <c r="V69" s="187">
        <f t="shared" ref="V69:W69" si="64">C69/100</f>
        <v>0.94</v>
      </c>
      <c r="W69" s="187">
        <f t="shared" si="64"/>
        <v>2.03</v>
      </c>
      <c r="X69" s="187">
        <f t="shared" si="14"/>
        <v>18</v>
      </c>
      <c r="Y69" s="189">
        <f t="shared" si="15"/>
        <v>34.3476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81">
        <v>49.0</v>
      </c>
      <c r="B70" s="191" t="s">
        <v>55</v>
      </c>
      <c r="C70" s="191">
        <v>95.0</v>
      </c>
      <c r="D70" s="191">
        <v>203.0</v>
      </c>
      <c r="E70" s="191">
        <v>231.0</v>
      </c>
      <c r="F70" s="191">
        <f t="shared" si="5"/>
        <v>0</v>
      </c>
      <c r="G70" s="191">
        <f t="shared" si="6"/>
        <v>131.4176325</v>
      </c>
      <c r="H70" s="192">
        <f t="shared" si="7"/>
        <v>131.4176325</v>
      </c>
      <c r="I70" s="218">
        <v>6.0</v>
      </c>
      <c r="J70" s="194">
        <f t="shared" si="8"/>
        <v>788.505795</v>
      </c>
      <c r="K70" s="139"/>
      <c r="L70" s="197"/>
      <c r="M70" s="198"/>
      <c r="N70" s="198"/>
      <c r="O70" s="139"/>
      <c r="P70" s="139"/>
      <c r="Q70" s="141">
        <v>29.5</v>
      </c>
      <c r="R70" s="187">
        <f t="shared" si="9"/>
        <v>2.31</v>
      </c>
      <c r="S70" s="181">
        <f t="shared" si="10"/>
        <v>6</v>
      </c>
      <c r="T70" s="181">
        <f t="shared" si="11"/>
        <v>13.86</v>
      </c>
      <c r="U70" s="186">
        <f t="shared" si="12"/>
        <v>131.4176325</v>
      </c>
      <c r="V70" s="187">
        <f t="shared" ref="V70:W70" si="65">C70/100</f>
        <v>0.95</v>
      </c>
      <c r="W70" s="187">
        <f t="shared" si="65"/>
        <v>2.03</v>
      </c>
      <c r="X70" s="187">
        <f t="shared" si="14"/>
        <v>13.86</v>
      </c>
      <c r="Y70" s="189">
        <f t="shared" si="15"/>
        <v>26.72901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81">
        <v>50.0</v>
      </c>
      <c r="B71" s="191" t="s">
        <v>55</v>
      </c>
      <c r="C71" s="191">
        <v>93.0</v>
      </c>
      <c r="D71" s="191">
        <v>203.0</v>
      </c>
      <c r="E71" s="191">
        <v>202.0</v>
      </c>
      <c r="F71" s="191">
        <f t="shared" si="5"/>
        <v>0</v>
      </c>
      <c r="G71" s="191">
        <f t="shared" si="6"/>
        <v>112.499961</v>
      </c>
      <c r="H71" s="192">
        <f t="shared" si="7"/>
        <v>112.499961</v>
      </c>
      <c r="I71" s="218">
        <v>4.0</v>
      </c>
      <c r="J71" s="194">
        <f t="shared" si="8"/>
        <v>449.999844</v>
      </c>
      <c r="K71" s="139"/>
      <c r="L71" s="197"/>
      <c r="M71" s="198"/>
      <c r="N71" s="198"/>
      <c r="O71" s="139"/>
      <c r="P71" s="139"/>
      <c r="Q71" s="141">
        <v>29.5</v>
      </c>
      <c r="R71" s="187">
        <f t="shared" si="9"/>
        <v>2.02</v>
      </c>
      <c r="S71" s="181">
        <f t="shared" si="10"/>
        <v>4</v>
      </c>
      <c r="T71" s="181">
        <f t="shared" si="11"/>
        <v>8.08</v>
      </c>
      <c r="U71" s="186">
        <f t="shared" si="12"/>
        <v>112.499961</v>
      </c>
      <c r="V71" s="187">
        <f t="shared" ref="V71:W71" si="66">C71/100</f>
        <v>0.93</v>
      </c>
      <c r="W71" s="187">
        <f t="shared" si="66"/>
        <v>2.03</v>
      </c>
      <c r="X71" s="187">
        <f t="shared" si="14"/>
        <v>8.08</v>
      </c>
      <c r="Y71" s="189">
        <f t="shared" si="15"/>
        <v>15.254232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81">
        <v>51.0</v>
      </c>
      <c r="B72" s="191" t="s">
        <v>55</v>
      </c>
      <c r="C72" s="191">
        <v>66.0</v>
      </c>
      <c r="D72" s="191">
        <v>203.0</v>
      </c>
      <c r="E72" s="191">
        <v>265.0</v>
      </c>
      <c r="F72" s="191">
        <f t="shared" si="5"/>
        <v>0</v>
      </c>
      <c r="G72" s="191">
        <f t="shared" si="6"/>
        <v>104.738865</v>
      </c>
      <c r="H72" s="192">
        <f t="shared" si="7"/>
        <v>104.738865</v>
      </c>
      <c r="I72" s="218">
        <v>1.0</v>
      </c>
      <c r="J72" s="194">
        <f t="shared" si="8"/>
        <v>104.738865</v>
      </c>
      <c r="K72" s="139"/>
      <c r="L72" s="197"/>
      <c r="M72" s="198"/>
      <c r="N72" s="198"/>
      <c r="O72" s="139"/>
      <c r="P72" s="139"/>
      <c r="Q72" s="141">
        <v>29.5</v>
      </c>
      <c r="R72" s="187">
        <f t="shared" si="9"/>
        <v>2.65</v>
      </c>
      <c r="S72" s="181">
        <f t="shared" si="10"/>
        <v>1</v>
      </c>
      <c r="T72" s="181">
        <f t="shared" si="11"/>
        <v>2.65</v>
      </c>
      <c r="U72" s="186">
        <f t="shared" si="12"/>
        <v>104.738865</v>
      </c>
      <c r="V72" s="187">
        <f t="shared" ref="V72:W72" si="67">C72/100</f>
        <v>0.66</v>
      </c>
      <c r="W72" s="187">
        <f t="shared" si="67"/>
        <v>2.03</v>
      </c>
      <c r="X72" s="187">
        <f t="shared" si="14"/>
        <v>2.65</v>
      </c>
      <c r="Y72" s="189">
        <f t="shared" si="15"/>
        <v>3.55047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81">
        <v>52.0</v>
      </c>
      <c r="B73" s="191" t="s">
        <v>55</v>
      </c>
      <c r="C73" s="191">
        <v>96.0</v>
      </c>
      <c r="D73" s="191">
        <v>203.0</v>
      </c>
      <c r="E73" s="191">
        <v>232.0</v>
      </c>
      <c r="F73" s="191">
        <f t="shared" si="5"/>
        <v>0</v>
      </c>
      <c r="G73" s="191">
        <f t="shared" si="6"/>
        <v>133.375872</v>
      </c>
      <c r="H73" s="192">
        <f t="shared" si="7"/>
        <v>133.375872</v>
      </c>
      <c r="I73" s="218">
        <v>3.0</v>
      </c>
      <c r="J73" s="194">
        <f t="shared" si="8"/>
        <v>400.127616</v>
      </c>
      <c r="K73" s="139"/>
      <c r="L73" s="197"/>
      <c r="M73" s="198"/>
      <c r="N73" s="198"/>
      <c r="O73" s="139"/>
      <c r="P73" s="139"/>
      <c r="Q73" s="141">
        <v>29.5</v>
      </c>
      <c r="R73" s="187">
        <f t="shared" si="9"/>
        <v>2.32</v>
      </c>
      <c r="S73" s="181">
        <f t="shared" si="10"/>
        <v>3</v>
      </c>
      <c r="T73" s="181">
        <f t="shared" si="11"/>
        <v>6.96</v>
      </c>
      <c r="U73" s="186">
        <f t="shared" si="12"/>
        <v>133.375872</v>
      </c>
      <c r="V73" s="187">
        <f t="shared" ref="V73:W73" si="68">C73/100</f>
        <v>0.96</v>
      </c>
      <c r="W73" s="187">
        <f t="shared" si="68"/>
        <v>2.03</v>
      </c>
      <c r="X73" s="187">
        <f t="shared" si="14"/>
        <v>6.96</v>
      </c>
      <c r="Y73" s="189">
        <f t="shared" si="15"/>
        <v>13.563648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7.0" customHeight="1">
      <c r="A74" s="181">
        <v>53.0</v>
      </c>
      <c r="B74" s="191" t="s">
        <v>55</v>
      </c>
      <c r="C74" s="191">
        <v>94.0</v>
      </c>
      <c r="D74" s="191">
        <v>203.0</v>
      </c>
      <c r="E74" s="191">
        <v>202.0</v>
      </c>
      <c r="F74" s="191">
        <f t="shared" si="5"/>
        <v>0</v>
      </c>
      <c r="G74" s="191">
        <f t="shared" si="6"/>
        <v>113.709638</v>
      </c>
      <c r="H74" s="192">
        <f t="shared" si="7"/>
        <v>113.709638</v>
      </c>
      <c r="I74" s="218">
        <v>3.0</v>
      </c>
      <c r="J74" s="194">
        <f t="shared" si="8"/>
        <v>341.128914</v>
      </c>
      <c r="K74" s="139"/>
      <c r="L74" s="197"/>
      <c r="M74" s="198"/>
      <c r="N74" s="198"/>
      <c r="O74" s="139"/>
      <c r="P74" s="139"/>
      <c r="Q74" s="141">
        <v>29.5</v>
      </c>
      <c r="R74" s="187">
        <f t="shared" si="9"/>
        <v>2.02</v>
      </c>
      <c r="S74" s="181">
        <f t="shared" si="10"/>
        <v>3</v>
      </c>
      <c r="T74" s="181">
        <f t="shared" si="11"/>
        <v>6.06</v>
      </c>
      <c r="U74" s="186">
        <f t="shared" si="12"/>
        <v>113.709638</v>
      </c>
      <c r="V74" s="187">
        <f t="shared" ref="V74:W74" si="69">C74/100</f>
        <v>0.94</v>
      </c>
      <c r="W74" s="187">
        <f t="shared" si="69"/>
        <v>2.03</v>
      </c>
      <c r="X74" s="187">
        <f t="shared" si="14"/>
        <v>6.06</v>
      </c>
      <c r="Y74" s="189">
        <f t="shared" si="15"/>
        <v>11.563692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27.0" customHeight="1">
      <c r="A75" s="181">
        <v>54.0</v>
      </c>
      <c r="B75" s="191" t="s">
        <v>55</v>
      </c>
      <c r="C75" s="191">
        <v>92.0</v>
      </c>
      <c r="D75" s="191">
        <v>203.0</v>
      </c>
      <c r="E75" s="191">
        <v>202.0</v>
      </c>
      <c r="F75" s="191">
        <f t="shared" si="5"/>
        <v>0</v>
      </c>
      <c r="G75" s="191">
        <f t="shared" si="6"/>
        <v>111.290284</v>
      </c>
      <c r="H75" s="192">
        <f t="shared" si="7"/>
        <v>111.290284</v>
      </c>
      <c r="I75" s="218">
        <v>4.0</v>
      </c>
      <c r="J75" s="194">
        <f t="shared" si="8"/>
        <v>445.161136</v>
      </c>
      <c r="K75" s="139"/>
      <c r="L75" s="197"/>
      <c r="M75" s="198"/>
      <c r="N75" s="198"/>
      <c r="O75" s="139"/>
      <c r="P75" s="139"/>
      <c r="Q75" s="141">
        <v>29.5</v>
      </c>
      <c r="R75" s="187">
        <f t="shared" si="9"/>
        <v>2.02</v>
      </c>
      <c r="S75" s="181">
        <f t="shared" si="10"/>
        <v>4</v>
      </c>
      <c r="T75" s="181">
        <f t="shared" si="11"/>
        <v>8.08</v>
      </c>
      <c r="U75" s="186">
        <f t="shared" si="12"/>
        <v>111.290284</v>
      </c>
      <c r="V75" s="187">
        <f t="shared" ref="V75:W75" si="70">C75/100</f>
        <v>0.92</v>
      </c>
      <c r="W75" s="187">
        <f t="shared" si="70"/>
        <v>2.03</v>
      </c>
      <c r="X75" s="187">
        <f t="shared" si="14"/>
        <v>8.08</v>
      </c>
      <c r="Y75" s="189">
        <f t="shared" si="15"/>
        <v>15.090208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27.0" customHeight="1">
      <c r="A76" s="181">
        <v>55.0</v>
      </c>
      <c r="B76" s="191" t="s">
        <v>55</v>
      </c>
      <c r="C76" s="191">
        <v>93.0</v>
      </c>
      <c r="D76" s="191">
        <v>203.0</v>
      </c>
      <c r="E76" s="191">
        <v>201.0</v>
      </c>
      <c r="F76" s="191">
        <f t="shared" si="5"/>
        <v>0</v>
      </c>
      <c r="G76" s="191">
        <f t="shared" si="6"/>
        <v>111.9430305</v>
      </c>
      <c r="H76" s="192">
        <f t="shared" si="7"/>
        <v>111.9430305</v>
      </c>
      <c r="I76" s="218">
        <v>7.0</v>
      </c>
      <c r="J76" s="194">
        <f t="shared" si="8"/>
        <v>783.6012135</v>
      </c>
      <c r="K76" s="139"/>
      <c r="L76" s="197"/>
      <c r="M76" s="198"/>
      <c r="N76" s="198"/>
      <c r="O76" s="139"/>
      <c r="P76" s="139"/>
      <c r="Q76" s="141">
        <v>29.5</v>
      </c>
      <c r="R76" s="187">
        <f t="shared" si="9"/>
        <v>2.01</v>
      </c>
      <c r="S76" s="181">
        <f t="shared" si="10"/>
        <v>7</v>
      </c>
      <c r="T76" s="181">
        <f t="shared" si="11"/>
        <v>14.07</v>
      </c>
      <c r="U76" s="186">
        <f t="shared" si="12"/>
        <v>111.9430305</v>
      </c>
      <c r="V76" s="187">
        <f t="shared" ref="V76:W76" si="71">C76/100</f>
        <v>0.93</v>
      </c>
      <c r="W76" s="187">
        <f t="shared" si="71"/>
        <v>2.03</v>
      </c>
      <c r="X76" s="187">
        <f t="shared" si="14"/>
        <v>14.07</v>
      </c>
      <c r="Y76" s="189">
        <f t="shared" si="15"/>
        <v>26.562753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27.0" customHeight="1">
      <c r="A77" s="181">
        <v>56.0</v>
      </c>
      <c r="B77" s="191" t="s">
        <v>55</v>
      </c>
      <c r="C77" s="191">
        <v>94.0</v>
      </c>
      <c r="D77" s="191">
        <v>203.0</v>
      </c>
      <c r="E77" s="191">
        <v>231.0</v>
      </c>
      <c r="F77" s="191">
        <f t="shared" si="5"/>
        <v>0</v>
      </c>
      <c r="G77" s="191">
        <f t="shared" si="6"/>
        <v>130.034289</v>
      </c>
      <c r="H77" s="192">
        <f t="shared" si="7"/>
        <v>130.034289</v>
      </c>
      <c r="I77" s="218">
        <v>2.0</v>
      </c>
      <c r="J77" s="194">
        <f t="shared" si="8"/>
        <v>260.068578</v>
      </c>
      <c r="K77" s="139"/>
      <c r="L77" s="197"/>
      <c r="M77" s="198"/>
      <c r="N77" s="198"/>
      <c r="O77" s="139"/>
      <c r="P77" s="139"/>
      <c r="Q77" s="141">
        <v>29.5</v>
      </c>
      <c r="R77" s="187">
        <f t="shared" si="9"/>
        <v>2.31</v>
      </c>
      <c r="S77" s="181">
        <f t="shared" si="10"/>
        <v>2</v>
      </c>
      <c r="T77" s="181">
        <f t="shared" si="11"/>
        <v>4.62</v>
      </c>
      <c r="U77" s="186">
        <f t="shared" si="12"/>
        <v>130.034289</v>
      </c>
      <c r="V77" s="187">
        <f t="shared" ref="V77:W77" si="72">C77/100</f>
        <v>0.94</v>
      </c>
      <c r="W77" s="187">
        <f t="shared" si="72"/>
        <v>2.03</v>
      </c>
      <c r="X77" s="187">
        <f t="shared" si="14"/>
        <v>4.62</v>
      </c>
      <c r="Y77" s="189">
        <f t="shared" si="15"/>
        <v>8.815884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27.0" customHeight="1">
      <c r="A78" s="181">
        <v>57.0</v>
      </c>
      <c r="B78" s="191" t="s">
        <v>55</v>
      </c>
      <c r="C78" s="191">
        <v>92.0</v>
      </c>
      <c r="D78" s="191">
        <v>203.0</v>
      </c>
      <c r="E78" s="191">
        <v>200.0</v>
      </c>
      <c r="F78" s="191">
        <f t="shared" si="5"/>
        <v>0</v>
      </c>
      <c r="G78" s="191">
        <f t="shared" si="6"/>
        <v>110.1884</v>
      </c>
      <c r="H78" s="192">
        <f t="shared" si="7"/>
        <v>110.1884</v>
      </c>
      <c r="I78" s="218">
        <v>2.0</v>
      </c>
      <c r="J78" s="194">
        <f t="shared" si="8"/>
        <v>220.3768</v>
      </c>
      <c r="K78" s="139"/>
      <c r="L78" s="197"/>
      <c r="M78" s="198"/>
      <c r="N78" s="198"/>
      <c r="O78" s="139"/>
      <c r="P78" s="139"/>
      <c r="Q78" s="141">
        <v>29.5</v>
      </c>
      <c r="R78" s="187">
        <f t="shared" si="9"/>
        <v>2</v>
      </c>
      <c r="S78" s="181">
        <f t="shared" si="10"/>
        <v>2</v>
      </c>
      <c r="T78" s="181">
        <f t="shared" si="11"/>
        <v>4</v>
      </c>
      <c r="U78" s="186">
        <f t="shared" si="12"/>
        <v>110.1884</v>
      </c>
      <c r="V78" s="187">
        <f t="shared" ref="V78:W78" si="73">C78/100</f>
        <v>0.92</v>
      </c>
      <c r="W78" s="187">
        <f t="shared" si="73"/>
        <v>2.03</v>
      </c>
      <c r="X78" s="187">
        <f t="shared" si="14"/>
        <v>4</v>
      </c>
      <c r="Y78" s="189">
        <f t="shared" si="15"/>
        <v>7.4704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7.0" customHeight="1">
      <c r="A79" s="181">
        <v>58.0</v>
      </c>
      <c r="B79" s="191" t="s">
        <v>55</v>
      </c>
      <c r="C79" s="191">
        <v>93.0</v>
      </c>
      <c r="D79" s="191">
        <v>203.0</v>
      </c>
      <c r="E79" s="191">
        <v>200.0</v>
      </c>
      <c r="F79" s="191">
        <f t="shared" si="5"/>
        <v>0</v>
      </c>
      <c r="G79" s="191">
        <f t="shared" si="6"/>
        <v>111.3861</v>
      </c>
      <c r="H79" s="192">
        <f t="shared" si="7"/>
        <v>111.3861</v>
      </c>
      <c r="I79" s="218">
        <v>19.0</v>
      </c>
      <c r="J79" s="194">
        <f t="shared" si="8"/>
        <v>2116.3359</v>
      </c>
      <c r="K79" s="139"/>
      <c r="L79" s="197"/>
      <c r="M79" s="198"/>
      <c r="N79" s="198"/>
      <c r="O79" s="139"/>
      <c r="P79" s="139"/>
      <c r="Q79" s="141">
        <v>29.5</v>
      </c>
      <c r="R79" s="187">
        <f t="shared" si="9"/>
        <v>2</v>
      </c>
      <c r="S79" s="181">
        <f t="shared" si="10"/>
        <v>19</v>
      </c>
      <c r="T79" s="181">
        <f t="shared" si="11"/>
        <v>38</v>
      </c>
      <c r="U79" s="186">
        <f t="shared" si="12"/>
        <v>111.3861</v>
      </c>
      <c r="V79" s="187">
        <f t="shared" ref="V79:W79" si="74">C79/100</f>
        <v>0.93</v>
      </c>
      <c r="W79" s="187">
        <f t="shared" si="74"/>
        <v>2.03</v>
      </c>
      <c r="X79" s="187">
        <f t="shared" si="14"/>
        <v>38</v>
      </c>
      <c r="Y79" s="189">
        <f t="shared" si="15"/>
        <v>71.7402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7.0" customHeight="1">
      <c r="A80" s="181">
        <v>59.0</v>
      </c>
      <c r="B80" s="191" t="s">
        <v>55</v>
      </c>
      <c r="C80" s="191">
        <v>96.0</v>
      </c>
      <c r="D80" s="191">
        <v>203.0</v>
      </c>
      <c r="E80" s="191">
        <v>232.0</v>
      </c>
      <c r="F80" s="191">
        <f t="shared" si="5"/>
        <v>0</v>
      </c>
      <c r="G80" s="191">
        <f t="shared" si="6"/>
        <v>133.375872</v>
      </c>
      <c r="H80" s="192">
        <f t="shared" si="7"/>
        <v>133.375872</v>
      </c>
      <c r="I80" s="218">
        <v>4.0</v>
      </c>
      <c r="J80" s="194">
        <f t="shared" si="8"/>
        <v>533.503488</v>
      </c>
      <c r="K80" s="139"/>
      <c r="L80" s="197"/>
      <c r="M80" s="198"/>
      <c r="N80" s="198"/>
      <c r="O80" s="139"/>
      <c r="P80" s="139"/>
      <c r="Q80" s="141">
        <v>29.5</v>
      </c>
      <c r="R80" s="187">
        <f t="shared" si="9"/>
        <v>2.32</v>
      </c>
      <c r="S80" s="181">
        <f t="shared" si="10"/>
        <v>4</v>
      </c>
      <c r="T80" s="181">
        <f t="shared" si="11"/>
        <v>9.28</v>
      </c>
      <c r="U80" s="186">
        <f t="shared" si="12"/>
        <v>133.375872</v>
      </c>
      <c r="V80" s="187">
        <f t="shared" ref="V80:W80" si="75">C80/100</f>
        <v>0.96</v>
      </c>
      <c r="W80" s="187">
        <f t="shared" si="75"/>
        <v>2.03</v>
      </c>
      <c r="X80" s="187">
        <f t="shared" si="14"/>
        <v>9.28</v>
      </c>
      <c r="Y80" s="189">
        <f t="shared" si="15"/>
        <v>18.084864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7.0" customHeight="1">
      <c r="A81" s="181">
        <v>60.0</v>
      </c>
      <c r="B81" s="191" t="s">
        <v>55</v>
      </c>
      <c r="C81" s="191">
        <v>92.0</v>
      </c>
      <c r="D81" s="191">
        <v>203.0</v>
      </c>
      <c r="E81" s="191">
        <v>201.0</v>
      </c>
      <c r="F81" s="191">
        <f t="shared" si="5"/>
        <v>0</v>
      </c>
      <c r="G81" s="191">
        <f t="shared" si="6"/>
        <v>110.739342</v>
      </c>
      <c r="H81" s="192">
        <f t="shared" si="7"/>
        <v>110.739342</v>
      </c>
      <c r="I81" s="218">
        <v>4.0</v>
      </c>
      <c r="J81" s="194">
        <f t="shared" si="8"/>
        <v>442.957368</v>
      </c>
      <c r="K81" s="139"/>
      <c r="L81" s="197"/>
      <c r="M81" s="198"/>
      <c r="N81" s="198"/>
      <c r="O81" s="139"/>
      <c r="P81" s="139"/>
      <c r="Q81" s="141">
        <v>29.5</v>
      </c>
      <c r="R81" s="187">
        <f t="shared" si="9"/>
        <v>2.01</v>
      </c>
      <c r="S81" s="181">
        <f t="shared" si="10"/>
        <v>4</v>
      </c>
      <c r="T81" s="181">
        <f t="shared" si="11"/>
        <v>8.04</v>
      </c>
      <c r="U81" s="186">
        <f t="shared" si="12"/>
        <v>110.739342</v>
      </c>
      <c r="V81" s="187">
        <f t="shared" ref="V81:W81" si="76">C81/100</f>
        <v>0.92</v>
      </c>
      <c r="W81" s="187">
        <f t="shared" si="76"/>
        <v>2.03</v>
      </c>
      <c r="X81" s="187">
        <f t="shared" si="14"/>
        <v>8.04</v>
      </c>
      <c r="Y81" s="189">
        <f t="shared" si="15"/>
        <v>15.015504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27.0" customHeight="1">
      <c r="A82" s="181">
        <v>61.0</v>
      </c>
      <c r="B82" s="191" t="s">
        <v>55</v>
      </c>
      <c r="C82" s="191">
        <v>96.0</v>
      </c>
      <c r="D82" s="191">
        <v>203.0</v>
      </c>
      <c r="E82" s="191">
        <v>230.0</v>
      </c>
      <c r="F82" s="191">
        <f t="shared" si="5"/>
        <v>0</v>
      </c>
      <c r="G82" s="191">
        <f t="shared" si="6"/>
        <v>132.22608</v>
      </c>
      <c r="H82" s="192">
        <f t="shared" si="7"/>
        <v>132.22608</v>
      </c>
      <c r="I82" s="218">
        <v>3.0</v>
      </c>
      <c r="J82" s="194">
        <f t="shared" si="8"/>
        <v>396.67824</v>
      </c>
      <c r="K82" s="139"/>
      <c r="L82" s="197"/>
      <c r="M82" s="198"/>
      <c r="N82" s="198"/>
      <c r="O82" s="139"/>
      <c r="P82" s="139"/>
      <c r="Q82" s="141">
        <v>29.5</v>
      </c>
      <c r="R82" s="187">
        <f t="shared" si="9"/>
        <v>2.3</v>
      </c>
      <c r="S82" s="181">
        <f t="shared" si="10"/>
        <v>3</v>
      </c>
      <c r="T82" s="181">
        <f t="shared" si="11"/>
        <v>6.9</v>
      </c>
      <c r="U82" s="186">
        <f t="shared" si="12"/>
        <v>132.22608</v>
      </c>
      <c r="V82" s="187">
        <f t="shared" ref="V82:W82" si="77">C82/100</f>
        <v>0.96</v>
      </c>
      <c r="W82" s="187">
        <f t="shared" si="77"/>
        <v>2.03</v>
      </c>
      <c r="X82" s="187">
        <f t="shared" si="14"/>
        <v>6.9</v>
      </c>
      <c r="Y82" s="189">
        <f t="shared" si="15"/>
        <v>13.44672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7.0" customHeight="1">
      <c r="A83" s="181">
        <v>62.0</v>
      </c>
      <c r="B83" s="191" t="s">
        <v>55</v>
      </c>
      <c r="C83" s="191">
        <v>96.0</v>
      </c>
      <c r="D83" s="191">
        <v>203.0</v>
      </c>
      <c r="E83" s="191">
        <v>231.0</v>
      </c>
      <c r="F83" s="191">
        <f t="shared" si="5"/>
        <v>0</v>
      </c>
      <c r="G83" s="191">
        <f t="shared" si="6"/>
        <v>132.800976</v>
      </c>
      <c r="H83" s="192">
        <f t="shared" si="7"/>
        <v>132.800976</v>
      </c>
      <c r="I83" s="218">
        <v>9.0</v>
      </c>
      <c r="J83" s="194">
        <f t="shared" si="8"/>
        <v>1195.208784</v>
      </c>
      <c r="K83" s="139"/>
      <c r="L83" s="197"/>
      <c r="M83" s="198"/>
      <c r="N83" s="198"/>
      <c r="O83" s="139"/>
      <c r="P83" s="139"/>
      <c r="Q83" s="141">
        <v>29.5</v>
      </c>
      <c r="R83" s="187">
        <f t="shared" si="9"/>
        <v>2.31</v>
      </c>
      <c r="S83" s="181">
        <f t="shared" si="10"/>
        <v>9</v>
      </c>
      <c r="T83" s="181">
        <f t="shared" si="11"/>
        <v>20.79</v>
      </c>
      <c r="U83" s="186">
        <f t="shared" si="12"/>
        <v>132.800976</v>
      </c>
      <c r="V83" s="187">
        <f t="shared" ref="V83:W83" si="78">C83/100</f>
        <v>0.96</v>
      </c>
      <c r="W83" s="187">
        <f t="shared" si="78"/>
        <v>2.03</v>
      </c>
      <c r="X83" s="187">
        <f t="shared" si="14"/>
        <v>20.79</v>
      </c>
      <c r="Y83" s="189">
        <f t="shared" si="15"/>
        <v>40.515552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7.0" customHeight="1">
      <c r="A84" s="181">
        <v>63.0</v>
      </c>
      <c r="B84" s="191" t="s">
        <v>55</v>
      </c>
      <c r="C84" s="191">
        <v>98.0</v>
      </c>
      <c r="D84" s="191">
        <v>203.0</v>
      </c>
      <c r="E84" s="191">
        <v>232.0</v>
      </c>
      <c r="F84" s="191">
        <f t="shared" si="5"/>
        <v>0</v>
      </c>
      <c r="G84" s="191">
        <f t="shared" si="6"/>
        <v>136.154536</v>
      </c>
      <c r="H84" s="192">
        <f t="shared" si="7"/>
        <v>136.154536</v>
      </c>
      <c r="I84" s="218">
        <v>18.0</v>
      </c>
      <c r="J84" s="194">
        <f t="shared" si="8"/>
        <v>2450.781648</v>
      </c>
      <c r="K84" s="139"/>
      <c r="L84" s="197"/>
      <c r="M84" s="198"/>
      <c r="N84" s="198"/>
      <c r="O84" s="139"/>
      <c r="P84" s="139"/>
      <c r="Q84" s="141">
        <v>29.5</v>
      </c>
      <c r="R84" s="187">
        <f t="shared" si="9"/>
        <v>2.32</v>
      </c>
      <c r="S84" s="181">
        <f t="shared" si="10"/>
        <v>18</v>
      </c>
      <c r="T84" s="181">
        <f t="shared" si="11"/>
        <v>41.76</v>
      </c>
      <c r="U84" s="186">
        <f t="shared" si="12"/>
        <v>136.154536</v>
      </c>
      <c r="V84" s="187">
        <f t="shared" ref="V84:W84" si="79">C84/100</f>
        <v>0.98</v>
      </c>
      <c r="W84" s="187">
        <f t="shared" si="79"/>
        <v>2.03</v>
      </c>
      <c r="X84" s="187">
        <f t="shared" si="14"/>
        <v>41.76</v>
      </c>
      <c r="Y84" s="189">
        <f t="shared" si="15"/>
        <v>83.077344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7.0" customHeight="1">
      <c r="A85" s="181">
        <v>64.0</v>
      </c>
      <c r="B85" s="191" t="s">
        <v>55</v>
      </c>
      <c r="C85" s="191">
        <v>97.0</v>
      </c>
      <c r="D85" s="191">
        <v>203.0</v>
      </c>
      <c r="E85" s="191">
        <v>232.0</v>
      </c>
      <c r="F85" s="191">
        <f t="shared" si="5"/>
        <v>0</v>
      </c>
      <c r="G85" s="191">
        <f t="shared" si="6"/>
        <v>134.765204</v>
      </c>
      <c r="H85" s="192">
        <f t="shared" si="7"/>
        <v>134.765204</v>
      </c>
      <c r="I85" s="218">
        <v>4.0</v>
      </c>
      <c r="J85" s="194">
        <f t="shared" si="8"/>
        <v>539.060816</v>
      </c>
      <c r="K85" s="139"/>
      <c r="L85" s="197"/>
      <c r="M85" s="198"/>
      <c r="N85" s="198"/>
      <c r="O85" s="139"/>
      <c r="P85" s="139"/>
      <c r="Q85" s="141">
        <v>29.5</v>
      </c>
      <c r="R85" s="187">
        <f t="shared" si="9"/>
        <v>2.32</v>
      </c>
      <c r="S85" s="181">
        <f t="shared" si="10"/>
        <v>4</v>
      </c>
      <c r="T85" s="181">
        <f t="shared" si="11"/>
        <v>9.28</v>
      </c>
      <c r="U85" s="186">
        <f t="shared" si="12"/>
        <v>134.765204</v>
      </c>
      <c r="V85" s="187">
        <f t="shared" ref="V85:W85" si="80">C85/100</f>
        <v>0.97</v>
      </c>
      <c r="W85" s="187">
        <f t="shared" si="80"/>
        <v>2.03</v>
      </c>
      <c r="X85" s="187">
        <f t="shared" si="14"/>
        <v>9.28</v>
      </c>
      <c r="Y85" s="189">
        <f t="shared" si="15"/>
        <v>18.273248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7.0" customHeight="1">
      <c r="A86" s="181">
        <v>65.0</v>
      </c>
      <c r="B86" s="191" t="s">
        <v>55</v>
      </c>
      <c r="C86" s="191">
        <v>95.0</v>
      </c>
      <c r="D86" s="191">
        <v>203.0</v>
      </c>
      <c r="E86" s="191">
        <v>230.0</v>
      </c>
      <c r="F86" s="191">
        <f t="shared" si="5"/>
        <v>0</v>
      </c>
      <c r="G86" s="191">
        <f t="shared" si="6"/>
        <v>130.848725</v>
      </c>
      <c r="H86" s="192">
        <f t="shared" si="7"/>
        <v>130.848725</v>
      </c>
      <c r="I86" s="218">
        <v>5.0</v>
      </c>
      <c r="J86" s="194">
        <f t="shared" si="8"/>
        <v>654.243625</v>
      </c>
      <c r="K86" s="139"/>
      <c r="L86" s="197"/>
      <c r="M86" s="198"/>
      <c r="N86" s="198"/>
      <c r="O86" s="139"/>
      <c r="P86" s="139"/>
      <c r="Q86" s="141">
        <v>29.5</v>
      </c>
      <c r="R86" s="187">
        <f t="shared" si="9"/>
        <v>2.3</v>
      </c>
      <c r="S86" s="181">
        <f t="shared" si="10"/>
        <v>5</v>
      </c>
      <c r="T86" s="181">
        <f t="shared" si="11"/>
        <v>11.5</v>
      </c>
      <c r="U86" s="186">
        <f t="shared" si="12"/>
        <v>130.848725</v>
      </c>
      <c r="V86" s="187">
        <f t="shared" ref="V86:W86" si="81">C86/100</f>
        <v>0.95</v>
      </c>
      <c r="W86" s="187">
        <f t="shared" si="81"/>
        <v>2.03</v>
      </c>
      <c r="X86" s="187">
        <f t="shared" si="14"/>
        <v>11.5</v>
      </c>
      <c r="Y86" s="189">
        <f t="shared" si="15"/>
        <v>22.17775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7.0" customHeight="1">
      <c r="A87" s="181">
        <v>66.0</v>
      </c>
      <c r="B87" s="191" t="s">
        <v>55</v>
      </c>
      <c r="C87" s="191">
        <v>97.0</v>
      </c>
      <c r="D87" s="191">
        <v>203.0</v>
      </c>
      <c r="E87" s="191">
        <v>231.0</v>
      </c>
      <c r="F87" s="191">
        <f t="shared" si="5"/>
        <v>0</v>
      </c>
      <c r="G87" s="191">
        <f t="shared" si="6"/>
        <v>134.1843195</v>
      </c>
      <c r="H87" s="192">
        <f t="shared" si="7"/>
        <v>134.1843195</v>
      </c>
      <c r="I87" s="218">
        <v>12.0</v>
      </c>
      <c r="J87" s="194">
        <f t="shared" si="8"/>
        <v>1610.211834</v>
      </c>
      <c r="K87" s="139"/>
      <c r="L87" s="197"/>
      <c r="M87" s="198"/>
      <c r="N87" s="198"/>
      <c r="O87" s="139"/>
      <c r="P87" s="139"/>
      <c r="Q87" s="141">
        <v>29.5</v>
      </c>
      <c r="R87" s="187">
        <f t="shared" si="9"/>
        <v>2.31</v>
      </c>
      <c r="S87" s="181">
        <f t="shared" si="10"/>
        <v>12</v>
      </c>
      <c r="T87" s="181">
        <f t="shared" si="11"/>
        <v>27.72</v>
      </c>
      <c r="U87" s="186">
        <f t="shared" si="12"/>
        <v>134.1843195</v>
      </c>
      <c r="V87" s="187">
        <f t="shared" ref="V87:W87" si="82">C87/100</f>
        <v>0.97</v>
      </c>
      <c r="W87" s="187">
        <f t="shared" si="82"/>
        <v>2.03</v>
      </c>
      <c r="X87" s="187">
        <f t="shared" si="14"/>
        <v>27.72</v>
      </c>
      <c r="Y87" s="189">
        <f t="shared" si="15"/>
        <v>54.583452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27.0" customHeight="1">
      <c r="A88" s="181">
        <v>67.0</v>
      </c>
      <c r="B88" s="191" t="s">
        <v>55</v>
      </c>
      <c r="C88" s="191">
        <v>97.0</v>
      </c>
      <c r="D88" s="191">
        <v>203.0</v>
      </c>
      <c r="E88" s="191">
        <v>230.0</v>
      </c>
      <c r="F88" s="191">
        <f t="shared" si="5"/>
        <v>0</v>
      </c>
      <c r="G88" s="191">
        <f t="shared" si="6"/>
        <v>133.603435</v>
      </c>
      <c r="H88" s="192">
        <f t="shared" si="7"/>
        <v>133.603435</v>
      </c>
      <c r="I88" s="218">
        <v>3.0</v>
      </c>
      <c r="J88" s="194">
        <f t="shared" si="8"/>
        <v>400.810305</v>
      </c>
      <c r="K88" s="139"/>
      <c r="L88" s="197"/>
      <c r="M88" s="198"/>
      <c r="N88" s="198"/>
      <c r="O88" s="139"/>
      <c r="P88" s="139"/>
      <c r="Q88" s="141">
        <v>29.5</v>
      </c>
      <c r="R88" s="187">
        <f t="shared" si="9"/>
        <v>2.3</v>
      </c>
      <c r="S88" s="181">
        <f t="shared" si="10"/>
        <v>3</v>
      </c>
      <c r="T88" s="181">
        <f t="shared" si="11"/>
        <v>6.9</v>
      </c>
      <c r="U88" s="186">
        <f t="shared" si="12"/>
        <v>133.603435</v>
      </c>
      <c r="V88" s="187">
        <f t="shared" ref="V88:W88" si="83">C88/100</f>
        <v>0.97</v>
      </c>
      <c r="W88" s="187">
        <f t="shared" si="83"/>
        <v>2.03</v>
      </c>
      <c r="X88" s="187">
        <f t="shared" si="14"/>
        <v>6.9</v>
      </c>
      <c r="Y88" s="189">
        <f t="shared" si="15"/>
        <v>13.58679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27.0" customHeight="1">
      <c r="A89" s="181">
        <v>68.0</v>
      </c>
      <c r="B89" s="191" t="s">
        <v>55</v>
      </c>
      <c r="C89" s="191">
        <v>98.0</v>
      </c>
      <c r="D89" s="191">
        <v>203.0</v>
      </c>
      <c r="E89" s="191">
        <v>230.0</v>
      </c>
      <c r="F89" s="191">
        <f t="shared" si="5"/>
        <v>0</v>
      </c>
      <c r="G89" s="191">
        <f t="shared" si="6"/>
        <v>134.98079</v>
      </c>
      <c r="H89" s="192">
        <f t="shared" si="7"/>
        <v>134.98079</v>
      </c>
      <c r="I89" s="218">
        <v>2.0</v>
      </c>
      <c r="J89" s="194">
        <f t="shared" si="8"/>
        <v>269.96158</v>
      </c>
      <c r="K89" s="139"/>
      <c r="L89" s="197"/>
      <c r="M89" s="198"/>
      <c r="N89" s="198"/>
      <c r="O89" s="139"/>
      <c r="P89" s="139"/>
      <c r="Q89" s="141">
        <v>29.5</v>
      </c>
      <c r="R89" s="187">
        <f t="shared" si="9"/>
        <v>2.3</v>
      </c>
      <c r="S89" s="181">
        <f t="shared" si="10"/>
        <v>2</v>
      </c>
      <c r="T89" s="181">
        <f t="shared" si="11"/>
        <v>4.6</v>
      </c>
      <c r="U89" s="186">
        <f t="shared" si="12"/>
        <v>134.98079</v>
      </c>
      <c r="V89" s="187">
        <f t="shared" ref="V89:W89" si="84">C89/100</f>
        <v>0.98</v>
      </c>
      <c r="W89" s="187">
        <f t="shared" si="84"/>
        <v>2.03</v>
      </c>
      <c r="X89" s="187">
        <f t="shared" si="14"/>
        <v>4.6</v>
      </c>
      <c r="Y89" s="189">
        <f t="shared" si="15"/>
        <v>9.15124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27.0" customHeight="1">
      <c r="A90" s="181">
        <v>69.0</v>
      </c>
      <c r="B90" s="191" t="s">
        <v>55</v>
      </c>
      <c r="C90" s="191">
        <v>99.0</v>
      </c>
      <c r="D90" s="191">
        <v>203.0</v>
      </c>
      <c r="E90" s="191">
        <v>232.0</v>
      </c>
      <c r="F90" s="191">
        <f t="shared" si="5"/>
        <v>0</v>
      </c>
      <c r="G90" s="191">
        <f t="shared" si="6"/>
        <v>137.543868</v>
      </c>
      <c r="H90" s="192">
        <f t="shared" si="7"/>
        <v>137.543868</v>
      </c>
      <c r="I90" s="218">
        <v>2.0</v>
      </c>
      <c r="J90" s="194">
        <f t="shared" si="8"/>
        <v>275.087736</v>
      </c>
      <c r="K90" s="139"/>
      <c r="L90" s="197"/>
      <c r="M90" s="198"/>
      <c r="N90" s="198"/>
      <c r="O90" s="139"/>
      <c r="P90" s="139"/>
      <c r="Q90" s="141">
        <v>29.5</v>
      </c>
      <c r="R90" s="187">
        <f t="shared" si="9"/>
        <v>2.32</v>
      </c>
      <c r="S90" s="181">
        <f t="shared" si="10"/>
        <v>2</v>
      </c>
      <c r="T90" s="181">
        <f t="shared" si="11"/>
        <v>4.64</v>
      </c>
      <c r="U90" s="186">
        <f t="shared" si="12"/>
        <v>137.543868</v>
      </c>
      <c r="V90" s="187">
        <f t="shared" ref="V90:W90" si="85">C90/100</f>
        <v>0.99</v>
      </c>
      <c r="W90" s="187">
        <f t="shared" si="85"/>
        <v>2.03</v>
      </c>
      <c r="X90" s="187">
        <f t="shared" si="14"/>
        <v>4.64</v>
      </c>
      <c r="Y90" s="189">
        <f t="shared" si="15"/>
        <v>9.325008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27.0" customHeight="1">
      <c r="A91" s="181">
        <v>70.0</v>
      </c>
      <c r="B91" s="191" t="s">
        <v>55</v>
      </c>
      <c r="C91" s="191">
        <v>98.0</v>
      </c>
      <c r="D91" s="191">
        <v>203.0</v>
      </c>
      <c r="E91" s="191">
        <v>231.0</v>
      </c>
      <c r="F91" s="191">
        <f t="shared" si="5"/>
        <v>0</v>
      </c>
      <c r="G91" s="191">
        <f t="shared" si="6"/>
        <v>135.567663</v>
      </c>
      <c r="H91" s="192">
        <f t="shared" si="7"/>
        <v>135.567663</v>
      </c>
      <c r="I91" s="218">
        <v>2.0</v>
      </c>
      <c r="J91" s="194">
        <f t="shared" si="8"/>
        <v>271.135326</v>
      </c>
      <c r="K91" s="139"/>
      <c r="L91" s="197"/>
      <c r="M91" s="198"/>
      <c r="N91" s="198"/>
      <c r="O91" s="139"/>
      <c r="P91" s="139"/>
      <c r="Q91" s="141">
        <v>29.5</v>
      </c>
      <c r="R91" s="187">
        <f t="shared" si="9"/>
        <v>2.31</v>
      </c>
      <c r="S91" s="181">
        <f t="shared" si="10"/>
        <v>2</v>
      </c>
      <c r="T91" s="181">
        <f t="shared" si="11"/>
        <v>4.62</v>
      </c>
      <c r="U91" s="186">
        <f t="shared" si="12"/>
        <v>135.567663</v>
      </c>
      <c r="V91" s="187">
        <f t="shared" ref="V91:W91" si="86">C91/100</f>
        <v>0.98</v>
      </c>
      <c r="W91" s="187">
        <f t="shared" si="86"/>
        <v>2.03</v>
      </c>
      <c r="X91" s="187">
        <f t="shared" si="14"/>
        <v>4.62</v>
      </c>
      <c r="Y91" s="189">
        <f t="shared" si="15"/>
        <v>9.191028</v>
      </c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ht="27.0" customHeight="1">
      <c r="A92" s="181">
        <v>71.0</v>
      </c>
      <c r="B92" s="191" t="s">
        <v>55</v>
      </c>
      <c r="C92" s="191">
        <v>95.0</v>
      </c>
      <c r="D92" s="191">
        <v>203.0</v>
      </c>
      <c r="E92" s="191">
        <v>200.0</v>
      </c>
      <c r="F92" s="191">
        <f t="shared" si="5"/>
        <v>0</v>
      </c>
      <c r="G92" s="191">
        <f t="shared" si="6"/>
        <v>113.7815</v>
      </c>
      <c r="H92" s="192">
        <f t="shared" si="7"/>
        <v>113.7815</v>
      </c>
      <c r="I92" s="218">
        <v>1.0</v>
      </c>
      <c r="J92" s="194">
        <f t="shared" si="8"/>
        <v>113.7815</v>
      </c>
      <c r="K92" s="139"/>
      <c r="L92" s="197"/>
      <c r="M92" s="198"/>
      <c r="N92" s="198"/>
      <c r="O92" s="139"/>
      <c r="P92" s="139"/>
      <c r="Q92" s="141">
        <v>29.5</v>
      </c>
      <c r="R92" s="187">
        <f t="shared" si="9"/>
        <v>2</v>
      </c>
      <c r="S92" s="181">
        <f t="shared" si="10"/>
        <v>1</v>
      </c>
      <c r="T92" s="181">
        <f t="shared" si="11"/>
        <v>2</v>
      </c>
      <c r="U92" s="186">
        <f t="shared" si="12"/>
        <v>113.7815</v>
      </c>
      <c r="V92" s="187">
        <f t="shared" ref="V92:W92" si="87">C92/100</f>
        <v>0.95</v>
      </c>
      <c r="W92" s="187">
        <f t="shared" si="87"/>
        <v>2.03</v>
      </c>
      <c r="X92" s="187">
        <f t="shared" si="14"/>
        <v>2</v>
      </c>
      <c r="Y92" s="189">
        <f t="shared" si="15"/>
        <v>3.857</v>
      </c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27.0" customHeight="1">
      <c r="A93" s="181">
        <v>72.0</v>
      </c>
      <c r="B93" s="191" t="s">
        <v>55</v>
      </c>
      <c r="C93" s="191">
        <v>95.0</v>
      </c>
      <c r="D93" s="191">
        <v>203.0</v>
      </c>
      <c r="E93" s="191">
        <v>202.0</v>
      </c>
      <c r="F93" s="191">
        <f t="shared" si="5"/>
        <v>0</v>
      </c>
      <c r="G93" s="191">
        <f t="shared" si="6"/>
        <v>114.919315</v>
      </c>
      <c r="H93" s="192">
        <f t="shared" si="7"/>
        <v>114.919315</v>
      </c>
      <c r="I93" s="218">
        <v>2.0</v>
      </c>
      <c r="J93" s="194">
        <f t="shared" si="8"/>
        <v>229.83863</v>
      </c>
      <c r="K93" s="139"/>
      <c r="L93" s="197"/>
      <c r="M93" s="198"/>
      <c r="N93" s="198"/>
      <c r="O93" s="139"/>
      <c r="P93" s="139"/>
      <c r="Q93" s="141">
        <v>29.5</v>
      </c>
      <c r="R93" s="187">
        <f t="shared" si="9"/>
        <v>2.02</v>
      </c>
      <c r="S93" s="181">
        <f t="shared" si="10"/>
        <v>2</v>
      </c>
      <c r="T93" s="181">
        <f t="shared" si="11"/>
        <v>4.04</v>
      </c>
      <c r="U93" s="186">
        <f t="shared" si="12"/>
        <v>114.919315</v>
      </c>
      <c r="V93" s="187">
        <f t="shared" ref="V93:W93" si="88">C93/100</f>
        <v>0.95</v>
      </c>
      <c r="W93" s="187">
        <f t="shared" si="88"/>
        <v>2.03</v>
      </c>
      <c r="X93" s="187">
        <f t="shared" si="14"/>
        <v>4.04</v>
      </c>
      <c r="Y93" s="189">
        <f t="shared" si="15"/>
        <v>7.79114</v>
      </c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27.0" customHeight="1">
      <c r="A94" s="181">
        <v>73.0</v>
      </c>
      <c r="B94" s="191" t="s">
        <v>55</v>
      </c>
      <c r="C94" s="191">
        <v>88.0</v>
      </c>
      <c r="D94" s="191">
        <v>203.0</v>
      </c>
      <c r="E94" s="191">
        <v>185.0</v>
      </c>
      <c r="F94" s="191">
        <f t="shared" si="5"/>
        <v>0</v>
      </c>
      <c r="G94" s="191">
        <f t="shared" si="6"/>
        <v>97.49278</v>
      </c>
      <c r="H94" s="192">
        <f t="shared" si="7"/>
        <v>97.49278</v>
      </c>
      <c r="I94" s="218">
        <v>1.0</v>
      </c>
      <c r="J94" s="194">
        <f t="shared" si="8"/>
        <v>97.49278</v>
      </c>
      <c r="K94" s="139"/>
      <c r="L94" s="197"/>
      <c r="M94" s="198"/>
      <c r="N94" s="198"/>
      <c r="O94" s="139"/>
      <c r="P94" s="139"/>
      <c r="Q94" s="141">
        <v>29.5</v>
      </c>
      <c r="R94" s="187">
        <f t="shared" si="9"/>
        <v>1.85</v>
      </c>
      <c r="S94" s="181">
        <f t="shared" si="10"/>
        <v>1</v>
      </c>
      <c r="T94" s="181">
        <f t="shared" si="11"/>
        <v>1.85</v>
      </c>
      <c r="U94" s="186">
        <f t="shared" si="12"/>
        <v>97.49278</v>
      </c>
      <c r="V94" s="187">
        <f t="shared" ref="V94:W94" si="89">C94/100</f>
        <v>0.88</v>
      </c>
      <c r="W94" s="187">
        <f t="shared" si="89"/>
        <v>2.03</v>
      </c>
      <c r="X94" s="187">
        <f t="shared" si="14"/>
        <v>1.85</v>
      </c>
      <c r="Y94" s="189">
        <f t="shared" si="15"/>
        <v>3.30484</v>
      </c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27.0" customHeight="1">
      <c r="A95" s="181">
        <v>74.0</v>
      </c>
      <c r="B95" s="191" t="s">
        <v>55</v>
      </c>
      <c r="C95" s="191">
        <v>94.0</v>
      </c>
      <c r="D95" s="191">
        <v>203.0</v>
      </c>
      <c r="E95" s="191">
        <v>201.0</v>
      </c>
      <c r="F95" s="191">
        <f t="shared" si="5"/>
        <v>0</v>
      </c>
      <c r="G95" s="191">
        <f t="shared" si="6"/>
        <v>113.146719</v>
      </c>
      <c r="H95" s="192">
        <f t="shared" si="7"/>
        <v>113.146719</v>
      </c>
      <c r="I95" s="218">
        <v>1.0</v>
      </c>
      <c r="J95" s="194">
        <f t="shared" si="8"/>
        <v>113.146719</v>
      </c>
      <c r="K95" s="139"/>
      <c r="L95" s="197"/>
      <c r="M95" s="198"/>
      <c r="N95" s="198"/>
      <c r="O95" s="139"/>
      <c r="P95" s="139"/>
      <c r="Q95" s="141">
        <v>29.5</v>
      </c>
      <c r="R95" s="187">
        <f t="shared" si="9"/>
        <v>2.01</v>
      </c>
      <c r="S95" s="181">
        <f t="shared" si="10"/>
        <v>1</v>
      </c>
      <c r="T95" s="181">
        <f t="shared" si="11"/>
        <v>2.01</v>
      </c>
      <c r="U95" s="186">
        <f t="shared" si="12"/>
        <v>113.146719</v>
      </c>
      <c r="V95" s="187">
        <f t="shared" ref="V95:W95" si="90">C95/100</f>
        <v>0.94</v>
      </c>
      <c r="W95" s="187">
        <f t="shared" si="90"/>
        <v>2.03</v>
      </c>
      <c r="X95" s="187">
        <f t="shared" si="14"/>
        <v>2.01</v>
      </c>
      <c r="Y95" s="189">
        <f t="shared" si="15"/>
        <v>3.835482</v>
      </c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27.0" customHeight="1">
      <c r="A96" s="181">
        <v>75.0</v>
      </c>
      <c r="B96" s="182" t="s">
        <v>94</v>
      </c>
      <c r="C96" s="191">
        <v>99.0</v>
      </c>
      <c r="D96" s="191">
        <v>206.0</v>
      </c>
      <c r="E96" s="191">
        <v>210.0</v>
      </c>
      <c r="F96" s="191">
        <f t="shared" si="5"/>
        <v>0.8</v>
      </c>
      <c r="G96" s="191">
        <f t="shared" si="6"/>
        <v>126.34083</v>
      </c>
      <c r="H96" s="192">
        <f t="shared" si="7"/>
        <v>101.072664</v>
      </c>
      <c r="I96" s="191">
        <v>1.0</v>
      </c>
      <c r="J96" s="194">
        <f t="shared" si="8"/>
        <v>101.072664</v>
      </c>
      <c r="K96" s="139"/>
      <c r="L96" s="197"/>
      <c r="M96" s="198"/>
      <c r="N96" s="198"/>
      <c r="O96" s="139"/>
      <c r="P96" s="139"/>
      <c r="Q96" s="141">
        <v>29.5</v>
      </c>
      <c r="R96" s="187">
        <f t="shared" si="9"/>
        <v>2.1</v>
      </c>
      <c r="S96" s="181">
        <f t="shared" si="10"/>
        <v>1</v>
      </c>
      <c r="T96" s="181">
        <f t="shared" si="11"/>
        <v>2.1</v>
      </c>
      <c r="U96" s="186">
        <f t="shared" si="12"/>
        <v>126.34083</v>
      </c>
      <c r="V96" s="187">
        <f t="shared" ref="V96:W96" si="91">C96/100</f>
        <v>0.99</v>
      </c>
      <c r="W96" s="187">
        <f t="shared" si="91"/>
        <v>2.06</v>
      </c>
      <c r="X96" s="187">
        <f t="shared" si="14"/>
        <v>2.1</v>
      </c>
      <c r="Y96" s="189">
        <f t="shared" si="15"/>
        <v>4.28274</v>
      </c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27.0" customHeight="1">
      <c r="A97" s="181">
        <v>76.0</v>
      </c>
      <c r="B97" s="191" t="s">
        <v>95</v>
      </c>
      <c r="C97" s="191">
        <v>99.0</v>
      </c>
      <c r="D97" s="191">
        <v>206.0</v>
      </c>
      <c r="E97" s="191">
        <v>225.0</v>
      </c>
      <c r="F97" s="191">
        <f t="shared" si="5"/>
        <v>0</v>
      </c>
      <c r="G97" s="191">
        <f t="shared" si="6"/>
        <v>135.365175</v>
      </c>
      <c r="H97" s="192">
        <f t="shared" si="7"/>
        <v>135.365175</v>
      </c>
      <c r="I97" s="218">
        <v>1.0</v>
      </c>
      <c r="J97" s="194">
        <f t="shared" si="8"/>
        <v>135.365175</v>
      </c>
      <c r="K97" s="139"/>
      <c r="L97" s="197"/>
      <c r="M97" s="198"/>
      <c r="N97" s="198"/>
      <c r="O97" s="139"/>
      <c r="P97" s="139"/>
      <c r="Q97" s="141">
        <v>29.5</v>
      </c>
      <c r="R97" s="187">
        <f t="shared" si="9"/>
        <v>2.25</v>
      </c>
      <c r="S97" s="181">
        <f t="shared" si="10"/>
        <v>1</v>
      </c>
      <c r="T97" s="181">
        <f t="shared" si="11"/>
        <v>2.25</v>
      </c>
      <c r="U97" s="186">
        <f t="shared" si="12"/>
        <v>135.365175</v>
      </c>
      <c r="V97" s="187">
        <f t="shared" ref="V97:W97" si="92">C97/100</f>
        <v>0.99</v>
      </c>
      <c r="W97" s="187">
        <f t="shared" si="92"/>
        <v>2.06</v>
      </c>
      <c r="X97" s="187">
        <f t="shared" si="14"/>
        <v>2.25</v>
      </c>
      <c r="Y97" s="189">
        <f t="shared" si="15"/>
        <v>4.58865</v>
      </c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27.0" customHeight="1">
      <c r="A98" s="181">
        <v>77.0</v>
      </c>
      <c r="B98" s="191" t="s">
        <v>95</v>
      </c>
      <c r="C98" s="191">
        <v>96.0</v>
      </c>
      <c r="D98" s="191">
        <v>206.0</v>
      </c>
      <c r="E98" s="191">
        <v>220.0</v>
      </c>
      <c r="F98" s="191">
        <f t="shared" si="5"/>
        <v>0</v>
      </c>
      <c r="G98" s="191">
        <f t="shared" si="6"/>
        <v>128.34624</v>
      </c>
      <c r="H98" s="192">
        <f t="shared" si="7"/>
        <v>128.34624</v>
      </c>
      <c r="I98" s="218">
        <v>1.0</v>
      </c>
      <c r="J98" s="194">
        <f t="shared" si="8"/>
        <v>128.34624</v>
      </c>
      <c r="K98" s="139"/>
      <c r="L98" s="197"/>
      <c r="M98" s="198"/>
      <c r="N98" s="198"/>
      <c r="O98" s="139"/>
      <c r="P98" s="139"/>
      <c r="Q98" s="141">
        <v>29.5</v>
      </c>
      <c r="R98" s="187">
        <f t="shared" si="9"/>
        <v>2.2</v>
      </c>
      <c r="S98" s="181">
        <f t="shared" si="10"/>
        <v>1</v>
      </c>
      <c r="T98" s="181">
        <f t="shared" si="11"/>
        <v>2.2</v>
      </c>
      <c r="U98" s="186">
        <f t="shared" si="12"/>
        <v>128.34624</v>
      </c>
      <c r="V98" s="187">
        <f t="shared" ref="V98:W98" si="93">C98/100</f>
        <v>0.96</v>
      </c>
      <c r="W98" s="187">
        <f t="shared" si="93"/>
        <v>2.06</v>
      </c>
      <c r="X98" s="187">
        <f t="shared" si="14"/>
        <v>2.2</v>
      </c>
      <c r="Y98" s="189">
        <f t="shared" si="15"/>
        <v>4.35072</v>
      </c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27.0" customHeight="1">
      <c r="A99" s="181">
        <v>78.0</v>
      </c>
      <c r="B99" s="191" t="s">
        <v>95</v>
      </c>
      <c r="C99" s="191">
        <v>85.0</v>
      </c>
      <c r="D99" s="191">
        <v>206.0</v>
      </c>
      <c r="E99" s="191">
        <v>210.0</v>
      </c>
      <c r="F99" s="191">
        <f t="shared" si="5"/>
        <v>0</v>
      </c>
      <c r="G99" s="191">
        <f t="shared" si="6"/>
        <v>108.47445</v>
      </c>
      <c r="H99" s="192">
        <f t="shared" si="7"/>
        <v>108.47445</v>
      </c>
      <c r="I99" s="218">
        <v>1.0</v>
      </c>
      <c r="J99" s="194">
        <f t="shared" si="8"/>
        <v>108.47445</v>
      </c>
      <c r="K99" s="139"/>
      <c r="L99" s="197"/>
      <c r="M99" s="198"/>
      <c r="N99" s="198"/>
      <c r="O99" s="139"/>
      <c r="P99" s="139"/>
      <c r="Q99" s="141">
        <v>29.5</v>
      </c>
      <c r="R99" s="187">
        <f t="shared" si="9"/>
        <v>2.1</v>
      </c>
      <c r="S99" s="181">
        <f t="shared" si="10"/>
        <v>1</v>
      </c>
      <c r="T99" s="181">
        <f t="shared" si="11"/>
        <v>2.1</v>
      </c>
      <c r="U99" s="186">
        <f t="shared" si="12"/>
        <v>108.47445</v>
      </c>
      <c r="V99" s="187">
        <f t="shared" ref="V99:W99" si="94">C99/100</f>
        <v>0.85</v>
      </c>
      <c r="W99" s="187">
        <f t="shared" si="94"/>
        <v>2.06</v>
      </c>
      <c r="X99" s="187">
        <f t="shared" si="14"/>
        <v>2.1</v>
      </c>
      <c r="Y99" s="189">
        <f t="shared" si="15"/>
        <v>3.6771</v>
      </c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27.0" customHeight="1">
      <c r="A100" s="181">
        <v>79.0</v>
      </c>
      <c r="B100" s="191" t="s">
        <v>95</v>
      </c>
      <c r="C100" s="191">
        <v>70.0</v>
      </c>
      <c r="D100" s="191">
        <v>206.0</v>
      </c>
      <c r="E100" s="191">
        <v>111.0</v>
      </c>
      <c r="F100" s="191">
        <f t="shared" si="5"/>
        <v>0</v>
      </c>
      <c r="G100" s="191">
        <f t="shared" si="6"/>
        <v>47.21829</v>
      </c>
      <c r="H100" s="192">
        <f t="shared" si="7"/>
        <v>47.21829</v>
      </c>
      <c r="I100" s="218">
        <v>1.0</v>
      </c>
      <c r="J100" s="194">
        <f t="shared" si="8"/>
        <v>47.21829</v>
      </c>
      <c r="K100" s="139"/>
      <c r="L100" s="197"/>
      <c r="M100" s="198"/>
      <c r="N100" s="198"/>
      <c r="O100" s="139"/>
      <c r="P100" s="139"/>
      <c r="Q100" s="141">
        <v>29.5</v>
      </c>
      <c r="R100" s="187">
        <f t="shared" si="9"/>
        <v>1.11</v>
      </c>
      <c r="S100" s="181">
        <f t="shared" si="10"/>
        <v>1</v>
      </c>
      <c r="T100" s="181">
        <f t="shared" si="11"/>
        <v>1.11</v>
      </c>
      <c r="U100" s="186">
        <f t="shared" si="12"/>
        <v>47.21829</v>
      </c>
      <c r="V100" s="187">
        <f t="shared" ref="V100:W100" si="95">C100/100</f>
        <v>0.7</v>
      </c>
      <c r="W100" s="187">
        <f t="shared" si="95"/>
        <v>2.06</v>
      </c>
      <c r="X100" s="187">
        <f t="shared" si="14"/>
        <v>1.11</v>
      </c>
      <c r="Y100" s="189">
        <f t="shared" si="15"/>
        <v>1.60062</v>
      </c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27.0" customHeight="1">
      <c r="A101" s="181">
        <v>80.0</v>
      </c>
      <c r="B101" s="191" t="s">
        <v>95</v>
      </c>
      <c r="C101" s="191">
        <v>99.0</v>
      </c>
      <c r="D101" s="191">
        <v>206.0</v>
      </c>
      <c r="E101" s="277">
        <v>3000.0</v>
      </c>
      <c r="F101" s="277">
        <f t="shared" si="5"/>
        <v>0</v>
      </c>
      <c r="G101" s="277">
        <f t="shared" si="6"/>
        <v>1804.869</v>
      </c>
      <c r="H101" s="192">
        <f t="shared" si="7"/>
        <v>1804.869</v>
      </c>
      <c r="I101" s="218">
        <v>1.0</v>
      </c>
      <c r="J101" s="194">
        <f t="shared" si="8"/>
        <v>1804.869</v>
      </c>
      <c r="K101" s="139"/>
      <c r="L101" s="197"/>
      <c r="M101" s="198"/>
      <c r="N101" s="198"/>
      <c r="O101" s="139"/>
      <c r="P101" s="139"/>
      <c r="Q101" s="141">
        <v>29.5</v>
      </c>
      <c r="R101" s="187">
        <f t="shared" si="9"/>
        <v>30</v>
      </c>
      <c r="S101" s="181">
        <f t="shared" si="10"/>
        <v>1</v>
      </c>
      <c r="T101" s="181">
        <f t="shared" si="11"/>
        <v>30</v>
      </c>
      <c r="U101" s="186">
        <f t="shared" si="12"/>
        <v>1804.869</v>
      </c>
      <c r="V101" s="187">
        <f t="shared" ref="V101:W101" si="96">C101/100</f>
        <v>0.99</v>
      </c>
      <c r="W101" s="187">
        <f t="shared" si="96"/>
        <v>2.06</v>
      </c>
      <c r="X101" s="187">
        <f t="shared" si="14"/>
        <v>30</v>
      </c>
      <c r="Y101" s="189">
        <f t="shared" si="15"/>
        <v>61.182</v>
      </c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27.0" customHeight="1">
      <c r="A102" s="181">
        <v>81.0</v>
      </c>
      <c r="B102" s="182" t="s">
        <v>93</v>
      </c>
      <c r="C102" s="183">
        <v>69.0</v>
      </c>
      <c r="D102" s="183">
        <v>206.0</v>
      </c>
      <c r="E102" s="183">
        <v>208.0</v>
      </c>
      <c r="F102" s="183">
        <f t="shared" si="5"/>
        <v>0.8</v>
      </c>
      <c r="G102" s="183">
        <f t="shared" si="6"/>
        <v>78.347568</v>
      </c>
      <c r="H102" s="184">
        <f t="shared" si="7"/>
        <v>62.6780544</v>
      </c>
      <c r="I102" s="183">
        <v>1.0</v>
      </c>
      <c r="J102" s="194">
        <f t="shared" si="8"/>
        <v>62.6780544</v>
      </c>
      <c r="K102" s="139"/>
      <c r="L102" s="197"/>
      <c r="M102" s="198"/>
      <c r="N102" s="198"/>
      <c r="O102" s="139"/>
      <c r="P102" s="139"/>
      <c r="Q102" s="141">
        <v>26.5</v>
      </c>
      <c r="R102" s="187">
        <f t="shared" si="9"/>
        <v>2.08</v>
      </c>
      <c r="S102" s="181">
        <f t="shared" si="10"/>
        <v>1</v>
      </c>
      <c r="T102" s="181">
        <f t="shared" si="11"/>
        <v>2.08</v>
      </c>
      <c r="U102" s="186">
        <f t="shared" si="12"/>
        <v>78.347568</v>
      </c>
      <c r="V102" s="187">
        <f t="shared" ref="V102:W102" si="97">C102/100</f>
        <v>0.69</v>
      </c>
      <c r="W102" s="187">
        <f t="shared" si="97"/>
        <v>2.06</v>
      </c>
      <c r="X102" s="187">
        <f t="shared" si="14"/>
        <v>2.08</v>
      </c>
      <c r="Y102" s="189">
        <f t="shared" si="15"/>
        <v>2.956512</v>
      </c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27.0" customHeight="1">
      <c r="A103" s="181">
        <v>82.0</v>
      </c>
      <c r="B103" s="191" t="s">
        <v>85</v>
      </c>
      <c r="C103" s="191">
        <v>99.0</v>
      </c>
      <c r="D103" s="191">
        <v>206.0</v>
      </c>
      <c r="E103" s="191">
        <v>207.0</v>
      </c>
      <c r="F103" s="191">
        <f t="shared" si="5"/>
        <v>0</v>
      </c>
      <c r="G103" s="191">
        <f t="shared" si="6"/>
        <v>111.871287</v>
      </c>
      <c r="H103" s="192">
        <f t="shared" si="7"/>
        <v>111.871287</v>
      </c>
      <c r="I103" s="218">
        <v>10.0</v>
      </c>
      <c r="J103" s="194">
        <f t="shared" si="8"/>
        <v>1118.71287</v>
      </c>
      <c r="K103" s="139"/>
      <c r="L103" s="197"/>
      <c r="M103" s="198"/>
      <c r="N103" s="198"/>
      <c r="O103" s="139"/>
      <c r="P103" s="139"/>
      <c r="Q103" s="141">
        <v>26.5</v>
      </c>
      <c r="R103" s="187">
        <f t="shared" si="9"/>
        <v>2.07</v>
      </c>
      <c r="S103" s="181">
        <f t="shared" si="10"/>
        <v>10</v>
      </c>
      <c r="T103" s="181">
        <f t="shared" si="11"/>
        <v>20.7</v>
      </c>
      <c r="U103" s="186">
        <f t="shared" si="12"/>
        <v>111.871287</v>
      </c>
      <c r="V103" s="187">
        <f t="shared" ref="V103:W103" si="98">C103/100</f>
        <v>0.99</v>
      </c>
      <c r="W103" s="187">
        <f t="shared" si="98"/>
        <v>2.06</v>
      </c>
      <c r="X103" s="187">
        <f t="shared" si="14"/>
        <v>20.7</v>
      </c>
      <c r="Y103" s="189">
        <f t="shared" si="15"/>
        <v>42.21558</v>
      </c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27.0" customHeight="1">
      <c r="A104" s="181">
        <v>83.0</v>
      </c>
      <c r="B104" s="191" t="s">
        <v>85</v>
      </c>
      <c r="C104" s="191">
        <v>100.0</v>
      </c>
      <c r="D104" s="191">
        <v>206.0</v>
      </c>
      <c r="E104" s="191">
        <v>207.0</v>
      </c>
      <c r="F104" s="191">
        <f t="shared" si="5"/>
        <v>0</v>
      </c>
      <c r="G104" s="191">
        <f t="shared" si="6"/>
        <v>113.0013</v>
      </c>
      <c r="H104" s="192">
        <f t="shared" si="7"/>
        <v>113.0013</v>
      </c>
      <c r="I104" s="218">
        <v>10.0</v>
      </c>
      <c r="J104" s="194">
        <f t="shared" si="8"/>
        <v>1130.013</v>
      </c>
      <c r="K104" s="139"/>
      <c r="L104" s="197"/>
      <c r="M104" s="198"/>
      <c r="N104" s="198"/>
      <c r="O104" s="139"/>
      <c r="P104" s="139"/>
      <c r="Q104" s="141">
        <v>26.5</v>
      </c>
      <c r="R104" s="187">
        <f t="shared" si="9"/>
        <v>2.07</v>
      </c>
      <c r="S104" s="181">
        <f t="shared" si="10"/>
        <v>10</v>
      </c>
      <c r="T104" s="181">
        <f t="shared" si="11"/>
        <v>20.7</v>
      </c>
      <c r="U104" s="186">
        <f t="shared" si="12"/>
        <v>113.0013</v>
      </c>
      <c r="V104" s="187">
        <f t="shared" ref="V104:W104" si="99">C104/100</f>
        <v>1</v>
      </c>
      <c r="W104" s="187">
        <f t="shared" si="99"/>
        <v>2.06</v>
      </c>
      <c r="X104" s="187">
        <f t="shared" si="14"/>
        <v>20.7</v>
      </c>
      <c r="Y104" s="189">
        <f t="shared" si="15"/>
        <v>42.642</v>
      </c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27.0" customHeight="1">
      <c r="A105" s="181">
        <v>84.0</v>
      </c>
      <c r="B105" s="191" t="s">
        <v>85</v>
      </c>
      <c r="C105" s="191">
        <v>84.0</v>
      </c>
      <c r="D105" s="191">
        <v>206.0</v>
      </c>
      <c r="E105" s="191">
        <v>203.0</v>
      </c>
      <c r="F105" s="191">
        <f t="shared" si="5"/>
        <v>0</v>
      </c>
      <c r="G105" s="191">
        <f t="shared" si="6"/>
        <v>93.086868</v>
      </c>
      <c r="H105" s="192">
        <f t="shared" si="7"/>
        <v>93.086868</v>
      </c>
      <c r="I105" s="218">
        <v>1.0</v>
      </c>
      <c r="J105" s="194">
        <f t="shared" si="8"/>
        <v>93.086868</v>
      </c>
      <c r="K105" s="139"/>
      <c r="L105" s="197"/>
      <c r="M105" s="198"/>
      <c r="N105" s="198"/>
      <c r="O105" s="139"/>
      <c r="P105" s="139"/>
      <c r="Q105" s="141">
        <v>26.5</v>
      </c>
      <c r="R105" s="187">
        <f t="shared" si="9"/>
        <v>2.03</v>
      </c>
      <c r="S105" s="181">
        <f t="shared" si="10"/>
        <v>1</v>
      </c>
      <c r="T105" s="181">
        <f t="shared" si="11"/>
        <v>2.03</v>
      </c>
      <c r="U105" s="186">
        <f t="shared" si="12"/>
        <v>93.086868</v>
      </c>
      <c r="V105" s="187">
        <f t="shared" ref="V105:W105" si="100">C105/100</f>
        <v>0.84</v>
      </c>
      <c r="W105" s="187">
        <f t="shared" si="100"/>
        <v>2.06</v>
      </c>
      <c r="X105" s="187">
        <f t="shared" si="14"/>
        <v>2.03</v>
      </c>
      <c r="Y105" s="189">
        <f t="shared" si="15"/>
        <v>3.512712</v>
      </c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27.0" customHeight="1">
      <c r="A106" s="181">
        <v>85.0</v>
      </c>
      <c r="B106" s="191" t="s">
        <v>85</v>
      </c>
      <c r="C106" s="191">
        <v>98.0</v>
      </c>
      <c r="D106" s="191">
        <v>206.0</v>
      </c>
      <c r="E106" s="191">
        <v>207.0</v>
      </c>
      <c r="F106" s="191">
        <f t="shared" si="5"/>
        <v>0</v>
      </c>
      <c r="G106" s="191">
        <f t="shared" si="6"/>
        <v>110.741274</v>
      </c>
      <c r="H106" s="192">
        <f t="shared" si="7"/>
        <v>110.741274</v>
      </c>
      <c r="I106" s="218">
        <v>4.0</v>
      </c>
      <c r="J106" s="194">
        <f t="shared" si="8"/>
        <v>442.965096</v>
      </c>
      <c r="K106" s="139"/>
      <c r="L106" s="197"/>
      <c r="M106" s="198"/>
      <c r="N106" s="198"/>
      <c r="O106" s="139"/>
      <c r="P106" s="139"/>
      <c r="Q106" s="141">
        <v>26.5</v>
      </c>
      <c r="R106" s="187">
        <f t="shared" si="9"/>
        <v>2.07</v>
      </c>
      <c r="S106" s="181">
        <f t="shared" si="10"/>
        <v>4</v>
      </c>
      <c r="T106" s="181">
        <f t="shared" si="11"/>
        <v>8.28</v>
      </c>
      <c r="U106" s="186">
        <f t="shared" si="12"/>
        <v>110.741274</v>
      </c>
      <c r="V106" s="187">
        <f t="shared" ref="V106:W106" si="101">C106/100</f>
        <v>0.98</v>
      </c>
      <c r="W106" s="187">
        <f t="shared" si="101"/>
        <v>2.06</v>
      </c>
      <c r="X106" s="187">
        <f t="shared" si="14"/>
        <v>8.28</v>
      </c>
      <c r="Y106" s="189">
        <f t="shared" si="15"/>
        <v>16.715664</v>
      </c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27.0" customHeight="1">
      <c r="A107" s="181">
        <v>86.0</v>
      </c>
      <c r="B107" s="191" t="s">
        <v>85</v>
      </c>
      <c r="C107" s="191">
        <v>101.0</v>
      </c>
      <c r="D107" s="191">
        <v>206.0</v>
      </c>
      <c r="E107" s="191">
        <v>207.0</v>
      </c>
      <c r="F107" s="191">
        <f t="shared" si="5"/>
        <v>0</v>
      </c>
      <c r="G107" s="191">
        <f t="shared" si="6"/>
        <v>114.131313</v>
      </c>
      <c r="H107" s="192">
        <f t="shared" si="7"/>
        <v>114.131313</v>
      </c>
      <c r="I107" s="218">
        <v>1.0</v>
      </c>
      <c r="J107" s="194">
        <f t="shared" si="8"/>
        <v>114.131313</v>
      </c>
      <c r="K107" s="139"/>
      <c r="L107" s="197"/>
      <c r="M107" s="198"/>
      <c r="N107" s="198"/>
      <c r="O107" s="139"/>
      <c r="P107" s="139"/>
      <c r="Q107" s="141">
        <v>26.5</v>
      </c>
      <c r="R107" s="187">
        <f t="shared" si="9"/>
        <v>2.07</v>
      </c>
      <c r="S107" s="181">
        <f t="shared" si="10"/>
        <v>1</v>
      </c>
      <c r="T107" s="181">
        <f t="shared" si="11"/>
        <v>2.07</v>
      </c>
      <c r="U107" s="186">
        <f t="shared" si="12"/>
        <v>114.131313</v>
      </c>
      <c r="V107" s="187">
        <f t="shared" ref="V107:W107" si="102">C107/100</f>
        <v>1.01</v>
      </c>
      <c r="W107" s="187">
        <f t="shared" si="102"/>
        <v>2.06</v>
      </c>
      <c r="X107" s="187">
        <f t="shared" si="14"/>
        <v>2.07</v>
      </c>
      <c r="Y107" s="189">
        <f t="shared" si="15"/>
        <v>4.306842</v>
      </c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27.0" customHeight="1">
      <c r="A108" s="181">
        <v>87.0</v>
      </c>
      <c r="B108" s="191" t="s">
        <v>85</v>
      </c>
      <c r="C108" s="191">
        <v>100.0</v>
      </c>
      <c r="D108" s="191">
        <v>206.0</v>
      </c>
      <c r="E108" s="191">
        <v>208.0</v>
      </c>
      <c r="F108" s="191">
        <f t="shared" si="5"/>
        <v>0</v>
      </c>
      <c r="G108" s="191">
        <f t="shared" si="6"/>
        <v>113.5472</v>
      </c>
      <c r="H108" s="192">
        <f t="shared" si="7"/>
        <v>113.5472</v>
      </c>
      <c r="I108" s="218">
        <v>1.0</v>
      </c>
      <c r="J108" s="194">
        <f t="shared" si="8"/>
        <v>113.5472</v>
      </c>
      <c r="K108" s="139"/>
      <c r="L108" s="197"/>
      <c r="M108" s="198"/>
      <c r="N108" s="198"/>
      <c r="O108" s="139"/>
      <c r="P108" s="139"/>
      <c r="Q108" s="141">
        <v>26.5</v>
      </c>
      <c r="R108" s="187">
        <f t="shared" si="9"/>
        <v>2.08</v>
      </c>
      <c r="S108" s="181">
        <f t="shared" si="10"/>
        <v>1</v>
      </c>
      <c r="T108" s="181">
        <f t="shared" si="11"/>
        <v>2.08</v>
      </c>
      <c r="U108" s="186">
        <f t="shared" si="12"/>
        <v>113.5472</v>
      </c>
      <c r="V108" s="187">
        <f t="shared" ref="V108:W108" si="103">C108/100</f>
        <v>1</v>
      </c>
      <c r="W108" s="187">
        <f t="shared" si="103"/>
        <v>2.06</v>
      </c>
      <c r="X108" s="187">
        <f t="shared" si="14"/>
        <v>2.08</v>
      </c>
      <c r="Y108" s="189">
        <f t="shared" si="15"/>
        <v>4.2848</v>
      </c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</row>
    <row r="109" ht="27.0" customHeight="1">
      <c r="A109" s="181">
        <v>88.0</v>
      </c>
      <c r="B109" s="191" t="s">
        <v>85</v>
      </c>
      <c r="C109" s="191">
        <v>94.0</v>
      </c>
      <c r="D109" s="191">
        <v>206.0</v>
      </c>
      <c r="E109" s="191">
        <v>151.0</v>
      </c>
      <c r="F109" s="191">
        <f t="shared" si="5"/>
        <v>0</v>
      </c>
      <c r="G109" s="191">
        <f t="shared" si="6"/>
        <v>77.485046</v>
      </c>
      <c r="H109" s="192">
        <f t="shared" si="7"/>
        <v>77.485046</v>
      </c>
      <c r="I109" s="218">
        <v>1.0</v>
      </c>
      <c r="J109" s="194">
        <f t="shared" si="8"/>
        <v>77.485046</v>
      </c>
      <c r="K109" s="139"/>
      <c r="L109" s="197"/>
      <c r="M109" s="198"/>
      <c r="N109" s="198"/>
      <c r="O109" s="139"/>
      <c r="P109" s="139"/>
      <c r="Q109" s="141">
        <v>26.5</v>
      </c>
      <c r="R109" s="187">
        <f t="shared" si="9"/>
        <v>1.51</v>
      </c>
      <c r="S109" s="181">
        <f t="shared" si="10"/>
        <v>1</v>
      </c>
      <c r="T109" s="181">
        <f t="shared" si="11"/>
        <v>1.51</v>
      </c>
      <c r="U109" s="186">
        <f t="shared" si="12"/>
        <v>77.485046</v>
      </c>
      <c r="V109" s="187">
        <f t="shared" ref="V109:W109" si="104">C109/100</f>
        <v>0.94</v>
      </c>
      <c r="W109" s="187">
        <f t="shared" si="104"/>
        <v>2.06</v>
      </c>
      <c r="X109" s="187">
        <f t="shared" si="14"/>
        <v>1.51</v>
      </c>
      <c r="Y109" s="189">
        <f t="shared" si="15"/>
        <v>2.923964</v>
      </c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</row>
    <row r="110" ht="27.0" customHeight="1">
      <c r="A110" s="181">
        <v>89.0</v>
      </c>
      <c r="B110" s="182" t="s">
        <v>70</v>
      </c>
      <c r="C110" s="183">
        <v>71.0</v>
      </c>
      <c r="D110" s="183">
        <v>206.0</v>
      </c>
      <c r="E110" s="183">
        <v>191.0</v>
      </c>
      <c r="F110" s="183">
        <f t="shared" si="5"/>
        <v>0.8</v>
      </c>
      <c r="G110" s="183">
        <f t="shared" si="6"/>
        <v>99.171593</v>
      </c>
      <c r="H110" s="184">
        <f t="shared" si="7"/>
        <v>79.3372744</v>
      </c>
      <c r="I110" s="183">
        <v>1.0</v>
      </c>
      <c r="J110" s="194">
        <f t="shared" si="8"/>
        <v>79.3372744</v>
      </c>
      <c r="K110" s="139"/>
      <c r="L110" s="197"/>
      <c r="M110" s="198"/>
      <c r="N110" s="198"/>
      <c r="O110" s="139"/>
      <c r="P110" s="139"/>
      <c r="Q110" s="141">
        <v>35.5</v>
      </c>
      <c r="R110" s="187">
        <f t="shared" si="9"/>
        <v>1.91</v>
      </c>
      <c r="S110" s="181">
        <f t="shared" si="10"/>
        <v>1</v>
      </c>
      <c r="T110" s="181">
        <f t="shared" si="11"/>
        <v>1.91</v>
      </c>
      <c r="U110" s="186">
        <f t="shared" si="12"/>
        <v>99.171593</v>
      </c>
      <c r="V110" s="187">
        <f t="shared" ref="V110:W110" si="105">C110/100</f>
        <v>0.71</v>
      </c>
      <c r="W110" s="187">
        <f t="shared" si="105"/>
        <v>2.06</v>
      </c>
      <c r="X110" s="187">
        <f t="shared" si="14"/>
        <v>1.91</v>
      </c>
      <c r="Y110" s="189">
        <f t="shared" si="15"/>
        <v>2.793566</v>
      </c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</row>
    <row r="111" ht="27.0" customHeight="1">
      <c r="A111" s="181">
        <v>90.0</v>
      </c>
      <c r="B111" s="191" t="s">
        <v>60</v>
      </c>
      <c r="C111" s="191">
        <v>78.0</v>
      </c>
      <c r="D111" s="191">
        <v>206.0</v>
      </c>
      <c r="E111" s="191">
        <v>193.0</v>
      </c>
      <c r="F111" s="191">
        <f t="shared" si="5"/>
        <v>0</v>
      </c>
      <c r="G111" s="191">
        <f t="shared" si="6"/>
        <v>110.089902</v>
      </c>
      <c r="H111" s="192">
        <f t="shared" si="7"/>
        <v>110.089902</v>
      </c>
      <c r="I111" s="218">
        <v>1.0</v>
      </c>
      <c r="J111" s="194">
        <f t="shared" si="8"/>
        <v>110.089902</v>
      </c>
      <c r="K111" s="139"/>
      <c r="L111" s="197"/>
      <c r="M111" s="198"/>
      <c r="N111" s="198"/>
      <c r="O111" s="139"/>
      <c r="P111" s="139"/>
      <c r="Q111" s="141">
        <v>35.5</v>
      </c>
      <c r="R111" s="187">
        <f t="shared" si="9"/>
        <v>1.93</v>
      </c>
      <c r="S111" s="181">
        <f t="shared" si="10"/>
        <v>1</v>
      </c>
      <c r="T111" s="181">
        <f t="shared" si="11"/>
        <v>1.93</v>
      </c>
      <c r="U111" s="186">
        <f t="shared" si="12"/>
        <v>110.089902</v>
      </c>
      <c r="V111" s="187">
        <f t="shared" ref="V111:W111" si="106">C111/100</f>
        <v>0.78</v>
      </c>
      <c r="W111" s="187">
        <f t="shared" si="106"/>
        <v>2.06</v>
      </c>
      <c r="X111" s="187">
        <f t="shared" si="14"/>
        <v>1.93</v>
      </c>
      <c r="Y111" s="189">
        <f t="shared" si="15"/>
        <v>3.101124</v>
      </c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</row>
    <row r="112" ht="27.0" customHeight="1">
      <c r="A112" s="181">
        <v>91.0</v>
      </c>
      <c r="B112" s="191" t="s">
        <v>60</v>
      </c>
      <c r="C112" s="191">
        <v>80.0</v>
      </c>
      <c r="D112" s="191">
        <v>206.0</v>
      </c>
      <c r="E112" s="191">
        <v>191.0</v>
      </c>
      <c r="F112" s="191">
        <f t="shared" si="5"/>
        <v>0</v>
      </c>
      <c r="G112" s="191">
        <f t="shared" si="6"/>
        <v>111.74264</v>
      </c>
      <c r="H112" s="192">
        <f t="shared" si="7"/>
        <v>111.74264</v>
      </c>
      <c r="I112" s="218">
        <v>1.0</v>
      </c>
      <c r="J112" s="194">
        <f t="shared" si="8"/>
        <v>111.74264</v>
      </c>
      <c r="K112" s="139"/>
      <c r="L112" s="197"/>
      <c r="M112" s="198"/>
      <c r="N112" s="198"/>
      <c r="O112" s="139"/>
      <c r="P112" s="139"/>
      <c r="Q112" s="141">
        <v>35.5</v>
      </c>
      <c r="R112" s="187">
        <f t="shared" si="9"/>
        <v>1.91</v>
      </c>
      <c r="S112" s="181">
        <f t="shared" si="10"/>
        <v>1</v>
      </c>
      <c r="T112" s="181">
        <f t="shared" si="11"/>
        <v>1.91</v>
      </c>
      <c r="U112" s="186">
        <f t="shared" si="12"/>
        <v>111.74264</v>
      </c>
      <c r="V112" s="187">
        <f t="shared" ref="V112:W112" si="107">C112/100</f>
        <v>0.8</v>
      </c>
      <c r="W112" s="187">
        <f t="shared" si="107"/>
        <v>2.06</v>
      </c>
      <c r="X112" s="187">
        <f t="shared" si="14"/>
        <v>1.91</v>
      </c>
      <c r="Y112" s="189">
        <f t="shared" si="15"/>
        <v>3.14768</v>
      </c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</row>
    <row r="113" ht="27.0" customHeight="1">
      <c r="A113" s="181">
        <v>92.0</v>
      </c>
      <c r="B113" s="191" t="s">
        <v>60</v>
      </c>
      <c r="C113" s="191">
        <v>84.0</v>
      </c>
      <c r="D113" s="191">
        <v>206.0</v>
      </c>
      <c r="E113" s="191">
        <v>193.0</v>
      </c>
      <c r="F113" s="191">
        <f t="shared" si="5"/>
        <v>0</v>
      </c>
      <c r="G113" s="191">
        <f t="shared" si="6"/>
        <v>118.558356</v>
      </c>
      <c r="H113" s="192">
        <f t="shared" si="7"/>
        <v>118.558356</v>
      </c>
      <c r="I113" s="218">
        <v>1.0</v>
      </c>
      <c r="J113" s="194">
        <f t="shared" si="8"/>
        <v>118.558356</v>
      </c>
      <c r="K113" s="139"/>
      <c r="L113" s="197"/>
      <c r="M113" s="198"/>
      <c r="N113" s="198"/>
      <c r="O113" s="139"/>
      <c r="P113" s="139"/>
      <c r="Q113" s="141">
        <v>35.5</v>
      </c>
      <c r="R113" s="187">
        <f t="shared" si="9"/>
        <v>1.93</v>
      </c>
      <c r="S113" s="181">
        <f t="shared" si="10"/>
        <v>1</v>
      </c>
      <c r="T113" s="181">
        <f t="shared" si="11"/>
        <v>1.93</v>
      </c>
      <c r="U113" s="186">
        <f t="shared" si="12"/>
        <v>118.558356</v>
      </c>
      <c r="V113" s="187">
        <f t="shared" ref="V113:W113" si="108">C113/100</f>
        <v>0.84</v>
      </c>
      <c r="W113" s="187">
        <f t="shared" si="108"/>
        <v>2.06</v>
      </c>
      <c r="X113" s="187">
        <f t="shared" si="14"/>
        <v>1.93</v>
      </c>
      <c r="Y113" s="189">
        <f t="shared" si="15"/>
        <v>3.339672</v>
      </c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</row>
    <row r="114" ht="27.0" customHeight="1">
      <c r="A114" s="181">
        <v>93.0</v>
      </c>
      <c r="B114" s="191" t="s">
        <v>60</v>
      </c>
      <c r="C114" s="191">
        <v>85.0</v>
      </c>
      <c r="D114" s="191">
        <v>206.0</v>
      </c>
      <c r="E114" s="191">
        <v>191.0</v>
      </c>
      <c r="F114" s="191">
        <f t="shared" si="5"/>
        <v>0</v>
      </c>
      <c r="G114" s="191">
        <f t="shared" si="6"/>
        <v>118.726555</v>
      </c>
      <c r="H114" s="192">
        <f t="shared" si="7"/>
        <v>118.726555</v>
      </c>
      <c r="I114" s="218">
        <v>1.0</v>
      </c>
      <c r="J114" s="194">
        <f t="shared" si="8"/>
        <v>118.726555</v>
      </c>
      <c r="K114" s="139"/>
      <c r="L114" s="197"/>
      <c r="M114" s="198"/>
      <c r="N114" s="198"/>
      <c r="O114" s="139"/>
      <c r="P114" s="139"/>
      <c r="Q114" s="141">
        <v>35.5</v>
      </c>
      <c r="R114" s="187">
        <f t="shared" si="9"/>
        <v>1.91</v>
      </c>
      <c r="S114" s="181">
        <f t="shared" si="10"/>
        <v>1</v>
      </c>
      <c r="T114" s="181">
        <f t="shared" si="11"/>
        <v>1.91</v>
      </c>
      <c r="U114" s="186">
        <f t="shared" si="12"/>
        <v>118.726555</v>
      </c>
      <c r="V114" s="187">
        <f t="shared" ref="V114:W114" si="109">C114/100</f>
        <v>0.85</v>
      </c>
      <c r="W114" s="187">
        <f t="shared" si="109"/>
        <v>2.06</v>
      </c>
      <c r="X114" s="187">
        <f t="shared" si="14"/>
        <v>1.91</v>
      </c>
      <c r="Y114" s="189">
        <f t="shared" si="15"/>
        <v>3.34441</v>
      </c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</row>
    <row r="115" ht="27.0" customHeight="1">
      <c r="A115" s="181">
        <v>94.0</v>
      </c>
      <c r="B115" s="191" t="s">
        <v>60</v>
      </c>
      <c r="C115" s="191">
        <v>85.0</v>
      </c>
      <c r="D115" s="191">
        <v>206.0</v>
      </c>
      <c r="E115" s="191">
        <v>192.0</v>
      </c>
      <c r="F115" s="191">
        <f t="shared" si="5"/>
        <v>0</v>
      </c>
      <c r="G115" s="191">
        <f t="shared" si="6"/>
        <v>119.34816</v>
      </c>
      <c r="H115" s="192">
        <f t="shared" si="7"/>
        <v>119.34816</v>
      </c>
      <c r="I115" s="218">
        <v>1.0</v>
      </c>
      <c r="J115" s="194">
        <f t="shared" si="8"/>
        <v>119.34816</v>
      </c>
      <c r="K115" s="139"/>
      <c r="L115" s="197"/>
      <c r="M115" s="198"/>
      <c r="N115" s="198"/>
      <c r="O115" s="139"/>
      <c r="P115" s="139"/>
      <c r="Q115" s="141">
        <v>35.5</v>
      </c>
      <c r="R115" s="187">
        <f t="shared" si="9"/>
        <v>1.92</v>
      </c>
      <c r="S115" s="181">
        <f t="shared" si="10"/>
        <v>1</v>
      </c>
      <c r="T115" s="181">
        <f t="shared" si="11"/>
        <v>1.92</v>
      </c>
      <c r="U115" s="186">
        <f t="shared" si="12"/>
        <v>119.34816</v>
      </c>
      <c r="V115" s="187">
        <f t="shared" ref="V115:W115" si="110">C115/100</f>
        <v>0.85</v>
      </c>
      <c r="W115" s="187">
        <f t="shared" si="110"/>
        <v>2.06</v>
      </c>
      <c r="X115" s="187">
        <f t="shared" si="14"/>
        <v>1.92</v>
      </c>
      <c r="Y115" s="189">
        <f t="shared" si="15"/>
        <v>3.36192</v>
      </c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</row>
    <row r="116" ht="27.0" customHeight="1">
      <c r="A116" s="181">
        <v>95.0</v>
      </c>
      <c r="B116" s="191" t="s">
        <v>60</v>
      </c>
      <c r="C116" s="191">
        <v>91.0</v>
      </c>
      <c r="D116" s="191">
        <v>206.0</v>
      </c>
      <c r="E116" s="191">
        <v>191.0</v>
      </c>
      <c r="F116" s="191">
        <f t="shared" si="5"/>
        <v>0</v>
      </c>
      <c r="G116" s="191">
        <f t="shared" si="6"/>
        <v>127.107253</v>
      </c>
      <c r="H116" s="192">
        <f t="shared" si="7"/>
        <v>127.107253</v>
      </c>
      <c r="I116" s="218">
        <v>1.0</v>
      </c>
      <c r="J116" s="194">
        <f t="shared" si="8"/>
        <v>127.107253</v>
      </c>
      <c r="K116" s="139"/>
      <c r="L116" s="197"/>
      <c r="M116" s="198"/>
      <c r="N116" s="198"/>
      <c r="O116" s="139"/>
      <c r="P116" s="139"/>
      <c r="Q116" s="141">
        <v>35.5</v>
      </c>
      <c r="R116" s="187">
        <f t="shared" si="9"/>
        <v>1.91</v>
      </c>
      <c r="S116" s="181">
        <f t="shared" si="10"/>
        <v>1</v>
      </c>
      <c r="T116" s="181">
        <f t="shared" si="11"/>
        <v>1.91</v>
      </c>
      <c r="U116" s="186">
        <f t="shared" si="12"/>
        <v>127.107253</v>
      </c>
      <c r="V116" s="187">
        <f t="shared" ref="V116:W116" si="111">C116/100</f>
        <v>0.91</v>
      </c>
      <c r="W116" s="187">
        <f t="shared" si="111"/>
        <v>2.06</v>
      </c>
      <c r="X116" s="187">
        <f t="shared" si="14"/>
        <v>1.91</v>
      </c>
      <c r="Y116" s="189">
        <f t="shared" si="15"/>
        <v>3.580486</v>
      </c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ht="27.0" customHeight="1">
      <c r="A117" s="181">
        <v>96.0</v>
      </c>
      <c r="B117" s="191" t="s">
        <v>60</v>
      </c>
      <c r="C117" s="191">
        <v>90.0</v>
      </c>
      <c r="D117" s="191">
        <v>206.0</v>
      </c>
      <c r="E117" s="191">
        <v>191.0</v>
      </c>
      <c r="F117" s="191">
        <f t="shared" si="5"/>
        <v>0</v>
      </c>
      <c r="G117" s="191">
        <f t="shared" si="6"/>
        <v>125.71047</v>
      </c>
      <c r="H117" s="192">
        <f t="shared" si="7"/>
        <v>125.71047</v>
      </c>
      <c r="I117" s="218">
        <v>1.0</v>
      </c>
      <c r="J117" s="194">
        <f t="shared" si="8"/>
        <v>125.71047</v>
      </c>
      <c r="K117" s="139"/>
      <c r="L117" s="197"/>
      <c r="M117" s="198"/>
      <c r="N117" s="198"/>
      <c r="O117" s="139"/>
      <c r="P117" s="139"/>
      <c r="Q117" s="141">
        <v>35.5</v>
      </c>
      <c r="R117" s="187">
        <f t="shared" si="9"/>
        <v>1.91</v>
      </c>
      <c r="S117" s="181">
        <f t="shared" si="10"/>
        <v>1</v>
      </c>
      <c r="T117" s="181">
        <f t="shared" si="11"/>
        <v>1.91</v>
      </c>
      <c r="U117" s="186">
        <f t="shared" si="12"/>
        <v>125.71047</v>
      </c>
      <c r="V117" s="187">
        <f t="shared" ref="V117:W117" si="112">C117/100</f>
        <v>0.9</v>
      </c>
      <c r="W117" s="187">
        <f t="shared" si="112"/>
        <v>2.06</v>
      </c>
      <c r="X117" s="187">
        <f t="shared" si="14"/>
        <v>1.91</v>
      </c>
      <c r="Y117" s="189">
        <f t="shared" si="15"/>
        <v>3.54114</v>
      </c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</row>
    <row r="118" ht="27.0" customHeight="1">
      <c r="A118" s="181">
        <v>97.0</v>
      </c>
      <c r="B118" s="191" t="s">
        <v>60</v>
      </c>
      <c r="C118" s="191">
        <v>88.0</v>
      </c>
      <c r="D118" s="191">
        <v>206.0</v>
      </c>
      <c r="E118" s="191">
        <v>194.0</v>
      </c>
      <c r="F118" s="191">
        <f t="shared" si="5"/>
        <v>0</v>
      </c>
      <c r="G118" s="191">
        <f t="shared" si="6"/>
        <v>124.847536</v>
      </c>
      <c r="H118" s="192">
        <f t="shared" si="7"/>
        <v>124.847536</v>
      </c>
      <c r="I118" s="218">
        <v>1.0</v>
      </c>
      <c r="J118" s="194">
        <f t="shared" si="8"/>
        <v>124.847536</v>
      </c>
      <c r="K118" s="139"/>
      <c r="L118" s="197"/>
      <c r="M118" s="198"/>
      <c r="N118" s="198"/>
      <c r="O118" s="139"/>
      <c r="P118" s="139"/>
      <c r="Q118" s="141">
        <v>35.5</v>
      </c>
      <c r="R118" s="187">
        <f t="shared" si="9"/>
        <v>1.94</v>
      </c>
      <c r="S118" s="181">
        <f t="shared" si="10"/>
        <v>1</v>
      </c>
      <c r="T118" s="181">
        <f t="shared" si="11"/>
        <v>1.94</v>
      </c>
      <c r="U118" s="186">
        <f t="shared" si="12"/>
        <v>124.847536</v>
      </c>
      <c r="V118" s="187">
        <f t="shared" ref="V118:W118" si="113">C118/100</f>
        <v>0.88</v>
      </c>
      <c r="W118" s="187">
        <f t="shared" si="113"/>
        <v>2.06</v>
      </c>
      <c r="X118" s="187">
        <f t="shared" si="14"/>
        <v>1.94</v>
      </c>
      <c r="Y118" s="189">
        <f t="shared" si="15"/>
        <v>3.516832</v>
      </c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</row>
    <row r="119" ht="27.0" customHeight="1">
      <c r="A119" s="181">
        <v>98.0</v>
      </c>
      <c r="B119" s="191" t="s">
        <v>60</v>
      </c>
      <c r="C119" s="191">
        <v>87.0</v>
      </c>
      <c r="D119" s="191">
        <v>206.0</v>
      </c>
      <c r="E119" s="191">
        <v>191.0</v>
      </c>
      <c r="F119" s="191">
        <f t="shared" si="5"/>
        <v>0</v>
      </c>
      <c r="G119" s="191">
        <f t="shared" si="6"/>
        <v>121.520121</v>
      </c>
      <c r="H119" s="192">
        <f t="shared" si="7"/>
        <v>121.520121</v>
      </c>
      <c r="I119" s="218">
        <v>1.0</v>
      </c>
      <c r="J119" s="194">
        <f t="shared" si="8"/>
        <v>121.520121</v>
      </c>
      <c r="K119" s="139"/>
      <c r="L119" s="197"/>
      <c r="M119" s="198"/>
      <c r="N119" s="198"/>
      <c r="O119" s="139"/>
      <c r="P119" s="139"/>
      <c r="Q119" s="141">
        <v>35.5</v>
      </c>
      <c r="R119" s="187">
        <f t="shared" si="9"/>
        <v>1.91</v>
      </c>
      <c r="S119" s="181">
        <f t="shared" si="10"/>
        <v>1</v>
      </c>
      <c r="T119" s="181">
        <f t="shared" si="11"/>
        <v>1.91</v>
      </c>
      <c r="U119" s="186">
        <f t="shared" si="12"/>
        <v>121.520121</v>
      </c>
      <c r="V119" s="187">
        <f t="shared" ref="V119:W119" si="114">C119/100</f>
        <v>0.87</v>
      </c>
      <c r="W119" s="187">
        <f t="shared" si="114"/>
        <v>2.06</v>
      </c>
      <c r="X119" s="187">
        <f t="shared" si="14"/>
        <v>1.91</v>
      </c>
      <c r="Y119" s="189">
        <f t="shared" si="15"/>
        <v>3.423102</v>
      </c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</row>
    <row r="120" ht="27.0" customHeight="1">
      <c r="A120" s="181">
        <v>99.0</v>
      </c>
      <c r="B120" s="191" t="s">
        <v>60</v>
      </c>
      <c r="C120" s="191">
        <v>86.0</v>
      </c>
      <c r="D120" s="191">
        <v>206.0</v>
      </c>
      <c r="E120" s="191">
        <v>193.0</v>
      </c>
      <c r="F120" s="191">
        <f t="shared" si="5"/>
        <v>0</v>
      </c>
      <c r="G120" s="191">
        <f t="shared" si="6"/>
        <v>121.381174</v>
      </c>
      <c r="H120" s="192">
        <f t="shared" si="7"/>
        <v>121.381174</v>
      </c>
      <c r="I120" s="218">
        <v>1.0</v>
      </c>
      <c r="J120" s="194">
        <f t="shared" si="8"/>
        <v>121.381174</v>
      </c>
      <c r="K120" s="139"/>
      <c r="L120" s="197"/>
      <c r="M120" s="198"/>
      <c r="N120" s="198"/>
      <c r="O120" s="139"/>
      <c r="P120" s="139"/>
      <c r="Q120" s="141">
        <v>35.5</v>
      </c>
      <c r="R120" s="187">
        <f t="shared" si="9"/>
        <v>1.93</v>
      </c>
      <c r="S120" s="181">
        <f t="shared" si="10"/>
        <v>1</v>
      </c>
      <c r="T120" s="181">
        <f t="shared" si="11"/>
        <v>1.93</v>
      </c>
      <c r="U120" s="186">
        <f t="shared" si="12"/>
        <v>121.381174</v>
      </c>
      <c r="V120" s="187">
        <f t="shared" ref="V120:W120" si="115">C120/100</f>
        <v>0.86</v>
      </c>
      <c r="W120" s="187">
        <f t="shared" si="115"/>
        <v>2.06</v>
      </c>
      <c r="X120" s="187">
        <f t="shared" si="14"/>
        <v>1.93</v>
      </c>
      <c r="Y120" s="189">
        <f t="shared" si="15"/>
        <v>3.419188</v>
      </c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</row>
    <row r="121" ht="27.0" customHeight="1">
      <c r="A121" s="181">
        <v>100.0</v>
      </c>
      <c r="B121" s="191" t="s">
        <v>60</v>
      </c>
      <c r="C121" s="191">
        <v>91.0</v>
      </c>
      <c r="D121" s="191">
        <v>206.0</v>
      </c>
      <c r="E121" s="191">
        <v>192.0</v>
      </c>
      <c r="F121" s="191">
        <f t="shared" si="5"/>
        <v>0</v>
      </c>
      <c r="G121" s="191">
        <f t="shared" si="6"/>
        <v>127.772736</v>
      </c>
      <c r="H121" s="192">
        <f t="shared" si="7"/>
        <v>127.772736</v>
      </c>
      <c r="I121" s="218">
        <v>1.0</v>
      </c>
      <c r="J121" s="194">
        <f t="shared" si="8"/>
        <v>127.772736</v>
      </c>
      <c r="K121" s="139"/>
      <c r="L121" s="197"/>
      <c r="M121" s="198"/>
      <c r="N121" s="198"/>
      <c r="O121" s="139"/>
      <c r="P121" s="139"/>
      <c r="Q121" s="141">
        <v>35.5</v>
      </c>
      <c r="R121" s="187">
        <f t="shared" si="9"/>
        <v>1.92</v>
      </c>
      <c r="S121" s="181">
        <f t="shared" si="10"/>
        <v>1</v>
      </c>
      <c r="T121" s="181">
        <f t="shared" si="11"/>
        <v>1.92</v>
      </c>
      <c r="U121" s="186">
        <f t="shared" si="12"/>
        <v>127.772736</v>
      </c>
      <c r="V121" s="187">
        <f t="shared" ref="V121:W121" si="116">C121/100</f>
        <v>0.91</v>
      </c>
      <c r="W121" s="187">
        <f t="shared" si="116"/>
        <v>2.06</v>
      </c>
      <c r="X121" s="187">
        <f t="shared" si="14"/>
        <v>1.92</v>
      </c>
      <c r="Y121" s="189">
        <f t="shared" si="15"/>
        <v>3.599232</v>
      </c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</row>
    <row r="122" ht="27.0" customHeight="1">
      <c r="A122" s="181">
        <v>101.0</v>
      </c>
      <c r="B122" s="191" t="s">
        <v>60</v>
      </c>
      <c r="C122" s="191">
        <v>92.0</v>
      </c>
      <c r="D122" s="191">
        <v>206.0</v>
      </c>
      <c r="E122" s="191">
        <v>190.0</v>
      </c>
      <c r="F122" s="191">
        <f t="shared" si="5"/>
        <v>0</v>
      </c>
      <c r="G122" s="191">
        <f t="shared" si="6"/>
        <v>127.83124</v>
      </c>
      <c r="H122" s="192">
        <f t="shared" si="7"/>
        <v>127.83124</v>
      </c>
      <c r="I122" s="218">
        <v>1.0</v>
      </c>
      <c r="J122" s="194">
        <f t="shared" si="8"/>
        <v>127.83124</v>
      </c>
      <c r="K122" s="139"/>
      <c r="L122" s="197"/>
      <c r="M122" s="198"/>
      <c r="N122" s="198"/>
      <c r="O122" s="139"/>
      <c r="P122" s="139"/>
      <c r="Q122" s="141">
        <v>35.5</v>
      </c>
      <c r="R122" s="187">
        <f t="shared" si="9"/>
        <v>1.9</v>
      </c>
      <c r="S122" s="181">
        <f t="shared" si="10"/>
        <v>1</v>
      </c>
      <c r="T122" s="181">
        <f t="shared" si="11"/>
        <v>1.9</v>
      </c>
      <c r="U122" s="186">
        <f t="shared" si="12"/>
        <v>127.83124</v>
      </c>
      <c r="V122" s="187">
        <f t="shared" ref="V122:W122" si="117">C122/100</f>
        <v>0.92</v>
      </c>
      <c r="W122" s="187">
        <f t="shared" si="117"/>
        <v>2.06</v>
      </c>
      <c r="X122" s="187">
        <f t="shared" si="14"/>
        <v>1.9</v>
      </c>
      <c r="Y122" s="189">
        <f t="shared" si="15"/>
        <v>3.60088</v>
      </c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</row>
    <row r="123" ht="27.0" customHeight="1">
      <c r="A123" s="181">
        <v>102.0</v>
      </c>
      <c r="B123" s="191" t="s">
        <v>60</v>
      </c>
      <c r="C123" s="191">
        <v>92.0</v>
      </c>
      <c r="D123" s="191">
        <v>206.0</v>
      </c>
      <c r="E123" s="191">
        <v>192.0</v>
      </c>
      <c r="F123" s="191">
        <f t="shared" si="5"/>
        <v>0</v>
      </c>
      <c r="G123" s="191">
        <f t="shared" si="6"/>
        <v>129.176832</v>
      </c>
      <c r="H123" s="192">
        <f t="shared" si="7"/>
        <v>129.176832</v>
      </c>
      <c r="I123" s="218">
        <v>1.0</v>
      </c>
      <c r="J123" s="194">
        <f t="shared" si="8"/>
        <v>129.176832</v>
      </c>
      <c r="K123" s="139"/>
      <c r="L123" s="197"/>
      <c r="M123" s="198"/>
      <c r="N123" s="198"/>
      <c r="O123" s="139"/>
      <c r="P123" s="139"/>
      <c r="Q123" s="141">
        <v>35.5</v>
      </c>
      <c r="R123" s="187">
        <f t="shared" si="9"/>
        <v>1.92</v>
      </c>
      <c r="S123" s="181">
        <f t="shared" si="10"/>
        <v>1</v>
      </c>
      <c r="T123" s="181">
        <f t="shared" si="11"/>
        <v>1.92</v>
      </c>
      <c r="U123" s="186">
        <f t="shared" si="12"/>
        <v>129.176832</v>
      </c>
      <c r="V123" s="187">
        <f t="shared" ref="V123:W123" si="118">C123/100</f>
        <v>0.92</v>
      </c>
      <c r="W123" s="187">
        <f t="shared" si="118"/>
        <v>2.06</v>
      </c>
      <c r="X123" s="187">
        <f t="shared" si="14"/>
        <v>1.92</v>
      </c>
      <c r="Y123" s="189">
        <f t="shared" si="15"/>
        <v>3.638784</v>
      </c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</row>
    <row r="124" ht="27.0" customHeight="1">
      <c r="A124" s="181">
        <v>103.0</v>
      </c>
      <c r="B124" s="191" t="s">
        <v>60</v>
      </c>
      <c r="C124" s="191">
        <v>94.0</v>
      </c>
      <c r="D124" s="191">
        <v>206.0</v>
      </c>
      <c r="E124" s="191">
        <v>190.0</v>
      </c>
      <c r="F124" s="191">
        <f t="shared" si="5"/>
        <v>0</v>
      </c>
      <c r="G124" s="191">
        <f t="shared" si="6"/>
        <v>130.61018</v>
      </c>
      <c r="H124" s="192">
        <f t="shared" si="7"/>
        <v>130.61018</v>
      </c>
      <c r="I124" s="218">
        <v>1.0</v>
      </c>
      <c r="J124" s="194">
        <f t="shared" si="8"/>
        <v>130.61018</v>
      </c>
      <c r="K124" s="139"/>
      <c r="L124" s="197"/>
      <c r="M124" s="198"/>
      <c r="N124" s="198"/>
      <c r="O124" s="139"/>
      <c r="P124" s="139"/>
      <c r="Q124" s="141">
        <v>35.5</v>
      </c>
      <c r="R124" s="187">
        <f t="shared" si="9"/>
        <v>1.9</v>
      </c>
      <c r="S124" s="181">
        <f t="shared" si="10"/>
        <v>1</v>
      </c>
      <c r="T124" s="181">
        <f t="shared" si="11"/>
        <v>1.9</v>
      </c>
      <c r="U124" s="186">
        <f t="shared" si="12"/>
        <v>130.61018</v>
      </c>
      <c r="V124" s="187">
        <f t="shared" ref="V124:W124" si="119">C124/100</f>
        <v>0.94</v>
      </c>
      <c r="W124" s="187">
        <f t="shared" si="119"/>
        <v>2.06</v>
      </c>
      <c r="X124" s="187">
        <f t="shared" si="14"/>
        <v>1.9</v>
      </c>
      <c r="Y124" s="189">
        <f t="shared" si="15"/>
        <v>3.67916</v>
      </c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</row>
    <row r="125" ht="27.0" customHeight="1">
      <c r="A125" s="181">
        <v>104.0</v>
      </c>
      <c r="B125" s="191" t="s">
        <v>60</v>
      </c>
      <c r="C125" s="191">
        <v>93.0</v>
      </c>
      <c r="D125" s="191">
        <v>206.0</v>
      </c>
      <c r="E125" s="191">
        <v>194.0</v>
      </c>
      <c r="F125" s="191">
        <f t="shared" si="5"/>
        <v>0</v>
      </c>
      <c r="G125" s="191">
        <f t="shared" si="6"/>
        <v>131.941146</v>
      </c>
      <c r="H125" s="192">
        <f t="shared" si="7"/>
        <v>131.941146</v>
      </c>
      <c r="I125" s="218">
        <v>1.0</v>
      </c>
      <c r="J125" s="194">
        <f t="shared" si="8"/>
        <v>131.941146</v>
      </c>
      <c r="K125" s="139"/>
      <c r="L125" s="197"/>
      <c r="M125" s="198"/>
      <c r="N125" s="198"/>
      <c r="O125" s="139"/>
      <c r="P125" s="139"/>
      <c r="Q125" s="141">
        <v>35.5</v>
      </c>
      <c r="R125" s="187">
        <f t="shared" si="9"/>
        <v>1.94</v>
      </c>
      <c r="S125" s="181">
        <f t="shared" si="10"/>
        <v>1</v>
      </c>
      <c r="T125" s="181">
        <f t="shared" si="11"/>
        <v>1.94</v>
      </c>
      <c r="U125" s="186">
        <f t="shared" si="12"/>
        <v>131.941146</v>
      </c>
      <c r="V125" s="187">
        <f t="shared" ref="V125:W125" si="120">C125/100</f>
        <v>0.93</v>
      </c>
      <c r="W125" s="187">
        <f t="shared" si="120"/>
        <v>2.06</v>
      </c>
      <c r="X125" s="187">
        <f t="shared" si="14"/>
        <v>1.94</v>
      </c>
      <c r="Y125" s="189">
        <f t="shared" si="15"/>
        <v>3.716652</v>
      </c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</row>
    <row r="126" ht="27.0" customHeight="1">
      <c r="A126" s="181">
        <v>105.0</v>
      </c>
      <c r="B126" s="191" t="s">
        <v>60</v>
      </c>
      <c r="C126" s="191">
        <v>87.0</v>
      </c>
      <c r="D126" s="191">
        <v>206.0</v>
      </c>
      <c r="E126" s="191">
        <v>131.0</v>
      </c>
      <c r="F126" s="191">
        <f t="shared" si="5"/>
        <v>0</v>
      </c>
      <c r="G126" s="191">
        <f t="shared" si="6"/>
        <v>83.346261</v>
      </c>
      <c r="H126" s="192">
        <f t="shared" si="7"/>
        <v>83.346261</v>
      </c>
      <c r="I126" s="218">
        <v>1.0</v>
      </c>
      <c r="J126" s="194">
        <f t="shared" si="8"/>
        <v>83.346261</v>
      </c>
      <c r="K126" s="139"/>
      <c r="L126" s="197"/>
      <c r="M126" s="198"/>
      <c r="N126" s="198"/>
      <c r="O126" s="139"/>
      <c r="P126" s="139"/>
      <c r="Q126" s="141">
        <v>35.5</v>
      </c>
      <c r="R126" s="187">
        <f t="shared" si="9"/>
        <v>1.31</v>
      </c>
      <c r="S126" s="181">
        <f t="shared" si="10"/>
        <v>1</v>
      </c>
      <c r="T126" s="181">
        <f t="shared" si="11"/>
        <v>1.31</v>
      </c>
      <c r="U126" s="186">
        <f t="shared" si="12"/>
        <v>83.346261</v>
      </c>
      <c r="V126" s="187">
        <f t="shared" ref="V126:W126" si="121">C126/100</f>
        <v>0.87</v>
      </c>
      <c r="W126" s="187">
        <f t="shared" si="121"/>
        <v>2.06</v>
      </c>
      <c r="X126" s="187">
        <f t="shared" si="14"/>
        <v>1.31</v>
      </c>
      <c r="Y126" s="189">
        <f t="shared" si="15"/>
        <v>2.347782</v>
      </c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</row>
    <row r="127" ht="27.0" customHeight="1">
      <c r="A127" s="160"/>
      <c r="B127" s="176"/>
      <c r="C127" s="176"/>
      <c r="D127" s="176"/>
      <c r="E127" s="176"/>
      <c r="F127" s="176"/>
      <c r="G127" s="176"/>
      <c r="H127" s="179"/>
      <c r="I127" s="160"/>
      <c r="J127" s="203">
        <f>+Q163</f>
        <v>162.8</v>
      </c>
      <c r="K127" s="139"/>
      <c r="L127" s="139"/>
      <c r="M127" s="139"/>
      <c r="N127" s="139"/>
      <c r="O127" s="139"/>
      <c r="P127" s="139"/>
      <c r="Q127" s="204"/>
      <c r="R127" s="187">
        <f t="shared" si="9"/>
        <v>0</v>
      </c>
      <c r="S127" s="181" t="str">
        <f t="shared" si="10"/>
        <v/>
      </c>
      <c r="T127" s="181">
        <f t="shared" si="11"/>
        <v>0</v>
      </c>
      <c r="U127" s="186"/>
      <c r="V127" s="187">
        <f t="shared" ref="V127:W127" si="122">C127/100</f>
        <v>0</v>
      </c>
      <c r="W127" s="187">
        <f t="shared" si="122"/>
        <v>0</v>
      </c>
      <c r="X127" s="187">
        <f t="shared" si="14"/>
        <v>0</v>
      </c>
      <c r="Y127" s="189">
        <f t="shared" si="15"/>
        <v>0</v>
      </c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</row>
    <row r="128" ht="27.0" customHeight="1">
      <c r="A128" s="160"/>
      <c r="B128" s="205"/>
      <c r="C128" s="205"/>
      <c r="D128" s="205"/>
      <c r="E128" s="205"/>
      <c r="F128" s="205"/>
      <c r="G128" s="205"/>
      <c r="H128" s="206"/>
      <c r="I128" s="207">
        <f>SUM(I22:I126)</f>
        <v>277</v>
      </c>
      <c r="J128" s="208">
        <f>SUM(J22:J127)</f>
        <v>34617.7333</v>
      </c>
      <c r="K128" s="209"/>
      <c r="L128" s="209"/>
      <c r="M128" s="209"/>
      <c r="N128" s="209"/>
      <c r="O128" s="209"/>
      <c r="P128" s="209"/>
      <c r="Q128" s="141"/>
      <c r="R128" s="209">
        <f>SUMIFS($S$22:$S$126,$R$22:$R$126,"&gt;=3")</f>
        <v>1</v>
      </c>
      <c r="S128" s="209">
        <f t="shared" ref="S128:T128" si="123">SUM(S22:S126)</f>
        <v>277</v>
      </c>
      <c r="T128" s="209">
        <f t="shared" si="123"/>
        <v>613.37</v>
      </c>
      <c r="U128" s="209"/>
      <c r="V128" s="209"/>
      <c r="W128" s="209"/>
      <c r="X128" s="209"/>
      <c r="Y128" s="210">
        <f>SUM(Y22:Y127)</f>
        <v>1190.154106</v>
      </c>
      <c r="Z128" s="209"/>
      <c r="AA128" s="209"/>
      <c r="AB128" s="209"/>
      <c r="AC128" s="209"/>
      <c r="AD128" s="209"/>
      <c r="AE128" s="209"/>
      <c r="AF128" s="209"/>
      <c r="AG128" s="209"/>
      <c r="AH128" s="209"/>
      <c r="AI128" s="209"/>
      <c r="AJ128" s="209"/>
      <c r="AK128" s="209"/>
      <c r="AL128" s="209"/>
      <c r="AM128" s="209"/>
      <c r="AN128" s="209"/>
      <c r="AO128" s="209"/>
      <c r="AP128" s="209"/>
      <c r="AQ128" s="209"/>
      <c r="AR128" s="209"/>
      <c r="AS128" s="209"/>
    </row>
    <row r="129" ht="29.25" customHeight="1">
      <c r="A129" s="139"/>
      <c r="B129" s="139"/>
      <c r="C129" s="139"/>
      <c r="D129" s="139"/>
      <c r="E129" s="139"/>
      <c r="F129" s="139"/>
      <c r="G129" s="139"/>
      <c r="H129" s="140"/>
      <c r="I129" s="139"/>
      <c r="J129" s="139"/>
      <c r="K129" s="139"/>
      <c r="L129" s="139"/>
      <c r="M129" s="139"/>
      <c r="N129" s="139"/>
      <c r="O129" s="139"/>
      <c r="P129" s="139"/>
      <c r="Q129" s="141"/>
      <c r="R129" s="186"/>
      <c r="S129" s="139"/>
      <c r="T129" s="139"/>
      <c r="U129" s="139">
        <f>+T128-637</f>
        <v>-23.63</v>
      </c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</row>
    <row r="130" ht="29.25" customHeight="1">
      <c r="A130" s="139"/>
      <c r="B130" s="139"/>
      <c r="C130" s="139"/>
      <c r="D130" s="139"/>
      <c r="E130" s="139"/>
      <c r="F130" s="139"/>
      <c r="G130" s="139"/>
      <c r="H130" s="140"/>
      <c r="I130" s="139"/>
      <c r="J130" s="139"/>
      <c r="K130" s="139"/>
      <c r="L130" s="139"/>
      <c r="M130" s="139"/>
      <c r="N130" s="139"/>
      <c r="O130" s="139"/>
      <c r="P130" s="139"/>
      <c r="Q130" s="204"/>
      <c r="R130" s="139"/>
      <c r="S130" s="139" t="s">
        <v>48</v>
      </c>
      <c r="T130" s="139" t="s">
        <v>72</v>
      </c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</row>
    <row r="131" ht="29.25" customHeight="1">
      <c r="A131" s="139"/>
      <c r="B131" s="139"/>
      <c r="C131" s="139"/>
      <c r="D131" s="139"/>
      <c r="E131" s="139"/>
      <c r="F131" s="139"/>
      <c r="G131" s="139"/>
      <c r="H131" s="140"/>
      <c r="I131" s="139"/>
      <c r="J131" s="139"/>
      <c r="K131" s="139"/>
      <c r="L131" s="139"/>
      <c r="M131" s="139"/>
      <c r="N131" s="139"/>
      <c r="O131" s="139"/>
      <c r="P131" s="139"/>
      <c r="Q131" s="141"/>
      <c r="R131" s="139" t="s">
        <v>31</v>
      </c>
      <c r="S131" s="211">
        <f>SUMIFS($J$22:$J$126,$R$22:$R$126,"&gt;=3")</f>
        <v>1804.869</v>
      </c>
      <c r="T131" s="212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</row>
    <row r="132" ht="29.25" customHeight="1">
      <c r="A132" s="139" t="s">
        <v>32</v>
      </c>
      <c r="B132" s="139"/>
      <c r="C132" s="139"/>
      <c r="D132" s="139" t="s">
        <v>33</v>
      </c>
      <c r="E132" s="139"/>
      <c r="F132" s="139"/>
      <c r="G132" s="139"/>
      <c r="H132" s="140"/>
      <c r="I132" s="139"/>
      <c r="J132" s="139"/>
      <c r="K132" s="139"/>
      <c r="L132" s="139"/>
      <c r="M132" s="139"/>
      <c r="N132" s="139"/>
      <c r="O132" s="139"/>
      <c r="P132" s="139"/>
      <c r="Q132" s="141"/>
      <c r="R132" s="139" t="s">
        <v>34</v>
      </c>
      <c r="S132" s="213">
        <f>J128-S131</f>
        <v>32812.8643</v>
      </c>
      <c r="T132" s="212">
        <f>+SUMIFS($T$22:$T$126,$R$22:$R$126,"&gt;=3")</f>
        <v>30</v>
      </c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</row>
    <row r="133" ht="29.25" customHeight="1">
      <c r="A133" s="139"/>
      <c r="B133" s="139"/>
      <c r="C133" s="139"/>
      <c r="D133" s="139"/>
      <c r="E133" s="139"/>
      <c r="F133" s="139"/>
      <c r="G133" s="139"/>
      <c r="H133" s="140"/>
      <c r="I133" s="139"/>
      <c r="J133" s="139"/>
      <c r="K133" s="139"/>
      <c r="L133" s="139"/>
      <c r="M133" s="139"/>
      <c r="N133" s="139"/>
      <c r="O133" s="139"/>
      <c r="P133" s="139"/>
      <c r="Q133" s="204"/>
      <c r="R133" s="139"/>
      <c r="S133" s="214">
        <f>+I128</f>
        <v>277</v>
      </c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</row>
    <row r="134" ht="39.0" customHeight="1">
      <c r="A134" s="176"/>
      <c r="B134" s="160" t="s">
        <v>12</v>
      </c>
      <c r="C134" s="177" t="s">
        <v>73</v>
      </c>
      <c r="D134" s="52"/>
      <c r="E134" s="53"/>
      <c r="F134" s="178"/>
      <c r="G134" s="178"/>
      <c r="H134" s="179" t="s">
        <v>14</v>
      </c>
      <c r="I134" s="160" t="s">
        <v>15</v>
      </c>
      <c r="J134" s="160" t="s">
        <v>16</v>
      </c>
      <c r="K134" s="139"/>
      <c r="L134" s="139"/>
      <c r="M134" s="139"/>
      <c r="N134" s="139"/>
      <c r="O134" s="139"/>
      <c r="P134" s="139"/>
      <c r="Q134" s="141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</row>
    <row r="135" ht="27.0" customHeight="1">
      <c r="A135" s="154">
        <v>1.0</v>
      </c>
      <c r="B135" s="215" t="s">
        <v>107</v>
      </c>
      <c r="C135" s="215">
        <v>83.0</v>
      </c>
      <c r="D135" s="215">
        <v>189.0</v>
      </c>
      <c r="E135" s="215">
        <v>190.0</v>
      </c>
      <c r="F135" s="215">
        <f t="shared" ref="F135:F142" si="124">1-VALUE(IF(RIGHT(B135, 1)="%", RIGHT(B135, 3), 0))</f>
        <v>0.2</v>
      </c>
      <c r="G135" s="215">
        <f t="shared" ref="G135:G142" si="125">+Q135*C135/100*D135/100*E135/100</f>
        <v>0</v>
      </c>
      <c r="H135" s="216">
        <f t="shared" ref="H135:H142" si="126">IF(F135=0, G135, F135*G135)</f>
        <v>0</v>
      </c>
      <c r="I135" s="215">
        <v>1.0</v>
      </c>
      <c r="J135" s="217">
        <f t="shared" ref="J135:J142" si="127">+I135*H135</f>
        <v>0</v>
      </c>
      <c r="K135" s="139"/>
      <c r="L135" s="176">
        <f t="shared" ref="L135:L136" si="128">D135*25.4/1000</f>
        <v>4.8006</v>
      </c>
      <c r="M135" s="160">
        <f t="shared" ref="M135:M136" si="129">+I135</f>
        <v>1</v>
      </c>
      <c r="N135" s="160">
        <f t="shared" ref="N135:N136" si="130">M135*L135</f>
        <v>4.8006</v>
      </c>
      <c r="O135" s="139"/>
      <c r="P135" s="139"/>
      <c r="Q135" s="141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</row>
    <row r="136" ht="27.0" customHeight="1">
      <c r="A136" s="160">
        <v>2.0</v>
      </c>
      <c r="B136" s="218" t="s">
        <v>65</v>
      </c>
      <c r="C136" s="218">
        <v>89.0</v>
      </c>
      <c r="D136" s="218">
        <v>203.0</v>
      </c>
      <c r="E136" s="218">
        <v>251.0</v>
      </c>
      <c r="F136" s="218">
        <f t="shared" si="124"/>
        <v>0.2</v>
      </c>
      <c r="G136" s="218">
        <f t="shared" si="125"/>
        <v>0</v>
      </c>
      <c r="H136" s="219">
        <f t="shared" si="126"/>
        <v>0</v>
      </c>
      <c r="I136" s="218">
        <v>1.0</v>
      </c>
      <c r="J136" s="194">
        <f t="shared" si="127"/>
        <v>0</v>
      </c>
      <c r="K136" s="139"/>
      <c r="L136" s="176">
        <f t="shared" si="128"/>
        <v>5.1562</v>
      </c>
      <c r="M136" s="160">
        <f t="shared" si="129"/>
        <v>1</v>
      </c>
      <c r="N136" s="160">
        <f t="shared" si="130"/>
        <v>5.1562</v>
      </c>
      <c r="O136" s="139"/>
      <c r="P136" s="139"/>
      <c r="Q136" s="141"/>
      <c r="R136" s="139"/>
      <c r="S136" s="220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</row>
    <row r="137" ht="27.0" customHeight="1">
      <c r="A137" s="160"/>
      <c r="B137" s="218" t="s">
        <v>65</v>
      </c>
      <c r="C137" s="218">
        <v>92.0</v>
      </c>
      <c r="D137" s="218">
        <v>203.0</v>
      </c>
      <c r="E137" s="218">
        <v>251.0</v>
      </c>
      <c r="F137" s="215">
        <f t="shared" si="124"/>
        <v>0.2</v>
      </c>
      <c r="G137" s="215">
        <f t="shared" si="125"/>
        <v>0</v>
      </c>
      <c r="H137" s="216">
        <f t="shared" si="126"/>
        <v>0</v>
      </c>
      <c r="I137" s="215">
        <v>1.0</v>
      </c>
      <c r="J137" s="194">
        <f t="shared" si="127"/>
        <v>0</v>
      </c>
      <c r="K137" s="139"/>
      <c r="L137" s="176"/>
      <c r="M137" s="160"/>
      <c r="N137" s="160"/>
      <c r="O137" s="139"/>
      <c r="P137" s="139"/>
      <c r="Q137" s="141"/>
      <c r="R137" s="139"/>
      <c r="S137" s="220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</row>
    <row r="138" ht="27.0" customHeight="1">
      <c r="A138" s="160"/>
      <c r="B138" s="218" t="s">
        <v>66</v>
      </c>
      <c r="C138" s="218">
        <v>100.0</v>
      </c>
      <c r="D138" s="218">
        <v>203.0</v>
      </c>
      <c r="E138" s="218">
        <v>150.0</v>
      </c>
      <c r="F138" s="218">
        <f t="shared" si="124"/>
        <v>0.5</v>
      </c>
      <c r="G138" s="218">
        <f t="shared" si="125"/>
        <v>0</v>
      </c>
      <c r="H138" s="219">
        <f t="shared" si="126"/>
        <v>0</v>
      </c>
      <c r="I138" s="218">
        <v>1.0</v>
      </c>
      <c r="J138" s="194">
        <f t="shared" si="127"/>
        <v>0</v>
      </c>
      <c r="K138" s="139"/>
      <c r="L138" s="176"/>
      <c r="M138" s="160"/>
      <c r="N138" s="160"/>
      <c r="O138" s="139"/>
      <c r="P138" s="139"/>
      <c r="Q138" s="141"/>
      <c r="R138" s="139"/>
      <c r="S138" s="220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</row>
    <row r="139" ht="27.0" customHeight="1">
      <c r="A139" s="160"/>
      <c r="B139" s="218" t="s">
        <v>64</v>
      </c>
      <c r="C139" s="218">
        <v>95.0</v>
      </c>
      <c r="D139" s="218">
        <v>203.0</v>
      </c>
      <c r="E139" s="218">
        <v>232.0</v>
      </c>
      <c r="F139" s="215">
        <f t="shared" si="124"/>
        <v>0.2</v>
      </c>
      <c r="G139" s="215">
        <f t="shared" si="125"/>
        <v>0</v>
      </c>
      <c r="H139" s="216">
        <f t="shared" si="126"/>
        <v>0</v>
      </c>
      <c r="I139" s="215">
        <v>1.0</v>
      </c>
      <c r="J139" s="194">
        <f t="shared" si="127"/>
        <v>0</v>
      </c>
      <c r="K139" s="139"/>
      <c r="L139" s="176"/>
      <c r="M139" s="160"/>
      <c r="N139" s="160"/>
      <c r="O139" s="139"/>
      <c r="P139" s="139"/>
      <c r="Q139" s="141"/>
      <c r="R139" s="139"/>
      <c r="S139" s="220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</row>
    <row r="140" ht="27.0" customHeight="1">
      <c r="A140" s="160">
        <v>3.0</v>
      </c>
      <c r="B140" s="218" t="s">
        <v>94</v>
      </c>
      <c r="C140" s="218">
        <v>99.0</v>
      </c>
      <c r="D140" s="218">
        <v>206.0</v>
      </c>
      <c r="E140" s="218">
        <v>210.0</v>
      </c>
      <c r="F140" s="218">
        <f t="shared" si="124"/>
        <v>0.2</v>
      </c>
      <c r="G140" s="218">
        <f t="shared" si="125"/>
        <v>0</v>
      </c>
      <c r="H140" s="219">
        <f t="shared" si="126"/>
        <v>0</v>
      </c>
      <c r="I140" s="218">
        <v>1.0</v>
      </c>
      <c r="J140" s="194">
        <f t="shared" si="127"/>
        <v>0</v>
      </c>
      <c r="K140" s="139"/>
      <c r="L140" s="176">
        <f t="shared" ref="L140:L142" si="131">D140*25.4/1000</f>
        <v>5.2324</v>
      </c>
      <c r="M140" s="160">
        <f t="shared" ref="M140:M141" si="132">+I140</f>
        <v>1</v>
      </c>
      <c r="N140" s="160">
        <f t="shared" ref="N140:N141" si="133">M140*L140</f>
        <v>5.2324</v>
      </c>
      <c r="O140" s="139"/>
      <c r="P140" s="139"/>
      <c r="Q140" s="141"/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</row>
    <row r="141" ht="27.0" customHeight="1">
      <c r="A141" s="160">
        <v>4.0</v>
      </c>
      <c r="B141" s="218" t="s">
        <v>93</v>
      </c>
      <c r="C141" s="218">
        <v>69.0</v>
      </c>
      <c r="D141" s="218">
        <v>206.0</v>
      </c>
      <c r="E141" s="218">
        <v>208.0</v>
      </c>
      <c r="F141" s="218">
        <f t="shared" si="124"/>
        <v>0.2</v>
      </c>
      <c r="G141" s="218">
        <f t="shared" si="125"/>
        <v>0</v>
      </c>
      <c r="H141" s="219">
        <f t="shared" si="126"/>
        <v>0</v>
      </c>
      <c r="I141" s="218">
        <v>1.0</v>
      </c>
      <c r="J141" s="194">
        <f t="shared" si="127"/>
        <v>0</v>
      </c>
      <c r="K141" s="139"/>
      <c r="L141" s="176">
        <f t="shared" si="131"/>
        <v>5.2324</v>
      </c>
      <c r="M141" s="160">
        <f t="shared" si="132"/>
        <v>1</v>
      </c>
      <c r="N141" s="160">
        <f t="shared" si="133"/>
        <v>5.2324</v>
      </c>
      <c r="O141" s="139"/>
      <c r="P141" s="139"/>
      <c r="Q141" s="141"/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</row>
    <row r="142" ht="27.0" customHeight="1">
      <c r="A142" s="160">
        <v>5.0</v>
      </c>
      <c r="B142" s="218" t="s">
        <v>70</v>
      </c>
      <c r="C142" s="218">
        <v>71.0</v>
      </c>
      <c r="D142" s="218">
        <v>206.0</v>
      </c>
      <c r="E142" s="218">
        <v>191.0</v>
      </c>
      <c r="F142" s="218">
        <f t="shared" si="124"/>
        <v>0.2</v>
      </c>
      <c r="G142" s="218">
        <f t="shared" si="125"/>
        <v>0</v>
      </c>
      <c r="H142" s="219">
        <f t="shared" si="126"/>
        <v>0</v>
      </c>
      <c r="I142" s="218">
        <v>1.0</v>
      </c>
      <c r="J142" s="194">
        <f t="shared" si="127"/>
        <v>0</v>
      </c>
      <c r="K142" s="139"/>
      <c r="L142" s="139">
        <f t="shared" si="131"/>
        <v>5.2324</v>
      </c>
      <c r="M142" s="221"/>
      <c r="N142" s="221"/>
      <c r="O142" s="139"/>
      <c r="P142" s="139"/>
      <c r="Q142" s="141"/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</row>
    <row r="143" ht="24.75" customHeight="1">
      <c r="A143" s="160"/>
      <c r="B143" s="197"/>
      <c r="C143" s="197"/>
      <c r="D143" s="197"/>
      <c r="E143" s="197"/>
      <c r="F143" s="197"/>
      <c r="G143" s="197"/>
      <c r="H143" s="269" t="s">
        <v>38</v>
      </c>
      <c r="I143" s="197"/>
      <c r="J143" s="226">
        <f>SUM(J135:J142)</f>
        <v>0</v>
      </c>
      <c r="K143" s="139"/>
      <c r="L143" s="139"/>
      <c r="M143" s="139"/>
      <c r="N143" s="139"/>
      <c r="O143" s="139"/>
      <c r="P143" s="139"/>
      <c r="Q143" s="141"/>
      <c r="R143" s="227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</row>
    <row r="144" ht="18.75" customHeight="1">
      <c r="A144" s="174"/>
      <c r="B144" s="144"/>
      <c r="C144" s="144"/>
      <c r="D144" s="144"/>
      <c r="E144" s="144"/>
      <c r="F144" s="144"/>
      <c r="G144" s="144"/>
      <c r="H144" s="145"/>
      <c r="I144" s="144"/>
      <c r="J144" s="175"/>
      <c r="K144" s="139"/>
      <c r="L144" s="139"/>
      <c r="M144" s="139"/>
      <c r="N144" s="139"/>
      <c r="O144" s="139"/>
      <c r="P144" s="139"/>
      <c r="Q144" s="141"/>
      <c r="R144" s="227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</row>
    <row r="145" ht="18.75" customHeight="1">
      <c r="A145" s="139"/>
      <c r="B145" s="139"/>
      <c r="C145" s="139"/>
      <c r="D145" s="139"/>
      <c r="E145" s="139"/>
      <c r="F145" s="139"/>
      <c r="G145" s="139"/>
      <c r="H145" s="140"/>
      <c r="I145" s="139"/>
      <c r="J145" s="139"/>
      <c r="K145" s="139"/>
      <c r="L145" s="139"/>
      <c r="M145" s="139"/>
      <c r="N145" s="139"/>
      <c r="O145" s="139"/>
      <c r="P145" s="139"/>
      <c r="Q145" s="141"/>
      <c r="R145" s="227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</row>
    <row r="146" ht="18.75" customHeight="1">
      <c r="A146" s="139"/>
      <c r="B146" s="139"/>
      <c r="C146" s="139"/>
      <c r="D146" s="139"/>
      <c r="E146" s="139"/>
      <c r="F146" s="139"/>
      <c r="G146" s="139"/>
      <c r="H146" s="140"/>
      <c r="I146" s="139"/>
      <c r="J146" s="139"/>
      <c r="K146" s="139"/>
      <c r="L146" s="139"/>
      <c r="M146" s="139"/>
      <c r="N146" s="139"/>
      <c r="O146" s="139"/>
      <c r="P146" s="139"/>
      <c r="Q146" s="141"/>
      <c r="R146" s="227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</row>
    <row r="147" ht="18.75" customHeight="1">
      <c r="A147" s="139" t="s">
        <v>39</v>
      </c>
      <c r="B147" s="139"/>
      <c r="C147" s="139"/>
      <c r="D147" s="139"/>
      <c r="E147" s="139"/>
      <c r="F147" s="139"/>
      <c r="G147" s="139"/>
      <c r="H147" s="140"/>
      <c r="I147" s="139"/>
      <c r="J147" s="139"/>
      <c r="K147" s="139"/>
      <c r="L147" s="139"/>
      <c r="M147" s="139"/>
      <c r="N147" s="139"/>
      <c r="O147" s="139"/>
      <c r="P147" s="139"/>
      <c r="Q147" s="141"/>
      <c r="R147" s="227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</row>
    <row r="148" ht="18.75" customHeight="1">
      <c r="A148" s="139"/>
      <c r="B148" s="139"/>
      <c r="C148" s="139"/>
      <c r="D148" s="139"/>
      <c r="E148" s="139"/>
      <c r="F148" s="139"/>
      <c r="G148" s="139"/>
      <c r="H148" s="140"/>
      <c r="I148" s="139"/>
      <c r="J148" s="139"/>
      <c r="K148" s="139"/>
      <c r="L148" s="139"/>
      <c r="M148" s="139"/>
      <c r="N148" s="139"/>
      <c r="O148" s="139"/>
      <c r="P148" s="139"/>
      <c r="Q148" s="141"/>
      <c r="R148" s="227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</row>
    <row r="149" ht="42.0" customHeight="1">
      <c r="A149" s="176"/>
      <c r="B149" s="160" t="s">
        <v>12</v>
      </c>
      <c r="C149" s="177" t="s">
        <v>74</v>
      </c>
      <c r="D149" s="52"/>
      <c r="E149" s="53"/>
      <c r="F149" s="228"/>
      <c r="G149" s="228"/>
      <c r="H149" s="179" t="s">
        <v>14</v>
      </c>
      <c r="I149" s="224" t="s">
        <v>15</v>
      </c>
      <c r="J149" s="160" t="s">
        <v>16</v>
      </c>
      <c r="K149" s="139"/>
      <c r="L149" s="139"/>
      <c r="M149" s="139"/>
      <c r="N149" s="139"/>
      <c r="O149" s="139"/>
      <c r="P149" s="139"/>
      <c r="Q149" s="141"/>
      <c r="R149" s="227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</row>
    <row r="150" ht="24.75" customHeight="1">
      <c r="A150" s="160">
        <v>1.0</v>
      </c>
      <c r="B150" s="182" t="s">
        <v>97</v>
      </c>
      <c r="C150" s="181"/>
      <c r="D150" s="181"/>
      <c r="E150" s="181"/>
      <c r="F150" s="181"/>
      <c r="G150" s="181"/>
      <c r="H150" s="232">
        <v>47.0</v>
      </c>
      <c r="I150" s="181">
        <v>1.0</v>
      </c>
      <c r="J150" s="194">
        <f t="shared" ref="J150:J161" si="134">+I150*H150</f>
        <v>47</v>
      </c>
      <c r="K150" s="176"/>
      <c r="L150" s="176"/>
      <c r="M150" s="176"/>
      <c r="N150" s="176"/>
      <c r="O150" s="176"/>
      <c r="P150" s="176"/>
      <c r="Q150" s="231"/>
      <c r="R150" s="227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</row>
    <row r="151" ht="24.75" customHeight="1">
      <c r="A151" s="160">
        <v>2.0</v>
      </c>
      <c r="B151" s="191" t="s">
        <v>97</v>
      </c>
      <c r="C151" s="181"/>
      <c r="D151" s="181"/>
      <c r="E151" s="181"/>
      <c r="F151" s="181"/>
      <c r="G151" s="181"/>
      <c r="H151" s="232">
        <v>20.0</v>
      </c>
      <c r="I151" s="181">
        <v>1.0</v>
      </c>
      <c r="J151" s="194">
        <f t="shared" si="134"/>
        <v>20</v>
      </c>
      <c r="K151" s="176"/>
      <c r="L151" s="176"/>
      <c r="M151" s="176"/>
      <c r="N151" s="176"/>
      <c r="O151" s="176"/>
      <c r="P151" s="176"/>
      <c r="Q151" s="231"/>
      <c r="R151" s="227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</row>
    <row r="152" ht="24.75" customHeight="1">
      <c r="A152" s="160">
        <v>3.0</v>
      </c>
      <c r="B152" s="182" t="s">
        <v>56</v>
      </c>
      <c r="C152" s="181"/>
      <c r="D152" s="181"/>
      <c r="E152" s="181"/>
      <c r="F152" s="181"/>
      <c r="G152" s="181"/>
      <c r="H152" s="232">
        <v>47.0</v>
      </c>
      <c r="I152" s="181">
        <v>1.0</v>
      </c>
      <c r="J152" s="194">
        <f t="shared" si="134"/>
        <v>47</v>
      </c>
      <c r="K152" s="176"/>
      <c r="L152" s="176"/>
      <c r="M152" s="176"/>
      <c r="N152" s="176"/>
      <c r="O152" s="176"/>
      <c r="P152" s="176"/>
      <c r="Q152" s="231"/>
      <c r="R152" s="227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</row>
    <row r="153" ht="24.75" customHeight="1">
      <c r="A153" s="160">
        <v>4.0</v>
      </c>
      <c r="B153" s="191" t="s">
        <v>56</v>
      </c>
      <c r="C153" s="181"/>
      <c r="D153" s="181"/>
      <c r="E153" s="181"/>
      <c r="F153" s="181"/>
      <c r="G153" s="181"/>
      <c r="H153" s="232">
        <v>20.0</v>
      </c>
      <c r="I153" s="181">
        <v>1.0</v>
      </c>
      <c r="J153" s="194">
        <f t="shared" si="134"/>
        <v>20</v>
      </c>
      <c r="K153" s="176"/>
      <c r="L153" s="176"/>
      <c r="M153" s="176"/>
      <c r="N153" s="176"/>
      <c r="O153" s="176"/>
      <c r="P153" s="176"/>
      <c r="Q153" s="231"/>
      <c r="R153" s="227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</row>
    <row r="154" ht="24.75" customHeight="1">
      <c r="A154" s="160">
        <v>5.0</v>
      </c>
      <c r="B154" s="182" t="s">
        <v>56</v>
      </c>
      <c r="C154" s="181"/>
      <c r="D154" s="181"/>
      <c r="E154" s="181"/>
      <c r="F154" s="181"/>
      <c r="G154" s="181"/>
      <c r="H154" s="232">
        <v>46.0</v>
      </c>
      <c r="I154" s="181">
        <v>1.0</v>
      </c>
      <c r="J154" s="194">
        <f t="shared" si="134"/>
        <v>46</v>
      </c>
      <c r="K154" s="176"/>
      <c r="L154" s="176"/>
      <c r="M154" s="176"/>
      <c r="N154" s="176"/>
      <c r="O154" s="176"/>
      <c r="P154" s="176"/>
      <c r="Q154" s="231"/>
      <c r="R154" s="227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</row>
    <row r="155" ht="24.75" customHeight="1">
      <c r="A155" s="160">
        <v>6.0</v>
      </c>
      <c r="B155" s="191" t="s">
        <v>55</v>
      </c>
      <c r="C155" s="181"/>
      <c r="D155" s="181"/>
      <c r="E155" s="181"/>
      <c r="F155" s="181"/>
      <c r="G155" s="181"/>
      <c r="H155" s="232">
        <v>21.0</v>
      </c>
      <c r="I155" s="181">
        <v>1.0</v>
      </c>
      <c r="J155" s="194">
        <f t="shared" si="134"/>
        <v>21</v>
      </c>
      <c r="K155" s="176"/>
      <c r="L155" s="176"/>
      <c r="M155" s="176"/>
      <c r="N155" s="176"/>
      <c r="O155" s="176"/>
      <c r="P155" s="176"/>
      <c r="Q155" s="231"/>
      <c r="R155" s="227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</row>
    <row r="156" ht="24.75" customHeight="1">
      <c r="A156" s="160">
        <v>7.0</v>
      </c>
      <c r="B156" s="182" t="s">
        <v>95</v>
      </c>
      <c r="C156" s="181"/>
      <c r="D156" s="181"/>
      <c r="E156" s="181"/>
      <c r="F156" s="181"/>
      <c r="G156" s="181"/>
      <c r="H156" s="232">
        <v>67.0</v>
      </c>
      <c r="I156" s="181">
        <v>1.0</v>
      </c>
      <c r="J156" s="194">
        <f t="shared" si="134"/>
        <v>67</v>
      </c>
      <c r="K156" s="176"/>
      <c r="L156" s="176"/>
      <c r="M156" s="176"/>
      <c r="N156" s="176"/>
      <c r="O156" s="176"/>
      <c r="P156" s="176"/>
      <c r="Q156" s="231"/>
      <c r="R156" s="227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</row>
    <row r="157" ht="24.75" customHeight="1">
      <c r="A157" s="160">
        <v>8.0</v>
      </c>
      <c r="B157" s="191" t="s">
        <v>95</v>
      </c>
      <c r="C157" s="181"/>
      <c r="D157" s="181"/>
      <c r="E157" s="181"/>
      <c r="F157" s="181"/>
      <c r="G157" s="181"/>
      <c r="H157" s="232">
        <v>12.0</v>
      </c>
      <c r="I157" s="181">
        <v>1.0</v>
      </c>
      <c r="J157" s="194">
        <f t="shared" si="134"/>
        <v>12</v>
      </c>
      <c r="K157" s="176"/>
      <c r="L157" s="176"/>
      <c r="M157" s="176"/>
      <c r="N157" s="176"/>
      <c r="O157" s="176"/>
      <c r="P157" s="176"/>
      <c r="Q157" s="231"/>
      <c r="R157" s="227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</row>
    <row r="158" ht="24.75" customHeight="1">
      <c r="A158" s="160">
        <v>9.0</v>
      </c>
      <c r="B158" s="182" t="s">
        <v>85</v>
      </c>
      <c r="C158" s="181"/>
      <c r="D158" s="181"/>
      <c r="E158" s="181"/>
      <c r="F158" s="181"/>
      <c r="G158" s="181"/>
      <c r="H158" s="232">
        <v>41.0</v>
      </c>
      <c r="I158" s="181">
        <v>1.0</v>
      </c>
      <c r="J158" s="194">
        <f t="shared" si="134"/>
        <v>41</v>
      </c>
      <c r="K158" s="176"/>
      <c r="L158" s="176"/>
      <c r="M158" s="176"/>
      <c r="N158" s="176"/>
      <c r="O158" s="176"/>
      <c r="P158" s="176"/>
      <c r="Q158" s="231"/>
      <c r="R158" s="227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</row>
    <row r="159" ht="24.75" customHeight="1">
      <c r="A159" s="160">
        <v>10.0</v>
      </c>
      <c r="B159" s="191" t="s">
        <v>85</v>
      </c>
      <c r="C159" s="181"/>
      <c r="D159" s="181"/>
      <c r="E159" s="181"/>
      <c r="F159" s="181"/>
      <c r="G159" s="181"/>
      <c r="H159" s="232">
        <v>20.0</v>
      </c>
      <c r="I159" s="181">
        <v>1.0</v>
      </c>
      <c r="J159" s="194">
        <f t="shared" si="134"/>
        <v>20</v>
      </c>
      <c r="K159" s="176"/>
      <c r="L159" s="176"/>
      <c r="M159" s="176"/>
      <c r="N159" s="176"/>
      <c r="O159" s="176"/>
      <c r="P159" s="176"/>
      <c r="Q159" s="231"/>
      <c r="R159" s="227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</row>
    <row r="160" ht="24.75" customHeight="1">
      <c r="A160" s="160">
        <v>11.0</v>
      </c>
      <c r="B160" s="182" t="s">
        <v>60</v>
      </c>
      <c r="C160" s="181"/>
      <c r="D160" s="181"/>
      <c r="E160" s="181"/>
      <c r="F160" s="181"/>
      <c r="G160" s="181"/>
      <c r="H160" s="232">
        <v>41.0</v>
      </c>
      <c r="I160" s="181">
        <v>1.0</v>
      </c>
      <c r="J160" s="194">
        <f t="shared" si="134"/>
        <v>41</v>
      </c>
      <c r="K160" s="176"/>
      <c r="L160" s="176"/>
      <c r="M160" s="176"/>
      <c r="N160" s="176"/>
      <c r="O160" s="176"/>
      <c r="P160" s="176"/>
      <c r="Q160" s="231"/>
      <c r="R160" s="227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</row>
    <row r="161" ht="24.75" customHeight="1">
      <c r="A161" s="160">
        <v>12.0</v>
      </c>
      <c r="B161" s="191" t="s">
        <v>60</v>
      </c>
      <c r="C161" s="181"/>
      <c r="D161" s="181"/>
      <c r="E161" s="181"/>
      <c r="F161" s="181"/>
      <c r="G161" s="181"/>
      <c r="H161" s="232">
        <v>25.0</v>
      </c>
      <c r="I161" s="181">
        <v>1.0</v>
      </c>
      <c r="J161" s="194">
        <f t="shared" si="134"/>
        <v>25</v>
      </c>
      <c r="K161" s="176"/>
      <c r="L161" s="176"/>
      <c r="M161" s="176"/>
      <c r="N161" s="176"/>
      <c r="O161" s="176"/>
      <c r="P161" s="176"/>
      <c r="Q161" s="231"/>
      <c r="R161" s="227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</row>
    <row r="162" ht="18.75" customHeight="1">
      <c r="A162" s="139"/>
      <c r="B162" s="139"/>
      <c r="C162" s="139"/>
      <c r="D162" s="139"/>
      <c r="E162" s="139"/>
      <c r="F162" s="139"/>
      <c r="G162" s="139"/>
      <c r="H162" s="140" t="s">
        <v>38</v>
      </c>
      <c r="I162" s="139"/>
      <c r="J162" s="235">
        <f>SUM(J150:J161)</f>
        <v>407</v>
      </c>
      <c r="K162" s="236"/>
      <c r="L162" s="236"/>
      <c r="M162" s="236"/>
      <c r="N162" s="236"/>
      <c r="O162" s="236"/>
      <c r="P162" s="236"/>
      <c r="Q162" s="237"/>
      <c r="R162" s="227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</row>
    <row r="163" ht="18.75" customHeight="1">
      <c r="A163" s="144"/>
      <c r="B163" s="144"/>
      <c r="C163" s="144"/>
      <c r="D163" s="144"/>
      <c r="E163" s="144"/>
      <c r="F163" s="144"/>
      <c r="G163" s="144"/>
      <c r="H163" s="145"/>
      <c r="I163" s="173"/>
      <c r="J163" s="205">
        <f>+J162*60%</f>
        <v>244.2</v>
      </c>
      <c r="K163" s="205"/>
      <c r="L163" s="205"/>
      <c r="M163" s="205"/>
      <c r="N163" s="205"/>
      <c r="O163" s="205"/>
      <c r="P163" s="205"/>
      <c r="Q163" s="207">
        <f>+J162*40%</f>
        <v>162.8</v>
      </c>
      <c r="R163" s="227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</row>
    <row r="164" ht="18.75" customHeight="1">
      <c r="A164" s="139"/>
      <c r="B164" s="139"/>
      <c r="C164" s="139"/>
      <c r="D164" s="139"/>
      <c r="E164" s="139"/>
      <c r="F164" s="139"/>
      <c r="G164" s="139"/>
      <c r="H164" s="140"/>
      <c r="I164" s="139"/>
      <c r="J164" s="139"/>
      <c r="K164" s="139"/>
      <c r="L164" s="139"/>
      <c r="M164" s="139"/>
      <c r="N164" s="139"/>
      <c r="O164" s="139"/>
      <c r="P164" s="139"/>
      <c r="Q164" s="141"/>
      <c r="R164" s="227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</row>
    <row r="165" ht="18.75" customHeight="1">
      <c r="A165" s="139"/>
      <c r="B165" s="139"/>
      <c r="C165" s="139"/>
      <c r="D165" s="139"/>
      <c r="E165" s="139"/>
      <c r="F165" s="139"/>
      <c r="G165" s="139"/>
      <c r="H165" s="140"/>
      <c r="I165" s="139"/>
      <c r="J165" s="139"/>
      <c r="K165" s="139"/>
      <c r="L165" s="139"/>
      <c r="M165" s="139"/>
      <c r="N165" s="139"/>
      <c r="O165" s="139"/>
      <c r="P165" s="139"/>
      <c r="Q165" s="141"/>
      <c r="R165" s="227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</row>
    <row r="166" ht="19.5" customHeight="1">
      <c r="A166" s="238" t="s">
        <v>41</v>
      </c>
      <c r="B166" s="139"/>
      <c r="C166" s="139"/>
      <c r="D166" s="139"/>
      <c r="E166" s="139"/>
      <c r="F166" s="139"/>
      <c r="G166" s="139"/>
      <c r="H166" s="140"/>
      <c r="I166" s="139"/>
      <c r="J166" s="139"/>
      <c r="K166" s="139"/>
      <c r="L166" s="139"/>
      <c r="M166" s="139"/>
      <c r="N166" s="139"/>
      <c r="O166" s="139"/>
      <c r="P166" s="139"/>
      <c r="Q166" s="141"/>
      <c r="R166" s="227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</row>
    <row r="167" ht="57.0" customHeight="1">
      <c r="A167" s="239"/>
      <c r="B167" s="240" t="s">
        <v>42</v>
      </c>
      <c r="C167" s="240" t="s">
        <v>43</v>
      </c>
      <c r="D167" s="240" t="s">
        <v>44</v>
      </c>
      <c r="E167" s="240" t="s">
        <v>45</v>
      </c>
      <c r="F167" s="240"/>
      <c r="G167" s="240"/>
      <c r="H167" s="241" t="s">
        <v>46</v>
      </c>
      <c r="I167" s="242" t="s">
        <v>47</v>
      </c>
      <c r="J167" s="139"/>
      <c r="K167" s="139"/>
      <c r="L167" s="139"/>
      <c r="M167" s="139"/>
      <c r="N167" s="139"/>
      <c r="O167" s="139"/>
      <c r="P167" s="139"/>
      <c r="Q167" s="141"/>
      <c r="R167" s="227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</row>
    <row r="168" ht="18.75" customHeight="1">
      <c r="A168" s="243" t="s">
        <v>48</v>
      </c>
      <c r="B168" s="244">
        <f>+E15</f>
        <v>39240.68417</v>
      </c>
      <c r="C168" s="245">
        <f>+J128</f>
        <v>34617.7333</v>
      </c>
      <c r="D168" s="245">
        <f>+J143</f>
        <v>0</v>
      </c>
      <c r="E168" s="246">
        <f>J163</f>
        <v>244.2</v>
      </c>
      <c r="F168" s="246"/>
      <c r="G168" s="246"/>
      <c r="H168" s="247">
        <f>+I15</f>
        <v>1036.614712</v>
      </c>
      <c r="I168" s="248">
        <f>+B168-C168-D168-E168-H168</f>
        <v>3342.136162</v>
      </c>
      <c r="J168" s="139"/>
      <c r="K168" s="139"/>
      <c r="L168" s="139"/>
      <c r="M168" s="139"/>
      <c r="N168" s="139"/>
      <c r="O168" s="139"/>
      <c r="P168" s="139"/>
      <c r="Q168" s="141"/>
      <c r="R168" s="227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</row>
    <row r="169" ht="19.5" customHeight="1">
      <c r="A169" s="249" t="s">
        <v>49</v>
      </c>
      <c r="B169" s="250"/>
      <c r="C169" s="251">
        <f>+C168/B168</f>
        <v>0.8821898503</v>
      </c>
      <c r="D169" s="251">
        <f>+D168/B168</f>
        <v>0</v>
      </c>
      <c r="E169" s="251">
        <f>+E168/B168</f>
        <v>0.006223133086</v>
      </c>
      <c r="F169" s="251"/>
      <c r="G169" s="251"/>
      <c r="H169" s="252">
        <f>+H168/B168</f>
        <v>0.02641683585</v>
      </c>
      <c r="I169" s="253">
        <f>+I168/B168</f>
        <v>0.08517018072</v>
      </c>
      <c r="J169" s="139"/>
      <c r="K169" s="139"/>
      <c r="L169" s="139"/>
      <c r="M169" s="139"/>
      <c r="N169" s="139"/>
      <c r="O169" s="139"/>
      <c r="P169" s="139"/>
      <c r="Q169" s="141"/>
      <c r="R169" s="227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</row>
    <row r="170" ht="19.5" customHeight="1">
      <c r="A170" s="163"/>
      <c r="B170" s="221"/>
      <c r="C170" s="254"/>
      <c r="D170" s="254"/>
      <c r="E170" s="254"/>
      <c r="F170" s="254"/>
      <c r="G170" s="254"/>
      <c r="H170" s="255"/>
      <c r="I170" s="256"/>
      <c r="J170" s="139"/>
      <c r="K170" s="139"/>
      <c r="L170" s="139"/>
      <c r="M170" s="139"/>
      <c r="N170" s="139"/>
      <c r="O170" s="139"/>
      <c r="P170" s="139"/>
      <c r="Q170" s="141"/>
      <c r="R170" s="227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</row>
    <row r="171" ht="18.75" customHeight="1">
      <c r="A171" s="257"/>
      <c r="B171" s="258"/>
      <c r="C171" s="258"/>
      <c r="D171" s="258" t="s">
        <v>50</v>
      </c>
      <c r="E171" s="258" t="s">
        <v>48</v>
      </c>
      <c r="F171" s="258"/>
      <c r="G171" s="258"/>
      <c r="H171" s="259">
        <f>+D168+E168+H168+I168</f>
        <v>4622.950875</v>
      </c>
      <c r="I171" s="260"/>
      <c r="J171" s="139"/>
      <c r="K171" s="139"/>
      <c r="L171" s="139"/>
      <c r="M171" s="139"/>
      <c r="N171" s="139"/>
      <c r="O171" s="139"/>
      <c r="P171" s="139"/>
      <c r="Q171" s="141"/>
      <c r="R171" s="140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</row>
    <row r="172" ht="18.75" customHeight="1">
      <c r="A172" s="261"/>
      <c r="B172" s="139"/>
      <c r="C172" s="139"/>
      <c r="D172" s="139"/>
      <c r="E172" s="139" t="s">
        <v>49</v>
      </c>
      <c r="F172" s="139"/>
      <c r="G172" s="139"/>
      <c r="H172" s="255">
        <f>+H171/B168</f>
        <v>0.1178101497</v>
      </c>
      <c r="I172" s="262"/>
      <c r="J172" s="139"/>
      <c r="K172" s="139"/>
      <c r="L172" s="139"/>
      <c r="M172" s="139"/>
      <c r="N172" s="139"/>
      <c r="O172" s="139"/>
      <c r="P172" s="139"/>
      <c r="Q172" s="141"/>
      <c r="R172" s="140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</row>
    <row r="173" ht="18.75" customHeight="1">
      <c r="A173" s="261"/>
      <c r="B173" s="139"/>
      <c r="C173" s="139" t="s">
        <v>51</v>
      </c>
      <c r="D173" s="139"/>
      <c r="E173" s="139"/>
      <c r="F173" s="139"/>
      <c r="G173" s="139"/>
      <c r="H173" s="140"/>
      <c r="I173" s="262"/>
      <c r="J173" s="139"/>
      <c r="K173" s="139"/>
      <c r="L173" s="139"/>
      <c r="M173" s="139"/>
      <c r="N173" s="139"/>
      <c r="O173" s="139"/>
      <c r="P173" s="139"/>
      <c r="Q173" s="141"/>
      <c r="R173" s="140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</row>
    <row r="174" ht="18.75" customHeight="1">
      <c r="A174" s="261"/>
      <c r="B174" s="139"/>
      <c r="C174" s="139"/>
      <c r="D174" s="139" t="s">
        <v>52</v>
      </c>
      <c r="E174" s="139"/>
      <c r="F174" s="139"/>
      <c r="G174" s="139"/>
      <c r="H174" s="140">
        <f>+H173*(H171-H168)</f>
        <v>0</v>
      </c>
      <c r="I174" s="262"/>
      <c r="J174" s="139"/>
      <c r="K174" s="139"/>
      <c r="L174" s="139"/>
      <c r="M174" s="139"/>
      <c r="N174" s="139"/>
      <c r="O174" s="139"/>
      <c r="P174" s="139"/>
      <c r="Q174" s="141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</row>
    <row r="175" ht="19.5" customHeight="1">
      <c r="A175" s="263"/>
      <c r="B175" s="264"/>
      <c r="C175" s="264"/>
      <c r="D175" s="264"/>
      <c r="E175" s="264"/>
      <c r="F175" s="264"/>
      <c r="G175" s="264"/>
      <c r="H175" s="265"/>
      <c r="I175" s="266"/>
      <c r="J175" s="139"/>
      <c r="K175" s="139"/>
      <c r="L175" s="139"/>
      <c r="M175" s="139"/>
      <c r="N175" s="139"/>
      <c r="O175" s="139"/>
      <c r="P175" s="139"/>
      <c r="Q175" s="141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</row>
    <row r="176" ht="18.75" customHeight="1">
      <c r="A176" s="139"/>
      <c r="B176" s="139"/>
      <c r="C176" s="139"/>
      <c r="D176" s="139"/>
      <c r="E176" s="139"/>
      <c r="F176" s="139"/>
      <c r="G176" s="139"/>
      <c r="H176" s="140"/>
      <c r="I176" s="139"/>
      <c r="J176" s="139"/>
      <c r="K176" s="139"/>
      <c r="L176" s="139"/>
      <c r="M176" s="139"/>
      <c r="N176" s="139"/>
      <c r="O176" s="139"/>
      <c r="P176" s="139"/>
      <c r="Q176" s="141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</row>
    <row r="177" ht="18.75" customHeight="1">
      <c r="A177" s="139"/>
      <c r="B177" s="139"/>
      <c r="C177" s="139"/>
      <c r="D177" s="139"/>
      <c r="E177" s="139"/>
      <c r="F177" s="139"/>
      <c r="G177" s="139"/>
      <c r="H177" s="140"/>
      <c r="I177" s="139"/>
      <c r="J177" s="139"/>
      <c r="K177" s="139"/>
      <c r="L177" s="139"/>
      <c r="M177" s="139"/>
      <c r="N177" s="139"/>
      <c r="O177" s="139"/>
      <c r="P177" s="139"/>
      <c r="Q177" s="141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</row>
    <row r="178" ht="18.75" customHeight="1">
      <c r="A178" s="139"/>
      <c r="B178" s="139"/>
      <c r="C178" s="139"/>
      <c r="D178" s="139"/>
      <c r="E178" s="139"/>
      <c r="F178" s="139"/>
      <c r="G178" s="139"/>
      <c r="H178" s="140"/>
      <c r="I178" s="139"/>
      <c r="J178" s="139"/>
      <c r="K178" s="139"/>
      <c r="L178" s="139"/>
      <c r="M178" s="139"/>
      <c r="N178" s="139"/>
      <c r="O178" s="139"/>
      <c r="P178" s="139"/>
      <c r="Q178" s="141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34:E134"/>
    <mergeCell ref="C149:E149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44352.0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109</v>
      </c>
      <c r="C8" s="154">
        <v>16.5</v>
      </c>
      <c r="D8" s="155">
        <v>0.0985</v>
      </c>
      <c r="E8" s="156">
        <f>202.2*0.996</f>
        <v>201.3912</v>
      </c>
      <c r="F8" s="156"/>
      <c r="G8" s="156"/>
      <c r="H8" s="157">
        <v>0.996</v>
      </c>
      <c r="I8" s="158">
        <f t="shared" ref="I8:I24" si="1">+D8*E8</f>
        <v>19.8370332</v>
      </c>
      <c r="J8" s="159">
        <f t="shared" ref="J8:J24" si="2">E8-I8</f>
        <v>181.5541668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60" t="s">
        <v>55</v>
      </c>
      <c r="C9" s="154">
        <v>29.5</v>
      </c>
      <c r="D9" s="161">
        <v>0.0155</v>
      </c>
      <c r="E9" s="162">
        <f>254.015*75.408</f>
        <v>19154.76312</v>
      </c>
      <c r="F9" s="162"/>
      <c r="G9" s="162"/>
      <c r="H9" s="157">
        <v>75.408</v>
      </c>
      <c r="I9" s="158">
        <f t="shared" si="1"/>
        <v>296.8988284</v>
      </c>
      <c r="J9" s="159">
        <f t="shared" si="2"/>
        <v>18857.86429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60" t="s">
        <v>83</v>
      </c>
      <c r="C10" s="154">
        <v>20.5</v>
      </c>
      <c r="D10" s="155">
        <v>0.0899</v>
      </c>
      <c r="E10" s="156">
        <f>211.643*10.121</f>
        <v>2142.038803</v>
      </c>
      <c r="F10" s="156"/>
      <c r="G10" s="156"/>
      <c r="H10" s="157">
        <v>10.121</v>
      </c>
      <c r="I10" s="158">
        <f t="shared" si="1"/>
        <v>192.5692884</v>
      </c>
      <c r="J10" s="159">
        <f t="shared" si="2"/>
        <v>1949.469515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61</v>
      </c>
      <c r="C11" s="154">
        <v>29.5</v>
      </c>
      <c r="D11" s="161">
        <v>0.068</v>
      </c>
      <c r="E11" s="162">
        <f>256.161*6</f>
        <v>1536.966</v>
      </c>
      <c r="F11" s="162"/>
      <c r="G11" s="162"/>
      <c r="H11" s="157">
        <v>6.0</v>
      </c>
      <c r="I11" s="158">
        <f t="shared" si="1"/>
        <v>104.513688</v>
      </c>
      <c r="J11" s="159">
        <f t="shared" si="2"/>
        <v>1432.452312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56</v>
      </c>
      <c r="C12" s="160">
        <v>29.5</v>
      </c>
      <c r="D12" s="161">
        <v>0.0147</v>
      </c>
      <c r="E12" s="162">
        <f>245.932*17.868</f>
        <v>4394.312976</v>
      </c>
      <c r="F12" s="162"/>
      <c r="G12" s="162"/>
      <c r="H12" s="157">
        <v>17.868</v>
      </c>
      <c r="I12" s="158">
        <f t="shared" si="1"/>
        <v>64.59640075</v>
      </c>
      <c r="J12" s="159">
        <f t="shared" si="2"/>
        <v>4329.716575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110</v>
      </c>
      <c r="C13" s="160">
        <v>20.5</v>
      </c>
      <c r="D13" s="161">
        <v>0.0919</v>
      </c>
      <c r="E13" s="162">
        <f>158.872*1.178</f>
        <v>187.151216</v>
      </c>
      <c r="F13" s="162"/>
      <c r="G13" s="162"/>
      <c r="H13" s="157">
        <v>1.178</v>
      </c>
      <c r="I13" s="158">
        <f t="shared" si="1"/>
        <v>17.19919675</v>
      </c>
      <c r="J13" s="159">
        <f t="shared" si="2"/>
        <v>169.9520192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customHeight="1">
      <c r="A14" s="153">
        <v>7.0</v>
      </c>
      <c r="B14" s="160" t="s">
        <v>111</v>
      </c>
      <c r="C14" s="160">
        <v>18.5</v>
      </c>
      <c r="D14" s="161">
        <v>0.1079</v>
      </c>
      <c r="E14" s="162">
        <f>204.995*1.059</f>
        <v>217.089705</v>
      </c>
      <c r="F14" s="162"/>
      <c r="G14" s="162"/>
      <c r="H14" s="157">
        <v>1.059</v>
      </c>
      <c r="I14" s="158">
        <f t="shared" si="1"/>
        <v>23.42397917</v>
      </c>
      <c r="J14" s="159">
        <f t="shared" si="2"/>
        <v>193.6657258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41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41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41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41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41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</row>
    <row r="25" ht="18.75" customHeight="1">
      <c r="A25" s="163"/>
      <c r="B25" s="164"/>
      <c r="C25" s="165"/>
      <c r="D25" s="166"/>
      <c r="E25" s="167">
        <f>SUM(E8:E24)</f>
        <v>27833.71302</v>
      </c>
      <c r="F25" s="168"/>
      <c r="G25" s="168"/>
      <c r="H25" s="169"/>
      <c r="I25" s="170">
        <f t="shared" ref="I25:J25" si="3">SUM(I8:I24)</f>
        <v>719.0384146</v>
      </c>
      <c r="J25" s="171">
        <f t="shared" si="3"/>
        <v>27114.67461</v>
      </c>
      <c r="K25" s="139"/>
      <c r="L25" s="139"/>
      <c r="M25" s="139"/>
      <c r="N25" s="139"/>
      <c r="O25" s="139"/>
      <c r="P25" s="139"/>
      <c r="Q25" s="141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41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41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41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41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41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</row>
    <row r="31" ht="40.5" customHeight="1">
      <c r="A31" s="176"/>
      <c r="B31" s="160" t="s">
        <v>12</v>
      </c>
      <c r="C31" s="177" t="s">
        <v>62</v>
      </c>
      <c r="D31" s="52"/>
      <c r="E31" s="53"/>
      <c r="F31" s="178"/>
      <c r="G31" s="178"/>
      <c r="H31" s="179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6" t="s">
        <v>18</v>
      </c>
      <c r="O31" s="139"/>
      <c r="P31" s="139"/>
      <c r="Q31" s="180"/>
      <c r="R31" s="160" t="s">
        <v>17</v>
      </c>
      <c r="S31" s="160" t="s">
        <v>15</v>
      </c>
      <c r="T31" s="176" t="s">
        <v>18</v>
      </c>
      <c r="U31" s="139"/>
      <c r="V31" s="176" t="s">
        <v>19</v>
      </c>
      <c r="W31" s="176" t="s">
        <v>20</v>
      </c>
      <c r="X31" s="176" t="s">
        <v>21</v>
      </c>
      <c r="Y31" s="176" t="s">
        <v>112</v>
      </c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</row>
    <row r="32" ht="27.0" customHeight="1">
      <c r="A32" s="181">
        <v>1.0</v>
      </c>
      <c r="B32" s="182" t="s">
        <v>113</v>
      </c>
      <c r="C32" s="191">
        <v>87.0</v>
      </c>
      <c r="D32" s="191">
        <v>200.0</v>
      </c>
      <c r="E32" s="191">
        <v>106.0</v>
      </c>
      <c r="F32" s="191">
        <f t="shared" ref="F32:F89" si="5">VALUE(IF(RIGHT(B32, 1)="%", RIGHT(B32, 3), 0))</f>
        <v>0.8</v>
      </c>
      <c r="G32" s="191">
        <f t="shared" ref="G32:G89" si="6">+Q32*C32/100*D32/100*E32/100</f>
        <v>30.4326</v>
      </c>
      <c r="H32" s="192">
        <f t="shared" ref="H32:H89" si="7">IF(F32=0, G32, F32*G32)</f>
        <v>24.34608</v>
      </c>
      <c r="I32" s="218">
        <v>1.0</v>
      </c>
      <c r="J32" s="193">
        <f t="shared" ref="J32:J89" si="8">+I32*H32</f>
        <v>24.34608</v>
      </c>
      <c r="K32" s="186"/>
      <c r="L32" s="187">
        <f>D32*25.4/1000</f>
        <v>5.08</v>
      </c>
      <c r="M32" s="181">
        <f>+I32</f>
        <v>1</v>
      </c>
      <c r="N32" s="181">
        <f>M32*L32</f>
        <v>5.08</v>
      </c>
      <c r="O32" s="186"/>
      <c r="P32" s="186"/>
      <c r="Q32" s="188">
        <v>16.5</v>
      </c>
      <c r="R32" s="187">
        <f t="shared" ref="R32:R90" si="9">E32/100</f>
        <v>1.06</v>
      </c>
      <c r="S32" s="181">
        <f t="shared" ref="S32:S90" si="10">I32</f>
        <v>1</v>
      </c>
      <c r="T32" s="181">
        <f t="shared" ref="T32:T90" si="11">S32*R32</f>
        <v>1.06</v>
      </c>
      <c r="U32" s="186">
        <f t="shared" ref="U32:U89" si="12">+Q32*C32/100*D32/100*E32/100</f>
        <v>30.4326</v>
      </c>
      <c r="V32" s="187">
        <f t="shared" ref="V32:W32" si="4">C32/100</f>
        <v>0.87</v>
      </c>
      <c r="W32" s="187">
        <f t="shared" si="4"/>
        <v>2</v>
      </c>
      <c r="X32" s="187">
        <f t="shared" ref="X32:X90" si="14">T32</f>
        <v>1.06</v>
      </c>
      <c r="Y32" s="189">
        <f t="shared" ref="Y32:Y90" si="15">V32*W32*X32</f>
        <v>1.8444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2.0</v>
      </c>
      <c r="B33" s="191" t="s">
        <v>109</v>
      </c>
      <c r="C33" s="191">
        <v>85.0</v>
      </c>
      <c r="D33" s="191">
        <v>200.0</v>
      </c>
      <c r="E33" s="191">
        <v>204.0</v>
      </c>
      <c r="F33" s="191">
        <f t="shared" si="5"/>
        <v>0</v>
      </c>
      <c r="G33" s="191">
        <f t="shared" si="6"/>
        <v>57.222</v>
      </c>
      <c r="H33" s="192">
        <f t="shared" si="7"/>
        <v>57.222</v>
      </c>
      <c r="I33" s="218">
        <v>1.0</v>
      </c>
      <c r="J33" s="193">
        <f t="shared" si="8"/>
        <v>57.222</v>
      </c>
      <c r="K33" s="186"/>
      <c r="L33" s="187"/>
      <c r="M33" s="181"/>
      <c r="N33" s="181"/>
      <c r="O33" s="186"/>
      <c r="P33" s="186"/>
      <c r="Q33" s="188">
        <v>16.5</v>
      </c>
      <c r="R33" s="187">
        <f t="shared" si="9"/>
        <v>2.04</v>
      </c>
      <c r="S33" s="181">
        <f t="shared" si="10"/>
        <v>1</v>
      </c>
      <c r="T33" s="181">
        <f t="shared" si="11"/>
        <v>2.04</v>
      </c>
      <c r="U33" s="186">
        <f t="shared" si="12"/>
        <v>57.222</v>
      </c>
      <c r="V33" s="187">
        <f t="shared" ref="V33:W33" si="13">C33/100</f>
        <v>0.85</v>
      </c>
      <c r="W33" s="187">
        <f t="shared" si="13"/>
        <v>2</v>
      </c>
      <c r="X33" s="187">
        <f t="shared" si="14"/>
        <v>2.04</v>
      </c>
      <c r="Y33" s="189">
        <f t="shared" si="15"/>
        <v>3.468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3.0</v>
      </c>
      <c r="B34" s="182" t="s">
        <v>64</v>
      </c>
      <c r="C34" s="183">
        <v>92.0</v>
      </c>
      <c r="D34" s="183">
        <v>203.0</v>
      </c>
      <c r="E34" s="183">
        <v>232.0</v>
      </c>
      <c r="F34" s="183">
        <f t="shared" si="5"/>
        <v>0.8</v>
      </c>
      <c r="G34" s="183">
        <f t="shared" si="6"/>
        <v>127.818544</v>
      </c>
      <c r="H34" s="184">
        <f t="shared" si="7"/>
        <v>102.2548352</v>
      </c>
      <c r="I34" s="183">
        <v>1.0</v>
      </c>
      <c r="J34" s="193">
        <f t="shared" si="8"/>
        <v>102.2548352</v>
      </c>
      <c r="K34" s="186"/>
      <c r="L34" s="187">
        <f t="shared" ref="L34:L49" si="17">D34*25.4/1000</f>
        <v>5.1562</v>
      </c>
      <c r="M34" s="181">
        <f t="shared" ref="M34:M52" si="18">+I34</f>
        <v>1</v>
      </c>
      <c r="N34" s="181">
        <f t="shared" ref="N34:N49" si="19">M34*L34</f>
        <v>5.1562</v>
      </c>
      <c r="O34" s="186"/>
      <c r="P34" s="186"/>
      <c r="Q34" s="188">
        <v>29.5</v>
      </c>
      <c r="R34" s="187">
        <f t="shared" si="9"/>
        <v>2.32</v>
      </c>
      <c r="S34" s="181">
        <f t="shared" si="10"/>
        <v>1</v>
      </c>
      <c r="T34" s="181">
        <f t="shared" si="11"/>
        <v>2.32</v>
      </c>
      <c r="U34" s="186">
        <f t="shared" si="12"/>
        <v>127.818544</v>
      </c>
      <c r="V34" s="187">
        <f t="shared" ref="V34:W34" si="16">C34/100</f>
        <v>0.92</v>
      </c>
      <c r="W34" s="187">
        <f t="shared" si="16"/>
        <v>2.03</v>
      </c>
      <c r="X34" s="187">
        <f t="shared" si="14"/>
        <v>2.32</v>
      </c>
      <c r="Y34" s="189">
        <f t="shared" si="15"/>
        <v>4.332832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4.0</v>
      </c>
      <c r="B35" s="191" t="s">
        <v>55</v>
      </c>
      <c r="C35" s="191">
        <v>77.0</v>
      </c>
      <c r="D35" s="191">
        <v>203.0</v>
      </c>
      <c r="E35" s="191">
        <v>110.0</v>
      </c>
      <c r="F35" s="191">
        <f t="shared" si="5"/>
        <v>0</v>
      </c>
      <c r="G35" s="191">
        <f t="shared" si="6"/>
        <v>50.722595</v>
      </c>
      <c r="H35" s="219">
        <f t="shared" si="7"/>
        <v>50.722595</v>
      </c>
      <c r="I35" s="218">
        <v>1.0</v>
      </c>
      <c r="J35" s="193">
        <f t="shared" si="8"/>
        <v>50.722595</v>
      </c>
      <c r="K35" s="186"/>
      <c r="L35" s="187">
        <f t="shared" si="17"/>
        <v>5.1562</v>
      </c>
      <c r="M35" s="181">
        <f t="shared" si="18"/>
        <v>1</v>
      </c>
      <c r="N35" s="181">
        <f t="shared" si="19"/>
        <v>5.1562</v>
      </c>
      <c r="O35" s="186"/>
      <c r="P35" s="186"/>
      <c r="Q35" s="188">
        <v>29.5</v>
      </c>
      <c r="R35" s="187">
        <f t="shared" si="9"/>
        <v>1.1</v>
      </c>
      <c r="S35" s="181">
        <f t="shared" si="10"/>
        <v>1</v>
      </c>
      <c r="T35" s="181">
        <f t="shared" si="11"/>
        <v>1.1</v>
      </c>
      <c r="U35" s="186">
        <f t="shared" si="12"/>
        <v>50.722595</v>
      </c>
      <c r="V35" s="187">
        <f t="shared" ref="V35:W35" si="20">C35/100</f>
        <v>0.77</v>
      </c>
      <c r="W35" s="187">
        <f t="shared" si="20"/>
        <v>2.03</v>
      </c>
      <c r="X35" s="187">
        <f t="shared" si="14"/>
        <v>1.1</v>
      </c>
      <c r="Y35" s="189">
        <f t="shared" si="15"/>
        <v>1.71941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5.0</v>
      </c>
      <c r="B36" s="191" t="s">
        <v>55</v>
      </c>
      <c r="C36" s="191">
        <v>95.0</v>
      </c>
      <c r="D36" s="191">
        <v>203.0</v>
      </c>
      <c r="E36" s="191">
        <v>201.0</v>
      </c>
      <c r="F36" s="191">
        <f t="shared" si="5"/>
        <v>0</v>
      </c>
      <c r="G36" s="191">
        <f t="shared" si="6"/>
        <v>114.3504075</v>
      </c>
      <c r="H36" s="219">
        <f t="shared" si="7"/>
        <v>114.3504075</v>
      </c>
      <c r="I36" s="218">
        <v>7.0</v>
      </c>
      <c r="J36" s="193">
        <f t="shared" si="8"/>
        <v>800.4528525</v>
      </c>
      <c r="K36" s="186"/>
      <c r="L36" s="187">
        <f t="shared" si="17"/>
        <v>5.1562</v>
      </c>
      <c r="M36" s="181">
        <f t="shared" si="18"/>
        <v>7</v>
      </c>
      <c r="N36" s="181">
        <f t="shared" si="19"/>
        <v>36.0934</v>
      </c>
      <c r="O36" s="186"/>
      <c r="P36" s="186"/>
      <c r="Q36" s="188">
        <v>29.5</v>
      </c>
      <c r="R36" s="187">
        <f t="shared" si="9"/>
        <v>2.01</v>
      </c>
      <c r="S36" s="181">
        <f t="shared" si="10"/>
        <v>7</v>
      </c>
      <c r="T36" s="181">
        <f t="shared" si="11"/>
        <v>14.07</v>
      </c>
      <c r="U36" s="186">
        <f t="shared" si="12"/>
        <v>114.3504075</v>
      </c>
      <c r="V36" s="187">
        <f t="shared" ref="V36:W36" si="21">C36/100</f>
        <v>0.95</v>
      </c>
      <c r="W36" s="187">
        <f t="shared" si="21"/>
        <v>2.03</v>
      </c>
      <c r="X36" s="187">
        <f t="shared" si="14"/>
        <v>14.07</v>
      </c>
      <c r="Y36" s="189">
        <f t="shared" si="15"/>
        <v>27.133995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6.0</v>
      </c>
      <c r="B37" s="191" t="s">
        <v>55</v>
      </c>
      <c r="C37" s="191">
        <v>84.0</v>
      </c>
      <c r="D37" s="191">
        <v>203.0</v>
      </c>
      <c r="E37" s="191">
        <v>204.0</v>
      </c>
      <c r="F37" s="191">
        <f t="shared" si="5"/>
        <v>0</v>
      </c>
      <c r="G37" s="191">
        <f t="shared" si="6"/>
        <v>102.618936</v>
      </c>
      <c r="H37" s="219">
        <f t="shared" si="7"/>
        <v>102.618936</v>
      </c>
      <c r="I37" s="218">
        <v>1.0</v>
      </c>
      <c r="J37" s="193">
        <f t="shared" si="8"/>
        <v>102.618936</v>
      </c>
      <c r="K37" s="186"/>
      <c r="L37" s="187">
        <f t="shared" si="17"/>
        <v>5.1562</v>
      </c>
      <c r="M37" s="181">
        <f t="shared" si="18"/>
        <v>1</v>
      </c>
      <c r="N37" s="181">
        <f t="shared" si="19"/>
        <v>5.1562</v>
      </c>
      <c r="O37" s="186"/>
      <c r="P37" s="186"/>
      <c r="Q37" s="188">
        <v>29.5</v>
      </c>
      <c r="R37" s="187">
        <f t="shared" si="9"/>
        <v>2.04</v>
      </c>
      <c r="S37" s="181">
        <f t="shared" si="10"/>
        <v>1</v>
      </c>
      <c r="T37" s="181">
        <f t="shared" si="11"/>
        <v>2.04</v>
      </c>
      <c r="U37" s="186">
        <f t="shared" si="12"/>
        <v>102.618936</v>
      </c>
      <c r="V37" s="187">
        <f t="shared" ref="V37:W37" si="22">C37/100</f>
        <v>0.84</v>
      </c>
      <c r="W37" s="187">
        <f t="shared" si="22"/>
        <v>2.03</v>
      </c>
      <c r="X37" s="187">
        <f t="shared" si="14"/>
        <v>2.04</v>
      </c>
      <c r="Y37" s="189">
        <f t="shared" si="15"/>
        <v>3.478608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7.0</v>
      </c>
      <c r="B38" s="191" t="s">
        <v>55</v>
      </c>
      <c r="C38" s="191">
        <v>96.0</v>
      </c>
      <c r="D38" s="191">
        <v>203.0</v>
      </c>
      <c r="E38" s="191">
        <v>201.0</v>
      </c>
      <c r="F38" s="191">
        <f t="shared" si="5"/>
        <v>0</v>
      </c>
      <c r="G38" s="191">
        <f t="shared" si="6"/>
        <v>115.554096</v>
      </c>
      <c r="H38" s="219">
        <f t="shared" si="7"/>
        <v>115.554096</v>
      </c>
      <c r="I38" s="218">
        <v>13.0</v>
      </c>
      <c r="J38" s="193">
        <f t="shared" si="8"/>
        <v>1502.203248</v>
      </c>
      <c r="K38" s="186"/>
      <c r="L38" s="187">
        <f t="shared" si="17"/>
        <v>5.1562</v>
      </c>
      <c r="M38" s="181">
        <f t="shared" si="18"/>
        <v>13</v>
      </c>
      <c r="N38" s="181">
        <f t="shared" si="19"/>
        <v>67.0306</v>
      </c>
      <c r="O38" s="186"/>
      <c r="P38" s="186"/>
      <c r="Q38" s="188">
        <v>29.5</v>
      </c>
      <c r="R38" s="187">
        <f t="shared" si="9"/>
        <v>2.01</v>
      </c>
      <c r="S38" s="181">
        <f t="shared" si="10"/>
        <v>13</v>
      </c>
      <c r="T38" s="181">
        <f t="shared" si="11"/>
        <v>26.13</v>
      </c>
      <c r="U38" s="186">
        <f t="shared" si="12"/>
        <v>115.554096</v>
      </c>
      <c r="V38" s="187">
        <f t="shared" ref="V38:W38" si="23">C38/100</f>
        <v>0.96</v>
      </c>
      <c r="W38" s="187">
        <f t="shared" si="23"/>
        <v>2.03</v>
      </c>
      <c r="X38" s="187">
        <f t="shared" si="14"/>
        <v>26.13</v>
      </c>
      <c r="Y38" s="189">
        <f t="shared" si="15"/>
        <v>50.922144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8.0</v>
      </c>
      <c r="B39" s="191" t="s">
        <v>55</v>
      </c>
      <c r="C39" s="191">
        <v>96.0</v>
      </c>
      <c r="D39" s="191">
        <v>203.0</v>
      </c>
      <c r="E39" s="191">
        <v>200.0</v>
      </c>
      <c r="F39" s="191">
        <f t="shared" si="5"/>
        <v>0</v>
      </c>
      <c r="G39" s="191">
        <f t="shared" si="6"/>
        <v>114.9792</v>
      </c>
      <c r="H39" s="219">
        <f t="shared" si="7"/>
        <v>114.9792</v>
      </c>
      <c r="I39" s="218">
        <v>19.0</v>
      </c>
      <c r="J39" s="193">
        <f t="shared" si="8"/>
        <v>2184.6048</v>
      </c>
      <c r="K39" s="186"/>
      <c r="L39" s="187">
        <f t="shared" si="17"/>
        <v>5.1562</v>
      </c>
      <c r="M39" s="181">
        <f t="shared" si="18"/>
        <v>19</v>
      </c>
      <c r="N39" s="181">
        <f t="shared" si="19"/>
        <v>97.9678</v>
      </c>
      <c r="O39" s="186"/>
      <c r="P39" s="186"/>
      <c r="Q39" s="188">
        <v>29.5</v>
      </c>
      <c r="R39" s="187">
        <f t="shared" si="9"/>
        <v>2</v>
      </c>
      <c r="S39" s="181">
        <f t="shared" si="10"/>
        <v>19</v>
      </c>
      <c r="T39" s="181">
        <f t="shared" si="11"/>
        <v>38</v>
      </c>
      <c r="U39" s="186">
        <f t="shared" si="12"/>
        <v>114.9792</v>
      </c>
      <c r="V39" s="187">
        <f t="shared" ref="V39:W39" si="24">C39/100</f>
        <v>0.96</v>
      </c>
      <c r="W39" s="187">
        <f t="shared" si="24"/>
        <v>2.03</v>
      </c>
      <c r="X39" s="187">
        <f t="shared" si="14"/>
        <v>38</v>
      </c>
      <c r="Y39" s="189">
        <f t="shared" si="15"/>
        <v>74.0544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9.0</v>
      </c>
      <c r="B40" s="191" t="s">
        <v>55</v>
      </c>
      <c r="C40" s="191">
        <v>97.0</v>
      </c>
      <c r="D40" s="191">
        <v>203.0</v>
      </c>
      <c r="E40" s="191">
        <v>231.0</v>
      </c>
      <c r="F40" s="191">
        <f t="shared" si="5"/>
        <v>0</v>
      </c>
      <c r="G40" s="191">
        <f t="shared" si="6"/>
        <v>134.1843195</v>
      </c>
      <c r="H40" s="219">
        <f t="shared" si="7"/>
        <v>134.1843195</v>
      </c>
      <c r="I40" s="218">
        <v>32.0</v>
      </c>
      <c r="J40" s="193">
        <f t="shared" si="8"/>
        <v>4293.898224</v>
      </c>
      <c r="K40" s="186"/>
      <c r="L40" s="187">
        <f t="shared" si="17"/>
        <v>5.1562</v>
      </c>
      <c r="M40" s="181">
        <f t="shared" si="18"/>
        <v>32</v>
      </c>
      <c r="N40" s="181">
        <f t="shared" si="19"/>
        <v>164.9984</v>
      </c>
      <c r="O40" s="186"/>
      <c r="P40" s="186"/>
      <c r="Q40" s="188">
        <v>29.5</v>
      </c>
      <c r="R40" s="187">
        <f t="shared" si="9"/>
        <v>2.31</v>
      </c>
      <c r="S40" s="181">
        <f t="shared" si="10"/>
        <v>32</v>
      </c>
      <c r="T40" s="181">
        <f t="shared" si="11"/>
        <v>73.92</v>
      </c>
      <c r="U40" s="186">
        <f t="shared" si="12"/>
        <v>134.1843195</v>
      </c>
      <c r="V40" s="187">
        <f t="shared" ref="V40:W40" si="25">C40/100</f>
        <v>0.97</v>
      </c>
      <c r="W40" s="187">
        <f t="shared" si="25"/>
        <v>2.03</v>
      </c>
      <c r="X40" s="187">
        <f t="shared" si="14"/>
        <v>73.92</v>
      </c>
      <c r="Y40" s="189">
        <f t="shared" si="15"/>
        <v>145.555872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10.0</v>
      </c>
      <c r="B41" s="191" t="s">
        <v>55</v>
      </c>
      <c r="C41" s="191">
        <v>97.0</v>
      </c>
      <c r="D41" s="191">
        <v>203.0</v>
      </c>
      <c r="E41" s="191">
        <v>200.0</v>
      </c>
      <c r="F41" s="191">
        <f t="shared" si="5"/>
        <v>0</v>
      </c>
      <c r="G41" s="191">
        <f t="shared" si="6"/>
        <v>116.1769</v>
      </c>
      <c r="H41" s="219">
        <f t="shared" si="7"/>
        <v>116.1769</v>
      </c>
      <c r="I41" s="218">
        <v>4.0</v>
      </c>
      <c r="J41" s="193">
        <f t="shared" si="8"/>
        <v>464.7076</v>
      </c>
      <c r="K41" s="186"/>
      <c r="L41" s="187">
        <f t="shared" si="17"/>
        <v>5.1562</v>
      </c>
      <c r="M41" s="181">
        <f t="shared" si="18"/>
        <v>4</v>
      </c>
      <c r="N41" s="181">
        <f t="shared" si="19"/>
        <v>20.6248</v>
      </c>
      <c r="O41" s="186"/>
      <c r="P41" s="186"/>
      <c r="Q41" s="188">
        <v>29.5</v>
      </c>
      <c r="R41" s="187">
        <f t="shared" si="9"/>
        <v>2</v>
      </c>
      <c r="S41" s="181">
        <f t="shared" si="10"/>
        <v>4</v>
      </c>
      <c r="T41" s="181">
        <f t="shared" si="11"/>
        <v>8</v>
      </c>
      <c r="U41" s="186">
        <f t="shared" si="12"/>
        <v>116.1769</v>
      </c>
      <c r="V41" s="187">
        <f t="shared" ref="V41:W41" si="26">C41/100</f>
        <v>0.97</v>
      </c>
      <c r="W41" s="187">
        <f t="shared" si="26"/>
        <v>2.03</v>
      </c>
      <c r="X41" s="187">
        <f t="shared" si="14"/>
        <v>8</v>
      </c>
      <c r="Y41" s="189">
        <f t="shared" si="15"/>
        <v>15.7528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11.0</v>
      </c>
      <c r="B42" s="191" t="s">
        <v>55</v>
      </c>
      <c r="C42" s="191">
        <v>97.0</v>
      </c>
      <c r="D42" s="191">
        <v>203.0</v>
      </c>
      <c r="E42" s="191">
        <v>230.0</v>
      </c>
      <c r="F42" s="191">
        <f t="shared" si="5"/>
        <v>0</v>
      </c>
      <c r="G42" s="191">
        <f t="shared" si="6"/>
        <v>133.603435</v>
      </c>
      <c r="H42" s="219">
        <f t="shared" si="7"/>
        <v>133.603435</v>
      </c>
      <c r="I42" s="218">
        <v>14.0</v>
      </c>
      <c r="J42" s="193">
        <f t="shared" si="8"/>
        <v>1870.44809</v>
      </c>
      <c r="K42" s="186"/>
      <c r="L42" s="187">
        <f t="shared" si="17"/>
        <v>5.1562</v>
      </c>
      <c r="M42" s="181">
        <f t="shared" si="18"/>
        <v>14</v>
      </c>
      <c r="N42" s="181">
        <f t="shared" si="19"/>
        <v>72.1868</v>
      </c>
      <c r="O42" s="186"/>
      <c r="P42" s="186"/>
      <c r="Q42" s="188">
        <v>29.5</v>
      </c>
      <c r="R42" s="187">
        <f t="shared" si="9"/>
        <v>2.3</v>
      </c>
      <c r="S42" s="181">
        <f t="shared" si="10"/>
        <v>14</v>
      </c>
      <c r="T42" s="181">
        <f t="shared" si="11"/>
        <v>32.2</v>
      </c>
      <c r="U42" s="186">
        <f t="shared" si="12"/>
        <v>133.603435</v>
      </c>
      <c r="V42" s="187">
        <f t="shared" ref="V42:W42" si="27">C42/100</f>
        <v>0.97</v>
      </c>
      <c r="W42" s="187">
        <f t="shared" si="27"/>
        <v>2.03</v>
      </c>
      <c r="X42" s="187">
        <f t="shared" si="14"/>
        <v>32.2</v>
      </c>
      <c r="Y42" s="189">
        <f t="shared" si="15"/>
        <v>63.40502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12.0</v>
      </c>
      <c r="B43" s="191" t="s">
        <v>55</v>
      </c>
      <c r="C43" s="191">
        <v>96.0</v>
      </c>
      <c r="D43" s="191">
        <v>203.0</v>
      </c>
      <c r="E43" s="191">
        <v>230.0</v>
      </c>
      <c r="F43" s="191">
        <f t="shared" si="5"/>
        <v>0</v>
      </c>
      <c r="G43" s="191">
        <f t="shared" si="6"/>
        <v>132.22608</v>
      </c>
      <c r="H43" s="219">
        <f t="shared" si="7"/>
        <v>132.22608</v>
      </c>
      <c r="I43" s="218">
        <v>2.0</v>
      </c>
      <c r="J43" s="193">
        <f t="shared" si="8"/>
        <v>264.45216</v>
      </c>
      <c r="K43" s="186"/>
      <c r="L43" s="187">
        <f t="shared" si="17"/>
        <v>5.1562</v>
      </c>
      <c r="M43" s="181">
        <f t="shared" si="18"/>
        <v>2</v>
      </c>
      <c r="N43" s="181">
        <f t="shared" si="19"/>
        <v>10.3124</v>
      </c>
      <c r="O43" s="186"/>
      <c r="P43" s="186"/>
      <c r="Q43" s="188">
        <v>29.5</v>
      </c>
      <c r="R43" s="187">
        <f t="shared" si="9"/>
        <v>2.3</v>
      </c>
      <c r="S43" s="181">
        <f t="shared" si="10"/>
        <v>2</v>
      </c>
      <c r="T43" s="181">
        <f t="shared" si="11"/>
        <v>4.6</v>
      </c>
      <c r="U43" s="186">
        <f t="shared" si="12"/>
        <v>132.22608</v>
      </c>
      <c r="V43" s="187">
        <f t="shared" ref="V43:W43" si="28">C43/100</f>
        <v>0.96</v>
      </c>
      <c r="W43" s="187">
        <f t="shared" si="28"/>
        <v>2.03</v>
      </c>
      <c r="X43" s="187">
        <f t="shared" si="14"/>
        <v>4.6</v>
      </c>
      <c r="Y43" s="189">
        <f t="shared" si="15"/>
        <v>8.96448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</row>
    <row r="44" ht="27.0" customHeight="1">
      <c r="A44" s="181">
        <v>13.0</v>
      </c>
      <c r="B44" s="191" t="s">
        <v>55</v>
      </c>
      <c r="C44" s="191">
        <v>96.0</v>
      </c>
      <c r="D44" s="191">
        <v>203.0</v>
      </c>
      <c r="E44" s="191">
        <v>231.0</v>
      </c>
      <c r="F44" s="191">
        <f t="shared" si="5"/>
        <v>0</v>
      </c>
      <c r="G44" s="191">
        <f t="shared" si="6"/>
        <v>132.800976</v>
      </c>
      <c r="H44" s="219">
        <f t="shared" si="7"/>
        <v>132.800976</v>
      </c>
      <c r="I44" s="218">
        <v>8.0</v>
      </c>
      <c r="J44" s="193">
        <f t="shared" si="8"/>
        <v>1062.407808</v>
      </c>
      <c r="K44" s="186"/>
      <c r="L44" s="187">
        <f t="shared" si="17"/>
        <v>5.1562</v>
      </c>
      <c r="M44" s="181">
        <f t="shared" si="18"/>
        <v>8</v>
      </c>
      <c r="N44" s="181">
        <f t="shared" si="19"/>
        <v>41.2496</v>
      </c>
      <c r="O44" s="186"/>
      <c r="P44" s="186"/>
      <c r="Q44" s="188">
        <v>29.5</v>
      </c>
      <c r="R44" s="187">
        <f t="shared" si="9"/>
        <v>2.31</v>
      </c>
      <c r="S44" s="181">
        <f t="shared" si="10"/>
        <v>8</v>
      </c>
      <c r="T44" s="181">
        <f t="shared" si="11"/>
        <v>18.48</v>
      </c>
      <c r="U44" s="186">
        <f t="shared" si="12"/>
        <v>132.800976</v>
      </c>
      <c r="V44" s="187">
        <f t="shared" ref="V44:W44" si="29">C44/100</f>
        <v>0.96</v>
      </c>
      <c r="W44" s="187">
        <f t="shared" si="29"/>
        <v>2.03</v>
      </c>
      <c r="X44" s="187">
        <f t="shared" si="14"/>
        <v>18.48</v>
      </c>
      <c r="Y44" s="189">
        <f t="shared" si="15"/>
        <v>36.013824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</row>
    <row r="45" ht="27.0" customHeight="1">
      <c r="A45" s="181">
        <v>14.0</v>
      </c>
      <c r="B45" s="191" t="s">
        <v>55</v>
      </c>
      <c r="C45" s="191">
        <v>95.0</v>
      </c>
      <c r="D45" s="191">
        <v>203.0</v>
      </c>
      <c r="E45" s="191">
        <v>200.0</v>
      </c>
      <c r="F45" s="191">
        <f t="shared" si="5"/>
        <v>0</v>
      </c>
      <c r="G45" s="191">
        <f t="shared" si="6"/>
        <v>113.7815</v>
      </c>
      <c r="H45" s="219">
        <f t="shared" si="7"/>
        <v>113.7815</v>
      </c>
      <c r="I45" s="218">
        <v>11.0</v>
      </c>
      <c r="J45" s="193">
        <f t="shared" si="8"/>
        <v>1251.5965</v>
      </c>
      <c r="K45" s="186"/>
      <c r="L45" s="187">
        <f t="shared" si="17"/>
        <v>5.1562</v>
      </c>
      <c r="M45" s="181">
        <f t="shared" si="18"/>
        <v>11</v>
      </c>
      <c r="N45" s="181">
        <f t="shared" si="19"/>
        <v>56.7182</v>
      </c>
      <c r="O45" s="186"/>
      <c r="P45" s="186"/>
      <c r="Q45" s="188">
        <v>29.5</v>
      </c>
      <c r="R45" s="187">
        <f t="shared" si="9"/>
        <v>2</v>
      </c>
      <c r="S45" s="181">
        <f t="shared" si="10"/>
        <v>11</v>
      </c>
      <c r="T45" s="181">
        <f t="shared" si="11"/>
        <v>22</v>
      </c>
      <c r="U45" s="186">
        <f t="shared" si="12"/>
        <v>113.7815</v>
      </c>
      <c r="V45" s="187">
        <f t="shared" ref="V45:W45" si="30">C45/100</f>
        <v>0.95</v>
      </c>
      <c r="W45" s="187">
        <f t="shared" si="30"/>
        <v>2.03</v>
      </c>
      <c r="X45" s="187">
        <f t="shared" si="14"/>
        <v>22</v>
      </c>
      <c r="Y45" s="189">
        <f t="shared" si="15"/>
        <v>42.427</v>
      </c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</row>
    <row r="46" ht="27.0" customHeight="1">
      <c r="A46" s="181">
        <v>15.0</v>
      </c>
      <c r="B46" s="191" t="s">
        <v>55</v>
      </c>
      <c r="C46" s="191">
        <v>94.0</v>
      </c>
      <c r="D46" s="191">
        <v>203.0</v>
      </c>
      <c r="E46" s="191">
        <v>200.0</v>
      </c>
      <c r="F46" s="191">
        <f t="shared" si="5"/>
        <v>0</v>
      </c>
      <c r="G46" s="191">
        <f t="shared" si="6"/>
        <v>112.5838</v>
      </c>
      <c r="H46" s="219">
        <f t="shared" si="7"/>
        <v>112.5838</v>
      </c>
      <c r="I46" s="218">
        <v>1.0</v>
      </c>
      <c r="J46" s="193">
        <f t="shared" si="8"/>
        <v>112.5838</v>
      </c>
      <c r="K46" s="186"/>
      <c r="L46" s="187">
        <f t="shared" si="17"/>
        <v>5.1562</v>
      </c>
      <c r="M46" s="181">
        <f t="shared" si="18"/>
        <v>1</v>
      </c>
      <c r="N46" s="181">
        <f t="shared" si="19"/>
        <v>5.1562</v>
      </c>
      <c r="O46" s="186"/>
      <c r="P46" s="186"/>
      <c r="Q46" s="188">
        <v>29.5</v>
      </c>
      <c r="R46" s="187">
        <f t="shared" si="9"/>
        <v>2</v>
      </c>
      <c r="S46" s="181">
        <f t="shared" si="10"/>
        <v>1</v>
      </c>
      <c r="T46" s="181">
        <f t="shared" si="11"/>
        <v>2</v>
      </c>
      <c r="U46" s="186">
        <f t="shared" si="12"/>
        <v>112.5838</v>
      </c>
      <c r="V46" s="187">
        <f t="shared" ref="V46:W46" si="31">C46/100</f>
        <v>0.94</v>
      </c>
      <c r="W46" s="187">
        <f t="shared" si="31"/>
        <v>2.03</v>
      </c>
      <c r="X46" s="187">
        <f t="shared" si="14"/>
        <v>2</v>
      </c>
      <c r="Y46" s="189">
        <f t="shared" si="15"/>
        <v>3.8164</v>
      </c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</row>
    <row r="47" ht="27.0" customHeight="1">
      <c r="A47" s="181">
        <v>16.0</v>
      </c>
      <c r="B47" s="191" t="s">
        <v>55</v>
      </c>
      <c r="C47" s="191">
        <v>97.0</v>
      </c>
      <c r="D47" s="191">
        <v>203.0</v>
      </c>
      <c r="E47" s="191">
        <v>232.0</v>
      </c>
      <c r="F47" s="191">
        <f t="shared" si="5"/>
        <v>0</v>
      </c>
      <c r="G47" s="191">
        <f t="shared" si="6"/>
        <v>134.765204</v>
      </c>
      <c r="H47" s="219">
        <f t="shared" si="7"/>
        <v>134.765204</v>
      </c>
      <c r="I47" s="218">
        <v>7.0</v>
      </c>
      <c r="J47" s="193">
        <f t="shared" si="8"/>
        <v>943.356428</v>
      </c>
      <c r="K47" s="186"/>
      <c r="L47" s="187">
        <f t="shared" si="17"/>
        <v>5.1562</v>
      </c>
      <c r="M47" s="181">
        <f t="shared" si="18"/>
        <v>7</v>
      </c>
      <c r="N47" s="181">
        <f t="shared" si="19"/>
        <v>36.0934</v>
      </c>
      <c r="O47" s="186"/>
      <c r="P47" s="186"/>
      <c r="Q47" s="188">
        <v>29.5</v>
      </c>
      <c r="R47" s="187">
        <f t="shared" si="9"/>
        <v>2.32</v>
      </c>
      <c r="S47" s="181">
        <f t="shared" si="10"/>
        <v>7</v>
      </c>
      <c r="T47" s="181">
        <f t="shared" si="11"/>
        <v>16.24</v>
      </c>
      <c r="U47" s="186">
        <f t="shared" si="12"/>
        <v>134.765204</v>
      </c>
      <c r="V47" s="187">
        <f t="shared" ref="V47:W47" si="32">C47/100</f>
        <v>0.97</v>
      </c>
      <c r="W47" s="187">
        <f t="shared" si="32"/>
        <v>2.03</v>
      </c>
      <c r="X47" s="187">
        <f t="shared" si="14"/>
        <v>16.24</v>
      </c>
      <c r="Y47" s="189">
        <f t="shared" si="15"/>
        <v>31.978184</v>
      </c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</row>
    <row r="48" ht="27.0" customHeight="1">
      <c r="A48" s="181">
        <v>17.0</v>
      </c>
      <c r="B48" s="191" t="s">
        <v>55</v>
      </c>
      <c r="C48" s="191">
        <v>92.0</v>
      </c>
      <c r="D48" s="191">
        <v>203.0</v>
      </c>
      <c r="E48" s="191">
        <v>200.0</v>
      </c>
      <c r="F48" s="191">
        <f t="shared" si="5"/>
        <v>0</v>
      </c>
      <c r="G48" s="191">
        <f t="shared" si="6"/>
        <v>110.1884</v>
      </c>
      <c r="H48" s="219">
        <f t="shared" si="7"/>
        <v>110.1884</v>
      </c>
      <c r="I48" s="218">
        <v>1.0</v>
      </c>
      <c r="J48" s="193">
        <f t="shared" si="8"/>
        <v>110.1884</v>
      </c>
      <c r="K48" s="186"/>
      <c r="L48" s="187">
        <f t="shared" si="17"/>
        <v>5.1562</v>
      </c>
      <c r="M48" s="181">
        <f t="shared" si="18"/>
        <v>1</v>
      </c>
      <c r="N48" s="181">
        <f t="shared" si="19"/>
        <v>5.1562</v>
      </c>
      <c r="O48" s="186"/>
      <c r="P48" s="186"/>
      <c r="Q48" s="188">
        <v>29.5</v>
      </c>
      <c r="R48" s="187">
        <f t="shared" si="9"/>
        <v>2</v>
      </c>
      <c r="S48" s="181">
        <f t="shared" si="10"/>
        <v>1</v>
      </c>
      <c r="T48" s="181">
        <f t="shared" si="11"/>
        <v>2</v>
      </c>
      <c r="U48" s="186">
        <f t="shared" si="12"/>
        <v>110.1884</v>
      </c>
      <c r="V48" s="187">
        <f t="shared" ref="V48:W48" si="33">C48/100</f>
        <v>0.92</v>
      </c>
      <c r="W48" s="187">
        <f t="shared" si="33"/>
        <v>2.03</v>
      </c>
      <c r="X48" s="187">
        <f t="shared" si="14"/>
        <v>2</v>
      </c>
      <c r="Y48" s="189">
        <f t="shared" si="15"/>
        <v>3.7352</v>
      </c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</row>
    <row r="49" ht="27.0" customHeight="1">
      <c r="A49" s="181">
        <v>18.0</v>
      </c>
      <c r="B49" s="191" t="s">
        <v>55</v>
      </c>
      <c r="C49" s="191">
        <v>97.0</v>
      </c>
      <c r="D49" s="191">
        <v>203.0</v>
      </c>
      <c r="E49" s="191">
        <v>201.0</v>
      </c>
      <c r="F49" s="191">
        <f t="shared" si="5"/>
        <v>0</v>
      </c>
      <c r="G49" s="191">
        <f t="shared" si="6"/>
        <v>116.7577845</v>
      </c>
      <c r="H49" s="219">
        <f t="shared" si="7"/>
        <v>116.7577845</v>
      </c>
      <c r="I49" s="218">
        <v>1.0</v>
      </c>
      <c r="J49" s="193">
        <f t="shared" si="8"/>
        <v>116.7577845</v>
      </c>
      <c r="K49" s="186"/>
      <c r="L49" s="164">
        <f t="shared" si="17"/>
        <v>5.1562</v>
      </c>
      <c r="M49" s="195">
        <f t="shared" si="18"/>
        <v>1</v>
      </c>
      <c r="N49" s="195">
        <f t="shared" si="19"/>
        <v>5.1562</v>
      </c>
      <c r="O49" s="186"/>
      <c r="P49" s="186"/>
      <c r="Q49" s="188">
        <v>29.5</v>
      </c>
      <c r="R49" s="187">
        <f t="shared" si="9"/>
        <v>2.01</v>
      </c>
      <c r="S49" s="181">
        <f t="shared" si="10"/>
        <v>1</v>
      </c>
      <c r="T49" s="181">
        <f t="shared" si="11"/>
        <v>2.01</v>
      </c>
      <c r="U49" s="186">
        <f t="shared" si="12"/>
        <v>116.7577845</v>
      </c>
      <c r="V49" s="187">
        <f t="shared" ref="V49:W49" si="34">C49/100</f>
        <v>0.97</v>
      </c>
      <c r="W49" s="187">
        <f t="shared" si="34"/>
        <v>2.03</v>
      </c>
      <c r="X49" s="187">
        <f t="shared" si="14"/>
        <v>2.01</v>
      </c>
      <c r="Y49" s="189">
        <f t="shared" si="15"/>
        <v>3.957891</v>
      </c>
      <c r="Z49" s="186"/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</row>
    <row r="50" ht="27.0" customHeight="1">
      <c r="A50" s="181">
        <v>19.0</v>
      </c>
      <c r="B50" s="191" t="s">
        <v>55</v>
      </c>
      <c r="C50" s="191">
        <v>98.0</v>
      </c>
      <c r="D50" s="191">
        <v>203.0</v>
      </c>
      <c r="E50" s="191">
        <v>231.0</v>
      </c>
      <c r="F50" s="191">
        <f t="shared" si="5"/>
        <v>0</v>
      </c>
      <c r="G50" s="191">
        <f t="shared" si="6"/>
        <v>135.567663</v>
      </c>
      <c r="H50" s="219">
        <f t="shared" si="7"/>
        <v>135.567663</v>
      </c>
      <c r="I50" s="218">
        <v>6.0</v>
      </c>
      <c r="J50" s="193">
        <f t="shared" si="8"/>
        <v>813.405978</v>
      </c>
      <c r="K50" s="186"/>
      <c r="L50" s="164"/>
      <c r="M50" s="195">
        <f t="shared" si="18"/>
        <v>6</v>
      </c>
      <c r="N50" s="195"/>
      <c r="O50" s="186"/>
      <c r="P50" s="186"/>
      <c r="Q50" s="188">
        <v>29.5</v>
      </c>
      <c r="R50" s="187">
        <f t="shared" si="9"/>
        <v>2.31</v>
      </c>
      <c r="S50" s="181">
        <f t="shared" si="10"/>
        <v>6</v>
      </c>
      <c r="T50" s="181">
        <f t="shared" si="11"/>
        <v>13.86</v>
      </c>
      <c r="U50" s="186">
        <f t="shared" si="12"/>
        <v>135.567663</v>
      </c>
      <c r="V50" s="187">
        <f t="shared" ref="V50:W50" si="35">C50/100</f>
        <v>0.98</v>
      </c>
      <c r="W50" s="187">
        <f t="shared" si="35"/>
        <v>2.03</v>
      </c>
      <c r="X50" s="187">
        <f t="shared" si="14"/>
        <v>13.86</v>
      </c>
      <c r="Y50" s="189">
        <f t="shared" si="15"/>
        <v>27.573084</v>
      </c>
      <c r="Z50" s="186"/>
      <c r="AA50" s="186"/>
      <c r="AB50" s="186"/>
      <c r="AC50" s="186"/>
      <c r="AD50" s="186"/>
      <c r="AE50" s="186"/>
      <c r="AF50" s="186"/>
      <c r="AG50" s="186"/>
      <c r="AH50" s="186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</row>
    <row r="51" ht="27.0" customHeight="1">
      <c r="A51" s="181">
        <v>20.0</v>
      </c>
      <c r="B51" s="191" t="s">
        <v>55</v>
      </c>
      <c r="C51" s="191">
        <v>98.0</v>
      </c>
      <c r="D51" s="191">
        <v>203.0</v>
      </c>
      <c r="E51" s="191">
        <v>232.0</v>
      </c>
      <c r="F51" s="191">
        <f t="shared" si="5"/>
        <v>0</v>
      </c>
      <c r="G51" s="191">
        <f t="shared" si="6"/>
        <v>136.154536</v>
      </c>
      <c r="H51" s="219">
        <f t="shared" si="7"/>
        <v>136.154536</v>
      </c>
      <c r="I51" s="218">
        <v>1.0</v>
      </c>
      <c r="J51" s="193">
        <f t="shared" si="8"/>
        <v>136.154536</v>
      </c>
      <c r="K51" s="186"/>
      <c r="L51" s="164"/>
      <c r="M51" s="195">
        <f t="shared" si="18"/>
        <v>1</v>
      </c>
      <c r="N51" s="195"/>
      <c r="O51" s="186"/>
      <c r="P51" s="186"/>
      <c r="Q51" s="188">
        <v>29.5</v>
      </c>
      <c r="R51" s="187">
        <f t="shared" si="9"/>
        <v>2.32</v>
      </c>
      <c r="S51" s="181">
        <f t="shared" si="10"/>
        <v>1</v>
      </c>
      <c r="T51" s="181">
        <f t="shared" si="11"/>
        <v>2.32</v>
      </c>
      <c r="U51" s="186">
        <f t="shared" si="12"/>
        <v>136.154536</v>
      </c>
      <c r="V51" s="187">
        <f t="shared" ref="V51:W51" si="36">C51/100</f>
        <v>0.98</v>
      </c>
      <c r="W51" s="187">
        <f t="shared" si="36"/>
        <v>2.03</v>
      </c>
      <c r="X51" s="187">
        <f t="shared" si="14"/>
        <v>2.32</v>
      </c>
      <c r="Y51" s="189">
        <f t="shared" si="15"/>
        <v>4.615408</v>
      </c>
      <c r="Z51" s="186"/>
      <c r="AA51" s="186"/>
      <c r="AB51" s="186"/>
      <c r="AC51" s="186"/>
      <c r="AD51" s="186"/>
      <c r="AE51" s="186"/>
      <c r="AF51" s="186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</row>
    <row r="52" ht="27.0" customHeight="1">
      <c r="A52" s="181">
        <v>21.0</v>
      </c>
      <c r="B52" s="191" t="s">
        <v>55</v>
      </c>
      <c r="C52" s="191">
        <v>99.0</v>
      </c>
      <c r="D52" s="191">
        <v>203.0</v>
      </c>
      <c r="E52" s="191">
        <v>231.0</v>
      </c>
      <c r="F52" s="191">
        <f t="shared" si="5"/>
        <v>0</v>
      </c>
      <c r="G52" s="191">
        <f t="shared" si="6"/>
        <v>136.9510065</v>
      </c>
      <c r="H52" s="219">
        <f t="shared" si="7"/>
        <v>136.9510065</v>
      </c>
      <c r="I52" s="218">
        <v>3.0</v>
      </c>
      <c r="J52" s="193">
        <f t="shared" si="8"/>
        <v>410.8530195</v>
      </c>
      <c r="K52" s="186"/>
      <c r="L52" s="164"/>
      <c r="M52" s="195">
        <f t="shared" si="18"/>
        <v>3</v>
      </c>
      <c r="N52" s="195"/>
      <c r="O52" s="186"/>
      <c r="P52" s="186"/>
      <c r="Q52" s="188">
        <v>29.5</v>
      </c>
      <c r="R52" s="187">
        <f t="shared" si="9"/>
        <v>2.31</v>
      </c>
      <c r="S52" s="181">
        <f t="shared" si="10"/>
        <v>3</v>
      </c>
      <c r="T52" s="181">
        <f t="shared" si="11"/>
        <v>6.93</v>
      </c>
      <c r="U52" s="186">
        <f t="shared" si="12"/>
        <v>136.9510065</v>
      </c>
      <c r="V52" s="187">
        <f t="shared" ref="V52:W52" si="37">C52/100</f>
        <v>0.99</v>
      </c>
      <c r="W52" s="187">
        <f t="shared" si="37"/>
        <v>2.03</v>
      </c>
      <c r="X52" s="187">
        <f t="shared" si="14"/>
        <v>6.93</v>
      </c>
      <c r="Y52" s="189">
        <f t="shared" si="15"/>
        <v>13.927221</v>
      </c>
      <c r="Z52" s="186"/>
      <c r="AA52" s="186"/>
      <c r="AB52" s="186"/>
      <c r="AC52" s="186"/>
      <c r="AD52" s="186"/>
      <c r="AE52" s="186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</row>
    <row r="53" ht="27.0" customHeight="1">
      <c r="A53" s="181">
        <v>22.0</v>
      </c>
      <c r="B53" s="191" t="s">
        <v>55</v>
      </c>
      <c r="C53" s="191">
        <v>99.0</v>
      </c>
      <c r="D53" s="191">
        <v>203.0</v>
      </c>
      <c r="E53" s="191">
        <v>232.0</v>
      </c>
      <c r="F53" s="191">
        <f t="shared" si="5"/>
        <v>0</v>
      </c>
      <c r="G53" s="191">
        <f t="shared" si="6"/>
        <v>137.543868</v>
      </c>
      <c r="H53" s="219">
        <f t="shared" si="7"/>
        <v>137.543868</v>
      </c>
      <c r="I53" s="218">
        <v>1.0</v>
      </c>
      <c r="J53" s="193">
        <f t="shared" si="8"/>
        <v>137.543868</v>
      </c>
      <c r="K53" s="186"/>
      <c r="L53" s="164"/>
      <c r="M53" s="195"/>
      <c r="N53" s="195"/>
      <c r="O53" s="186"/>
      <c r="P53" s="186"/>
      <c r="Q53" s="188">
        <v>29.5</v>
      </c>
      <c r="R53" s="187">
        <f t="shared" si="9"/>
        <v>2.32</v>
      </c>
      <c r="S53" s="181">
        <f t="shared" si="10"/>
        <v>1</v>
      </c>
      <c r="T53" s="181">
        <f t="shared" si="11"/>
        <v>2.32</v>
      </c>
      <c r="U53" s="186">
        <f t="shared" si="12"/>
        <v>137.543868</v>
      </c>
      <c r="V53" s="187">
        <f t="shared" ref="V53:W53" si="38">C53/100</f>
        <v>0.99</v>
      </c>
      <c r="W53" s="187">
        <f t="shared" si="38"/>
        <v>2.03</v>
      </c>
      <c r="X53" s="187">
        <f t="shared" si="14"/>
        <v>2.32</v>
      </c>
      <c r="Y53" s="189">
        <f t="shared" si="15"/>
        <v>4.662504</v>
      </c>
      <c r="Z53" s="186"/>
      <c r="AA53" s="186"/>
      <c r="AB53" s="186"/>
      <c r="AC53" s="186"/>
      <c r="AD53" s="186"/>
      <c r="AE53" s="186"/>
      <c r="AF53" s="186"/>
      <c r="AG53" s="186"/>
      <c r="AH53" s="186"/>
      <c r="AI53" s="186"/>
      <c r="AJ53" s="186"/>
      <c r="AK53" s="186"/>
      <c r="AL53" s="186"/>
      <c r="AM53" s="186"/>
      <c r="AN53" s="186"/>
      <c r="AO53" s="186"/>
      <c r="AP53" s="186"/>
      <c r="AQ53" s="186"/>
      <c r="AR53" s="186"/>
      <c r="AS53" s="186"/>
    </row>
    <row r="54" ht="27.0" customHeight="1">
      <c r="A54" s="181">
        <v>23.0</v>
      </c>
      <c r="B54" s="191" t="s">
        <v>55</v>
      </c>
      <c r="C54" s="191">
        <v>101.0</v>
      </c>
      <c r="D54" s="191">
        <v>203.0</v>
      </c>
      <c r="E54" s="191">
        <v>232.0</v>
      </c>
      <c r="F54" s="191">
        <f t="shared" si="5"/>
        <v>0</v>
      </c>
      <c r="G54" s="191">
        <f t="shared" si="6"/>
        <v>140.322532</v>
      </c>
      <c r="H54" s="219">
        <f t="shared" si="7"/>
        <v>140.322532</v>
      </c>
      <c r="I54" s="218">
        <v>1.0</v>
      </c>
      <c r="J54" s="193">
        <f t="shared" si="8"/>
        <v>140.322532</v>
      </c>
      <c r="K54" s="186"/>
      <c r="L54" s="164"/>
      <c r="M54" s="195"/>
      <c r="N54" s="195"/>
      <c r="O54" s="186"/>
      <c r="P54" s="186"/>
      <c r="Q54" s="188">
        <v>29.5</v>
      </c>
      <c r="R54" s="187">
        <f t="shared" si="9"/>
        <v>2.32</v>
      </c>
      <c r="S54" s="181">
        <f t="shared" si="10"/>
        <v>1</v>
      </c>
      <c r="T54" s="181">
        <f t="shared" si="11"/>
        <v>2.32</v>
      </c>
      <c r="U54" s="186">
        <f t="shared" si="12"/>
        <v>140.322532</v>
      </c>
      <c r="V54" s="187">
        <f t="shared" ref="V54:W54" si="39">C54/100</f>
        <v>1.01</v>
      </c>
      <c r="W54" s="187">
        <f t="shared" si="39"/>
        <v>2.03</v>
      </c>
      <c r="X54" s="187">
        <f t="shared" si="14"/>
        <v>2.32</v>
      </c>
      <c r="Y54" s="189">
        <f t="shared" si="15"/>
        <v>4.756696</v>
      </c>
      <c r="Z54" s="186"/>
      <c r="AA54" s="186"/>
      <c r="AB54" s="186"/>
      <c r="AC54" s="186"/>
      <c r="AD54" s="186"/>
      <c r="AE54" s="186"/>
      <c r="AF54" s="186"/>
      <c r="AG54" s="186"/>
      <c r="AH54" s="186"/>
      <c r="AI54" s="186"/>
      <c r="AJ54" s="186"/>
      <c r="AK54" s="186"/>
      <c r="AL54" s="186"/>
      <c r="AM54" s="186"/>
      <c r="AN54" s="186"/>
      <c r="AO54" s="186"/>
      <c r="AP54" s="186"/>
      <c r="AQ54" s="186"/>
      <c r="AR54" s="186"/>
      <c r="AS54" s="186"/>
    </row>
    <row r="55" ht="27.0" customHeight="1">
      <c r="A55" s="181">
        <v>24.0</v>
      </c>
      <c r="B55" s="191" t="s">
        <v>55</v>
      </c>
      <c r="C55" s="191">
        <v>100.0</v>
      </c>
      <c r="D55" s="191">
        <v>203.0</v>
      </c>
      <c r="E55" s="191">
        <v>231.0</v>
      </c>
      <c r="F55" s="191">
        <f t="shared" si="5"/>
        <v>0</v>
      </c>
      <c r="G55" s="191">
        <f t="shared" si="6"/>
        <v>138.33435</v>
      </c>
      <c r="H55" s="219">
        <f t="shared" si="7"/>
        <v>138.33435</v>
      </c>
      <c r="I55" s="218">
        <v>2.0</v>
      </c>
      <c r="J55" s="193">
        <f t="shared" si="8"/>
        <v>276.6687</v>
      </c>
      <c r="K55" s="186"/>
      <c r="L55" s="164"/>
      <c r="M55" s="195"/>
      <c r="N55" s="195"/>
      <c r="O55" s="186"/>
      <c r="P55" s="186"/>
      <c r="Q55" s="188">
        <v>29.5</v>
      </c>
      <c r="R55" s="187">
        <f t="shared" si="9"/>
        <v>2.31</v>
      </c>
      <c r="S55" s="181">
        <f t="shared" si="10"/>
        <v>2</v>
      </c>
      <c r="T55" s="181">
        <f t="shared" si="11"/>
        <v>4.62</v>
      </c>
      <c r="U55" s="186">
        <f t="shared" si="12"/>
        <v>138.33435</v>
      </c>
      <c r="V55" s="187">
        <f t="shared" ref="V55:W55" si="40">C55/100</f>
        <v>1</v>
      </c>
      <c r="W55" s="187">
        <f t="shared" si="40"/>
        <v>2.03</v>
      </c>
      <c r="X55" s="187">
        <f t="shared" si="14"/>
        <v>4.62</v>
      </c>
      <c r="Y55" s="189">
        <f t="shared" si="15"/>
        <v>9.3786</v>
      </c>
      <c r="Z55" s="186"/>
      <c r="AA55" s="186"/>
      <c r="AB55" s="186"/>
      <c r="AC55" s="186"/>
      <c r="AD55" s="186"/>
      <c r="AE55" s="186"/>
      <c r="AF55" s="186"/>
      <c r="AG55" s="186"/>
      <c r="AH55" s="186"/>
      <c r="AI55" s="186"/>
      <c r="AJ55" s="186"/>
      <c r="AK55" s="186"/>
      <c r="AL55" s="186"/>
      <c r="AM55" s="186"/>
      <c r="AN55" s="186"/>
      <c r="AO55" s="186"/>
      <c r="AP55" s="186"/>
      <c r="AQ55" s="186"/>
      <c r="AR55" s="186"/>
      <c r="AS55" s="186"/>
    </row>
    <row r="56" ht="27.0" customHeight="1">
      <c r="A56" s="181">
        <v>25.0</v>
      </c>
      <c r="B56" s="191" t="s">
        <v>55</v>
      </c>
      <c r="C56" s="191">
        <v>100.0</v>
      </c>
      <c r="D56" s="191">
        <v>203.0</v>
      </c>
      <c r="E56" s="191">
        <v>232.0</v>
      </c>
      <c r="F56" s="191">
        <f t="shared" si="5"/>
        <v>0</v>
      </c>
      <c r="G56" s="191">
        <f t="shared" si="6"/>
        <v>138.9332</v>
      </c>
      <c r="H56" s="219">
        <f t="shared" si="7"/>
        <v>138.9332</v>
      </c>
      <c r="I56" s="218">
        <v>1.0</v>
      </c>
      <c r="J56" s="193">
        <f t="shared" si="8"/>
        <v>138.9332</v>
      </c>
      <c r="K56" s="186"/>
      <c r="L56" s="164"/>
      <c r="M56" s="195"/>
      <c r="N56" s="195"/>
      <c r="O56" s="186"/>
      <c r="P56" s="186"/>
      <c r="Q56" s="196">
        <v>29.5</v>
      </c>
      <c r="R56" s="187">
        <f t="shared" si="9"/>
        <v>2.32</v>
      </c>
      <c r="S56" s="181">
        <f t="shared" si="10"/>
        <v>1</v>
      </c>
      <c r="T56" s="181">
        <f t="shared" si="11"/>
        <v>2.32</v>
      </c>
      <c r="U56" s="186">
        <f t="shared" si="12"/>
        <v>138.9332</v>
      </c>
      <c r="V56" s="187">
        <f t="shared" ref="V56:W56" si="41">C56/100</f>
        <v>1</v>
      </c>
      <c r="W56" s="187">
        <f t="shared" si="41"/>
        <v>2.03</v>
      </c>
      <c r="X56" s="187">
        <f t="shared" si="14"/>
        <v>2.32</v>
      </c>
      <c r="Y56" s="189">
        <f t="shared" si="15"/>
        <v>4.7096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26.0</v>
      </c>
      <c r="B57" s="191" t="s">
        <v>55</v>
      </c>
      <c r="C57" s="191">
        <v>96.0</v>
      </c>
      <c r="D57" s="191">
        <v>203.0</v>
      </c>
      <c r="E57" s="191">
        <v>232.0</v>
      </c>
      <c r="F57" s="191">
        <f t="shared" si="5"/>
        <v>0</v>
      </c>
      <c r="G57" s="191">
        <f t="shared" si="6"/>
        <v>133.375872</v>
      </c>
      <c r="H57" s="219">
        <f t="shared" si="7"/>
        <v>133.375872</v>
      </c>
      <c r="I57" s="218">
        <v>1.0</v>
      </c>
      <c r="J57" s="193">
        <f t="shared" si="8"/>
        <v>133.375872</v>
      </c>
      <c r="K57" s="186"/>
      <c r="L57" s="164"/>
      <c r="M57" s="195"/>
      <c r="N57" s="195"/>
      <c r="O57" s="186"/>
      <c r="P57" s="186"/>
      <c r="Q57" s="196">
        <v>29.5</v>
      </c>
      <c r="R57" s="187">
        <f t="shared" si="9"/>
        <v>2.32</v>
      </c>
      <c r="S57" s="181">
        <f t="shared" si="10"/>
        <v>1</v>
      </c>
      <c r="T57" s="181">
        <f t="shared" si="11"/>
        <v>2.32</v>
      </c>
      <c r="U57" s="186">
        <f t="shared" si="12"/>
        <v>133.375872</v>
      </c>
      <c r="V57" s="187">
        <f t="shared" ref="V57:W57" si="42">C57/100</f>
        <v>0.96</v>
      </c>
      <c r="W57" s="187">
        <f t="shared" si="42"/>
        <v>2.03</v>
      </c>
      <c r="X57" s="187">
        <f t="shared" si="14"/>
        <v>2.32</v>
      </c>
      <c r="Y57" s="189">
        <f t="shared" si="15"/>
        <v>4.521216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27.0</v>
      </c>
      <c r="B58" s="182" t="s">
        <v>114</v>
      </c>
      <c r="C58" s="183">
        <v>80.0</v>
      </c>
      <c r="D58" s="183">
        <v>205.0</v>
      </c>
      <c r="E58" s="183">
        <v>206.0</v>
      </c>
      <c r="F58" s="183">
        <f t="shared" si="5"/>
        <v>0.8</v>
      </c>
      <c r="G58" s="183">
        <f t="shared" si="6"/>
        <v>69.2572</v>
      </c>
      <c r="H58" s="184">
        <f t="shared" si="7"/>
        <v>55.40576</v>
      </c>
      <c r="I58" s="183">
        <v>1.0</v>
      </c>
      <c r="J58" s="193">
        <f t="shared" si="8"/>
        <v>55.40576</v>
      </c>
      <c r="K58" s="186"/>
      <c r="L58" s="164"/>
      <c r="M58" s="195"/>
      <c r="N58" s="195"/>
      <c r="O58" s="186"/>
      <c r="P58" s="186"/>
      <c r="Q58" s="196">
        <v>20.5</v>
      </c>
      <c r="R58" s="187">
        <f t="shared" si="9"/>
        <v>2.06</v>
      </c>
      <c r="S58" s="181">
        <f t="shared" si="10"/>
        <v>1</v>
      </c>
      <c r="T58" s="181">
        <f t="shared" si="11"/>
        <v>2.06</v>
      </c>
      <c r="U58" s="186">
        <f t="shared" si="12"/>
        <v>69.2572</v>
      </c>
      <c r="V58" s="187">
        <f t="shared" ref="V58:W58" si="43">C58/100</f>
        <v>0.8</v>
      </c>
      <c r="W58" s="187">
        <f t="shared" si="43"/>
        <v>2.05</v>
      </c>
      <c r="X58" s="187">
        <f t="shared" si="14"/>
        <v>2.06</v>
      </c>
      <c r="Y58" s="189">
        <f t="shared" si="15"/>
        <v>3.3784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28.0</v>
      </c>
      <c r="B59" s="191" t="s">
        <v>83</v>
      </c>
      <c r="C59" s="191">
        <v>103.0</v>
      </c>
      <c r="D59" s="191">
        <v>205.0</v>
      </c>
      <c r="E59" s="191">
        <v>207.0</v>
      </c>
      <c r="F59" s="191">
        <f t="shared" si="5"/>
        <v>0</v>
      </c>
      <c r="G59" s="191">
        <f t="shared" si="6"/>
        <v>89.6015025</v>
      </c>
      <c r="H59" s="219">
        <f t="shared" si="7"/>
        <v>89.6015025</v>
      </c>
      <c r="I59" s="218">
        <v>7.0</v>
      </c>
      <c r="J59" s="194">
        <f t="shared" si="8"/>
        <v>627.2105175</v>
      </c>
      <c r="K59" s="139"/>
      <c r="L59" s="197"/>
      <c r="M59" s="198"/>
      <c r="N59" s="198"/>
      <c r="O59" s="139"/>
      <c r="P59" s="139"/>
      <c r="Q59" s="141">
        <v>20.5</v>
      </c>
      <c r="R59" s="187">
        <f t="shared" si="9"/>
        <v>2.07</v>
      </c>
      <c r="S59" s="181">
        <f t="shared" si="10"/>
        <v>7</v>
      </c>
      <c r="T59" s="181">
        <f t="shared" si="11"/>
        <v>14.49</v>
      </c>
      <c r="U59" s="186">
        <f t="shared" si="12"/>
        <v>89.6015025</v>
      </c>
      <c r="V59" s="187">
        <f t="shared" ref="V59:W59" si="44">C59/100</f>
        <v>1.03</v>
      </c>
      <c r="W59" s="187">
        <f t="shared" si="44"/>
        <v>2.05</v>
      </c>
      <c r="X59" s="187">
        <f t="shared" si="14"/>
        <v>14.49</v>
      </c>
      <c r="Y59" s="189">
        <f t="shared" si="15"/>
        <v>30.595635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29.0</v>
      </c>
      <c r="B60" s="191" t="s">
        <v>83</v>
      </c>
      <c r="C60" s="191">
        <v>97.0</v>
      </c>
      <c r="D60" s="191">
        <v>205.0</v>
      </c>
      <c r="E60" s="191">
        <v>206.0</v>
      </c>
      <c r="F60" s="191">
        <f t="shared" si="5"/>
        <v>0</v>
      </c>
      <c r="G60" s="191">
        <f t="shared" si="6"/>
        <v>83.974355</v>
      </c>
      <c r="H60" s="219">
        <f t="shared" si="7"/>
        <v>83.974355</v>
      </c>
      <c r="I60" s="218">
        <v>1.0</v>
      </c>
      <c r="J60" s="194">
        <f t="shared" si="8"/>
        <v>83.974355</v>
      </c>
      <c r="K60" s="139"/>
      <c r="L60" s="197"/>
      <c r="M60" s="198"/>
      <c r="N60" s="198"/>
      <c r="O60" s="139"/>
      <c r="P60" s="139"/>
      <c r="Q60" s="141">
        <v>20.5</v>
      </c>
      <c r="R60" s="187">
        <f t="shared" si="9"/>
        <v>2.06</v>
      </c>
      <c r="S60" s="181">
        <f t="shared" si="10"/>
        <v>1</v>
      </c>
      <c r="T60" s="181">
        <f t="shared" si="11"/>
        <v>2.06</v>
      </c>
      <c r="U60" s="186">
        <f t="shared" si="12"/>
        <v>83.974355</v>
      </c>
      <c r="V60" s="187">
        <f t="shared" ref="V60:W60" si="45">C60/100</f>
        <v>0.97</v>
      </c>
      <c r="W60" s="187">
        <f t="shared" si="45"/>
        <v>2.05</v>
      </c>
      <c r="X60" s="187">
        <f t="shared" si="14"/>
        <v>2.06</v>
      </c>
      <c r="Y60" s="189">
        <f t="shared" si="15"/>
        <v>4.09631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81">
        <v>30.0</v>
      </c>
      <c r="B61" s="191" t="s">
        <v>83</v>
      </c>
      <c r="C61" s="191">
        <v>103.0</v>
      </c>
      <c r="D61" s="191">
        <v>205.0</v>
      </c>
      <c r="E61" s="191">
        <v>206.0</v>
      </c>
      <c r="F61" s="191">
        <f t="shared" si="5"/>
        <v>0</v>
      </c>
      <c r="G61" s="191">
        <f t="shared" si="6"/>
        <v>89.168645</v>
      </c>
      <c r="H61" s="219">
        <f t="shared" si="7"/>
        <v>89.168645</v>
      </c>
      <c r="I61" s="218">
        <v>5.0</v>
      </c>
      <c r="J61" s="194">
        <f t="shared" si="8"/>
        <v>445.843225</v>
      </c>
      <c r="K61" s="139"/>
      <c r="L61" s="197"/>
      <c r="M61" s="198"/>
      <c r="N61" s="198"/>
      <c r="O61" s="139"/>
      <c r="P61" s="139"/>
      <c r="Q61" s="141">
        <v>20.5</v>
      </c>
      <c r="R61" s="187">
        <f t="shared" si="9"/>
        <v>2.06</v>
      </c>
      <c r="S61" s="181">
        <f t="shared" si="10"/>
        <v>5</v>
      </c>
      <c r="T61" s="181">
        <f t="shared" si="11"/>
        <v>10.3</v>
      </c>
      <c r="U61" s="186">
        <f t="shared" si="12"/>
        <v>89.168645</v>
      </c>
      <c r="V61" s="187">
        <f t="shared" ref="V61:W61" si="46">C61/100</f>
        <v>1.03</v>
      </c>
      <c r="W61" s="187">
        <f t="shared" si="46"/>
        <v>2.05</v>
      </c>
      <c r="X61" s="187">
        <f t="shared" si="14"/>
        <v>10.3</v>
      </c>
      <c r="Y61" s="189">
        <f t="shared" si="15"/>
        <v>21.74845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81">
        <v>31.0</v>
      </c>
      <c r="B62" s="191" t="s">
        <v>83</v>
      </c>
      <c r="C62" s="191">
        <v>103.0</v>
      </c>
      <c r="D62" s="191">
        <v>205.0</v>
      </c>
      <c r="E62" s="191">
        <v>208.0</v>
      </c>
      <c r="F62" s="191">
        <f t="shared" si="5"/>
        <v>0</v>
      </c>
      <c r="G62" s="191">
        <f t="shared" si="6"/>
        <v>90.03436</v>
      </c>
      <c r="H62" s="219">
        <f t="shared" si="7"/>
        <v>90.03436</v>
      </c>
      <c r="I62" s="218">
        <v>4.0</v>
      </c>
      <c r="J62" s="194">
        <f t="shared" si="8"/>
        <v>360.13744</v>
      </c>
      <c r="K62" s="139"/>
      <c r="L62" s="197"/>
      <c r="M62" s="198"/>
      <c r="N62" s="198"/>
      <c r="O62" s="139"/>
      <c r="P62" s="139"/>
      <c r="Q62" s="141">
        <v>20.5</v>
      </c>
      <c r="R62" s="187">
        <f t="shared" si="9"/>
        <v>2.08</v>
      </c>
      <c r="S62" s="181">
        <f t="shared" si="10"/>
        <v>4</v>
      </c>
      <c r="T62" s="181">
        <f t="shared" si="11"/>
        <v>8.32</v>
      </c>
      <c r="U62" s="186">
        <f t="shared" si="12"/>
        <v>90.03436</v>
      </c>
      <c r="V62" s="187">
        <f t="shared" ref="V62:W62" si="47">C62/100</f>
        <v>1.03</v>
      </c>
      <c r="W62" s="187">
        <f t="shared" si="47"/>
        <v>2.05</v>
      </c>
      <c r="X62" s="187">
        <f t="shared" si="14"/>
        <v>8.32</v>
      </c>
      <c r="Y62" s="189">
        <f t="shared" si="15"/>
        <v>17.56768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27.0" customHeight="1">
      <c r="A63" s="181">
        <v>32.0</v>
      </c>
      <c r="B63" s="191" t="s">
        <v>83</v>
      </c>
      <c r="C63" s="191">
        <v>102.0</v>
      </c>
      <c r="D63" s="191">
        <v>205.0</v>
      </c>
      <c r="E63" s="191">
        <v>207.0</v>
      </c>
      <c r="F63" s="191">
        <f t="shared" si="5"/>
        <v>0</v>
      </c>
      <c r="G63" s="191">
        <f t="shared" si="6"/>
        <v>88.731585</v>
      </c>
      <c r="H63" s="219">
        <f t="shared" si="7"/>
        <v>88.731585</v>
      </c>
      <c r="I63" s="218">
        <v>1.0</v>
      </c>
      <c r="J63" s="194">
        <f t="shared" si="8"/>
        <v>88.731585</v>
      </c>
      <c r="K63" s="139"/>
      <c r="L63" s="197"/>
      <c r="M63" s="198"/>
      <c r="N63" s="198"/>
      <c r="O63" s="139"/>
      <c r="P63" s="139"/>
      <c r="Q63" s="141">
        <v>20.5</v>
      </c>
      <c r="R63" s="187">
        <f t="shared" si="9"/>
        <v>2.07</v>
      </c>
      <c r="S63" s="181">
        <f t="shared" si="10"/>
        <v>1</v>
      </c>
      <c r="T63" s="181">
        <f t="shared" si="11"/>
        <v>2.07</v>
      </c>
      <c r="U63" s="186">
        <f t="shared" si="12"/>
        <v>88.731585</v>
      </c>
      <c r="V63" s="187">
        <f t="shared" ref="V63:W63" si="48">C63/100</f>
        <v>1.02</v>
      </c>
      <c r="W63" s="187">
        <f t="shared" si="48"/>
        <v>2.05</v>
      </c>
      <c r="X63" s="187">
        <f t="shared" si="14"/>
        <v>2.07</v>
      </c>
      <c r="Y63" s="189">
        <f t="shared" si="15"/>
        <v>4.32837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7.0" customHeight="1">
      <c r="A64" s="181">
        <v>33.0</v>
      </c>
      <c r="B64" s="191" t="s">
        <v>83</v>
      </c>
      <c r="C64" s="191">
        <v>101.0</v>
      </c>
      <c r="D64" s="191">
        <v>205.0</v>
      </c>
      <c r="E64" s="191">
        <v>208.0</v>
      </c>
      <c r="F64" s="191">
        <f t="shared" si="5"/>
        <v>0</v>
      </c>
      <c r="G64" s="191">
        <f t="shared" si="6"/>
        <v>88.28612</v>
      </c>
      <c r="H64" s="219">
        <f t="shared" si="7"/>
        <v>88.28612</v>
      </c>
      <c r="I64" s="218">
        <v>1.0</v>
      </c>
      <c r="J64" s="194">
        <f t="shared" si="8"/>
        <v>88.28612</v>
      </c>
      <c r="K64" s="139"/>
      <c r="L64" s="197"/>
      <c r="M64" s="198"/>
      <c r="N64" s="198"/>
      <c r="O64" s="139"/>
      <c r="P64" s="139"/>
      <c r="Q64" s="141">
        <v>20.5</v>
      </c>
      <c r="R64" s="187">
        <f t="shared" si="9"/>
        <v>2.08</v>
      </c>
      <c r="S64" s="181">
        <f t="shared" si="10"/>
        <v>1</v>
      </c>
      <c r="T64" s="181">
        <f t="shared" si="11"/>
        <v>2.08</v>
      </c>
      <c r="U64" s="186">
        <f t="shared" si="12"/>
        <v>88.28612</v>
      </c>
      <c r="V64" s="187">
        <f t="shared" ref="V64:W64" si="49">C64/100</f>
        <v>1.01</v>
      </c>
      <c r="W64" s="187">
        <f t="shared" si="49"/>
        <v>2.05</v>
      </c>
      <c r="X64" s="187">
        <f t="shared" si="14"/>
        <v>2.08</v>
      </c>
      <c r="Y64" s="189">
        <f t="shared" si="15"/>
        <v>4.30664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7.0" customHeight="1">
      <c r="A65" s="181">
        <v>34.0</v>
      </c>
      <c r="B65" s="182" t="s">
        <v>94</v>
      </c>
      <c r="C65" s="183">
        <v>92.0</v>
      </c>
      <c r="D65" s="183">
        <v>205.0</v>
      </c>
      <c r="E65" s="183">
        <v>208.0</v>
      </c>
      <c r="F65" s="183">
        <f t="shared" si="5"/>
        <v>0.8</v>
      </c>
      <c r="G65" s="183">
        <f t="shared" si="6"/>
        <v>115.72496</v>
      </c>
      <c r="H65" s="184">
        <f t="shared" si="7"/>
        <v>92.579968</v>
      </c>
      <c r="I65" s="183">
        <v>1.0</v>
      </c>
      <c r="J65" s="194">
        <f t="shared" si="8"/>
        <v>92.579968</v>
      </c>
      <c r="K65" s="139"/>
      <c r="L65" s="197"/>
      <c r="M65" s="198"/>
      <c r="N65" s="198"/>
      <c r="O65" s="139"/>
      <c r="P65" s="139"/>
      <c r="Q65" s="141">
        <v>29.5</v>
      </c>
      <c r="R65" s="187">
        <f t="shared" si="9"/>
        <v>2.08</v>
      </c>
      <c r="S65" s="181">
        <f t="shared" si="10"/>
        <v>1</v>
      </c>
      <c r="T65" s="181">
        <f t="shared" si="11"/>
        <v>2.08</v>
      </c>
      <c r="U65" s="186">
        <f t="shared" si="12"/>
        <v>115.72496</v>
      </c>
      <c r="V65" s="187">
        <f t="shared" ref="V65:W65" si="50">C65/100</f>
        <v>0.92</v>
      </c>
      <c r="W65" s="187">
        <f t="shared" si="50"/>
        <v>2.05</v>
      </c>
      <c r="X65" s="187">
        <f t="shared" si="14"/>
        <v>2.08</v>
      </c>
      <c r="Y65" s="189">
        <f t="shared" si="15"/>
        <v>3.92288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7.0" customHeight="1">
      <c r="A66" s="181">
        <v>35.0</v>
      </c>
      <c r="B66" s="191" t="s">
        <v>95</v>
      </c>
      <c r="C66" s="191">
        <v>100.0</v>
      </c>
      <c r="D66" s="191">
        <v>205.0</v>
      </c>
      <c r="E66" s="191">
        <v>205.0</v>
      </c>
      <c r="F66" s="191">
        <f t="shared" si="5"/>
        <v>0</v>
      </c>
      <c r="G66" s="191">
        <f t="shared" si="6"/>
        <v>123.97375</v>
      </c>
      <c r="H66" s="192">
        <f t="shared" si="7"/>
        <v>123.97375</v>
      </c>
      <c r="I66" s="218">
        <v>1.0</v>
      </c>
      <c r="J66" s="194">
        <f t="shared" si="8"/>
        <v>123.97375</v>
      </c>
      <c r="K66" s="139"/>
      <c r="L66" s="197"/>
      <c r="M66" s="198"/>
      <c r="N66" s="198"/>
      <c r="O66" s="139"/>
      <c r="P66" s="139"/>
      <c r="Q66" s="141">
        <v>29.5</v>
      </c>
      <c r="R66" s="187">
        <f t="shared" si="9"/>
        <v>2.05</v>
      </c>
      <c r="S66" s="181">
        <f t="shared" si="10"/>
        <v>1</v>
      </c>
      <c r="T66" s="181">
        <f t="shared" si="11"/>
        <v>2.05</v>
      </c>
      <c r="U66" s="186">
        <f t="shared" si="12"/>
        <v>123.97375</v>
      </c>
      <c r="V66" s="187">
        <f t="shared" ref="V66:W66" si="51">C66/100</f>
        <v>1</v>
      </c>
      <c r="W66" s="187">
        <f t="shared" si="51"/>
        <v>2.05</v>
      </c>
      <c r="X66" s="187">
        <f t="shared" si="14"/>
        <v>2.05</v>
      </c>
      <c r="Y66" s="189">
        <f t="shared" si="15"/>
        <v>4.2025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7.0" customHeight="1">
      <c r="A67" s="181">
        <v>36.0</v>
      </c>
      <c r="B67" s="191" t="s">
        <v>95</v>
      </c>
      <c r="C67" s="191">
        <v>98.0</v>
      </c>
      <c r="D67" s="191">
        <v>205.0</v>
      </c>
      <c r="E67" s="191">
        <v>206.0</v>
      </c>
      <c r="F67" s="191">
        <f t="shared" si="5"/>
        <v>0</v>
      </c>
      <c r="G67" s="191">
        <f t="shared" si="6"/>
        <v>122.08693</v>
      </c>
      <c r="H67" s="192">
        <f t="shared" si="7"/>
        <v>122.08693</v>
      </c>
      <c r="I67" s="218">
        <v>1.0</v>
      </c>
      <c r="J67" s="194">
        <f t="shared" si="8"/>
        <v>122.08693</v>
      </c>
      <c r="K67" s="139"/>
      <c r="L67" s="197"/>
      <c r="M67" s="198"/>
      <c r="N67" s="198"/>
      <c r="O67" s="139"/>
      <c r="P67" s="139"/>
      <c r="Q67" s="141">
        <v>29.5</v>
      </c>
      <c r="R67" s="187">
        <f t="shared" si="9"/>
        <v>2.06</v>
      </c>
      <c r="S67" s="181">
        <f t="shared" si="10"/>
        <v>1</v>
      </c>
      <c r="T67" s="181">
        <f t="shared" si="11"/>
        <v>2.06</v>
      </c>
      <c r="U67" s="186">
        <f t="shared" si="12"/>
        <v>122.08693</v>
      </c>
      <c r="V67" s="187">
        <f t="shared" ref="V67:W67" si="52">C67/100</f>
        <v>0.98</v>
      </c>
      <c r="W67" s="187">
        <f t="shared" si="52"/>
        <v>2.05</v>
      </c>
      <c r="X67" s="187">
        <f t="shared" si="14"/>
        <v>2.06</v>
      </c>
      <c r="Y67" s="189">
        <f t="shared" si="15"/>
        <v>4.13854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7.0" customHeight="1">
      <c r="A68" s="181">
        <v>37.0</v>
      </c>
      <c r="B68" s="191" t="s">
        <v>95</v>
      </c>
      <c r="C68" s="191">
        <v>100.0</v>
      </c>
      <c r="D68" s="191">
        <v>205.0</v>
      </c>
      <c r="E68" s="191">
        <v>206.0</v>
      </c>
      <c r="F68" s="191">
        <f t="shared" si="5"/>
        <v>0</v>
      </c>
      <c r="G68" s="191">
        <f t="shared" si="6"/>
        <v>124.5785</v>
      </c>
      <c r="H68" s="192">
        <f t="shared" si="7"/>
        <v>124.5785</v>
      </c>
      <c r="I68" s="218">
        <v>3.0</v>
      </c>
      <c r="J68" s="194">
        <f t="shared" si="8"/>
        <v>373.7355</v>
      </c>
      <c r="K68" s="139"/>
      <c r="L68" s="197"/>
      <c r="M68" s="198"/>
      <c r="N68" s="198"/>
      <c r="O68" s="139"/>
      <c r="P68" s="139"/>
      <c r="Q68" s="141">
        <v>29.5</v>
      </c>
      <c r="R68" s="187">
        <f t="shared" si="9"/>
        <v>2.06</v>
      </c>
      <c r="S68" s="181">
        <f t="shared" si="10"/>
        <v>3</v>
      </c>
      <c r="T68" s="181">
        <f t="shared" si="11"/>
        <v>6.18</v>
      </c>
      <c r="U68" s="186">
        <f t="shared" si="12"/>
        <v>124.5785</v>
      </c>
      <c r="V68" s="187">
        <f t="shared" ref="V68:W68" si="53">C68/100</f>
        <v>1</v>
      </c>
      <c r="W68" s="187">
        <f t="shared" si="53"/>
        <v>2.05</v>
      </c>
      <c r="X68" s="187">
        <f t="shared" si="14"/>
        <v>6.18</v>
      </c>
      <c r="Y68" s="189">
        <f t="shared" si="15"/>
        <v>12.669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81">
        <v>38.0</v>
      </c>
      <c r="B69" s="191" t="s">
        <v>95</v>
      </c>
      <c r="C69" s="191">
        <v>88.0</v>
      </c>
      <c r="D69" s="191">
        <v>205.0</v>
      </c>
      <c r="E69" s="191">
        <v>206.0</v>
      </c>
      <c r="F69" s="191">
        <f t="shared" si="5"/>
        <v>0</v>
      </c>
      <c r="G69" s="191">
        <f t="shared" si="6"/>
        <v>109.62908</v>
      </c>
      <c r="H69" s="192">
        <f t="shared" si="7"/>
        <v>109.62908</v>
      </c>
      <c r="I69" s="218">
        <v>1.0</v>
      </c>
      <c r="J69" s="194">
        <f t="shared" si="8"/>
        <v>109.62908</v>
      </c>
      <c r="K69" s="139"/>
      <c r="L69" s="197"/>
      <c r="M69" s="198"/>
      <c r="N69" s="198"/>
      <c r="O69" s="139"/>
      <c r="P69" s="139"/>
      <c r="Q69" s="141">
        <v>29.5</v>
      </c>
      <c r="R69" s="187">
        <f t="shared" si="9"/>
        <v>2.06</v>
      </c>
      <c r="S69" s="181">
        <f t="shared" si="10"/>
        <v>1</v>
      </c>
      <c r="T69" s="181">
        <f t="shared" si="11"/>
        <v>2.06</v>
      </c>
      <c r="U69" s="186">
        <f t="shared" si="12"/>
        <v>109.62908</v>
      </c>
      <c r="V69" s="187">
        <f t="shared" ref="V69:W69" si="54">C69/100</f>
        <v>0.88</v>
      </c>
      <c r="W69" s="187">
        <f t="shared" si="54"/>
        <v>2.05</v>
      </c>
      <c r="X69" s="187">
        <f t="shared" si="14"/>
        <v>2.06</v>
      </c>
      <c r="Y69" s="189">
        <f t="shared" si="15"/>
        <v>3.71624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81">
        <v>39.0</v>
      </c>
      <c r="B70" s="191" t="s">
        <v>95</v>
      </c>
      <c r="C70" s="191">
        <v>65.0</v>
      </c>
      <c r="D70" s="191">
        <v>205.0</v>
      </c>
      <c r="E70" s="191">
        <v>209.0</v>
      </c>
      <c r="F70" s="191">
        <f t="shared" si="5"/>
        <v>0</v>
      </c>
      <c r="G70" s="191">
        <f t="shared" si="6"/>
        <v>82.1552875</v>
      </c>
      <c r="H70" s="192">
        <f t="shared" si="7"/>
        <v>82.1552875</v>
      </c>
      <c r="I70" s="218">
        <v>1.0</v>
      </c>
      <c r="J70" s="194">
        <f t="shared" si="8"/>
        <v>82.1552875</v>
      </c>
      <c r="K70" s="139"/>
      <c r="L70" s="197"/>
      <c r="M70" s="198"/>
      <c r="N70" s="198"/>
      <c r="O70" s="139"/>
      <c r="P70" s="139"/>
      <c r="Q70" s="141">
        <v>29.5</v>
      </c>
      <c r="R70" s="187">
        <f t="shared" si="9"/>
        <v>2.09</v>
      </c>
      <c r="S70" s="181">
        <f t="shared" si="10"/>
        <v>1</v>
      </c>
      <c r="T70" s="181">
        <f t="shared" si="11"/>
        <v>2.09</v>
      </c>
      <c r="U70" s="186">
        <f t="shared" si="12"/>
        <v>82.1552875</v>
      </c>
      <c r="V70" s="187">
        <f t="shared" ref="V70:W70" si="55">C70/100</f>
        <v>0.65</v>
      </c>
      <c r="W70" s="187">
        <f t="shared" si="55"/>
        <v>2.05</v>
      </c>
      <c r="X70" s="187">
        <f t="shared" si="14"/>
        <v>2.09</v>
      </c>
      <c r="Y70" s="189">
        <f t="shared" si="15"/>
        <v>2.784925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81">
        <v>40.0</v>
      </c>
      <c r="B71" s="191" t="s">
        <v>95</v>
      </c>
      <c r="C71" s="191">
        <v>97.0</v>
      </c>
      <c r="D71" s="191">
        <v>205.0</v>
      </c>
      <c r="E71" s="191">
        <v>216.0</v>
      </c>
      <c r="F71" s="191">
        <f t="shared" si="5"/>
        <v>0</v>
      </c>
      <c r="G71" s="191">
        <f t="shared" si="6"/>
        <v>126.70722</v>
      </c>
      <c r="H71" s="192">
        <f t="shared" si="7"/>
        <v>126.70722</v>
      </c>
      <c r="I71" s="218">
        <v>1.0</v>
      </c>
      <c r="J71" s="194">
        <f t="shared" si="8"/>
        <v>126.70722</v>
      </c>
      <c r="K71" s="139"/>
      <c r="L71" s="197"/>
      <c r="M71" s="198"/>
      <c r="N71" s="198"/>
      <c r="O71" s="139"/>
      <c r="P71" s="139"/>
      <c r="Q71" s="141">
        <v>29.5</v>
      </c>
      <c r="R71" s="187">
        <f t="shared" si="9"/>
        <v>2.16</v>
      </c>
      <c r="S71" s="181">
        <f t="shared" si="10"/>
        <v>1</v>
      </c>
      <c r="T71" s="181">
        <f t="shared" si="11"/>
        <v>2.16</v>
      </c>
      <c r="U71" s="186">
        <f t="shared" si="12"/>
        <v>126.70722</v>
      </c>
      <c r="V71" s="187">
        <f t="shared" ref="V71:W71" si="56">C71/100</f>
        <v>0.97</v>
      </c>
      <c r="W71" s="187">
        <f t="shared" si="56"/>
        <v>2.05</v>
      </c>
      <c r="X71" s="187">
        <f t="shared" si="14"/>
        <v>2.16</v>
      </c>
      <c r="Y71" s="189">
        <f t="shared" si="15"/>
        <v>4.29516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81">
        <v>41.0</v>
      </c>
      <c r="B72" s="275" t="s">
        <v>115</v>
      </c>
      <c r="C72" s="275">
        <v>93.0</v>
      </c>
      <c r="D72" s="275">
        <v>205.0</v>
      </c>
      <c r="E72" s="275">
        <v>209.0</v>
      </c>
      <c r="F72" s="275">
        <f t="shared" si="5"/>
        <v>0.5</v>
      </c>
      <c r="G72" s="275">
        <f t="shared" si="6"/>
        <v>99.614625</v>
      </c>
      <c r="H72" s="276">
        <f t="shared" si="7"/>
        <v>49.8073125</v>
      </c>
      <c r="I72" s="275">
        <v>1.0</v>
      </c>
      <c r="J72" s="194">
        <f t="shared" si="8"/>
        <v>49.8073125</v>
      </c>
      <c r="K72" s="139"/>
      <c r="L72" s="197"/>
      <c r="M72" s="198"/>
      <c r="N72" s="198"/>
      <c r="O72" s="139"/>
      <c r="P72" s="139"/>
      <c r="Q72" s="141">
        <f>+(20.5+29.5)/2</f>
        <v>25</v>
      </c>
      <c r="R72" s="187">
        <f t="shared" si="9"/>
        <v>2.09</v>
      </c>
      <c r="S72" s="181">
        <f t="shared" si="10"/>
        <v>1</v>
      </c>
      <c r="T72" s="181">
        <f t="shared" si="11"/>
        <v>2.09</v>
      </c>
      <c r="U72" s="186">
        <f t="shared" si="12"/>
        <v>99.614625</v>
      </c>
      <c r="V72" s="187">
        <f t="shared" ref="V72:W72" si="57">C72/100</f>
        <v>0.93</v>
      </c>
      <c r="W72" s="187">
        <f t="shared" si="57"/>
        <v>2.05</v>
      </c>
      <c r="X72" s="187">
        <f t="shared" si="14"/>
        <v>2.09</v>
      </c>
      <c r="Y72" s="189">
        <f t="shared" si="15"/>
        <v>3.984585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81">
        <v>42.0</v>
      </c>
      <c r="B73" s="182" t="s">
        <v>65</v>
      </c>
      <c r="C73" s="183">
        <v>93.0</v>
      </c>
      <c r="D73" s="183">
        <v>184.0</v>
      </c>
      <c r="E73" s="183">
        <v>232.0</v>
      </c>
      <c r="F73" s="183">
        <f t="shared" si="5"/>
        <v>0.8</v>
      </c>
      <c r="G73" s="183">
        <f t="shared" si="6"/>
        <v>117.114528</v>
      </c>
      <c r="H73" s="184">
        <f t="shared" si="7"/>
        <v>93.6916224</v>
      </c>
      <c r="I73" s="183">
        <v>1.0</v>
      </c>
      <c r="J73" s="194">
        <f t="shared" si="8"/>
        <v>93.6916224</v>
      </c>
      <c r="K73" s="139"/>
      <c r="L73" s="197"/>
      <c r="M73" s="198"/>
      <c r="N73" s="198"/>
      <c r="O73" s="139"/>
      <c r="P73" s="139"/>
      <c r="Q73" s="141">
        <v>29.5</v>
      </c>
      <c r="R73" s="187">
        <f t="shared" si="9"/>
        <v>2.32</v>
      </c>
      <c r="S73" s="181">
        <f t="shared" si="10"/>
        <v>1</v>
      </c>
      <c r="T73" s="181">
        <f t="shared" si="11"/>
        <v>2.32</v>
      </c>
      <c r="U73" s="186">
        <f t="shared" si="12"/>
        <v>117.114528</v>
      </c>
      <c r="V73" s="187">
        <f t="shared" ref="V73:W73" si="58">C73/100</f>
        <v>0.93</v>
      </c>
      <c r="W73" s="187">
        <f t="shared" si="58"/>
        <v>1.84</v>
      </c>
      <c r="X73" s="187">
        <f t="shared" si="14"/>
        <v>2.32</v>
      </c>
      <c r="Y73" s="189">
        <f t="shared" si="15"/>
        <v>3.969984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7.0" customHeight="1">
      <c r="A74" s="181">
        <v>43.0</v>
      </c>
      <c r="B74" s="191" t="s">
        <v>56</v>
      </c>
      <c r="C74" s="191">
        <v>82.0</v>
      </c>
      <c r="D74" s="191">
        <v>184.0</v>
      </c>
      <c r="E74" s="191">
        <v>235.0</v>
      </c>
      <c r="F74" s="191">
        <f t="shared" si="5"/>
        <v>0</v>
      </c>
      <c r="G74" s="191">
        <f t="shared" si="6"/>
        <v>104.59756</v>
      </c>
      <c r="H74" s="192">
        <f t="shared" si="7"/>
        <v>104.59756</v>
      </c>
      <c r="I74" s="218">
        <v>1.0</v>
      </c>
      <c r="J74" s="194">
        <f t="shared" si="8"/>
        <v>104.59756</v>
      </c>
      <c r="K74" s="139"/>
      <c r="L74" s="197"/>
      <c r="M74" s="198"/>
      <c r="N74" s="198"/>
      <c r="O74" s="139"/>
      <c r="P74" s="139"/>
      <c r="Q74" s="141">
        <v>29.5</v>
      </c>
      <c r="R74" s="187">
        <f t="shared" si="9"/>
        <v>2.35</v>
      </c>
      <c r="S74" s="181">
        <f t="shared" si="10"/>
        <v>1</v>
      </c>
      <c r="T74" s="181">
        <f t="shared" si="11"/>
        <v>2.35</v>
      </c>
      <c r="U74" s="186">
        <f t="shared" si="12"/>
        <v>104.59756</v>
      </c>
      <c r="V74" s="187">
        <f t="shared" ref="V74:W74" si="59">C74/100</f>
        <v>0.82</v>
      </c>
      <c r="W74" s="187">
        <f t="shared" si="59"/>
        <v>1.84</v>
      </c>
      <c r="X74" s="187">
        <f t="shared" si="14"/>
        <v>2.35</v>
      </c>
      <c r="Y74" s="189">
        <f t="shared" si="15"/>
        <v>3.54568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27.0" customHeight="1">
      <c r="A75" s="181">
        <v>44.0</v>
      </c>
      <c r="B75" s="191" t="s">
        <v>56</v>
      </c>
      <c r="C75" s="191">
        <v>100.0</v>
      </c>
      <c r="D75" s="191">
        <v>184.0</v>
      </c>
      <c r="E75" s="191">
        <v>231.0</v>
      </c>
      <c r="F75" s="191">
        <f t="shared" si="5"/>
        <v>0</v>
      </c>
      <c r="G75" s="191">
        <f t="shared" si="6"/>
        <v>125.3868</v>
      </c>
      <c r="H75" s="192">
        <f t="shared" si="7"/>
        <v>125.3868</v>
      </c>
      <c r="I75" s="218">
        <v>1.0</v>
      </c>
      <c r="J75" s="194">
        <f t="shared" si="8"/>
        <v>125.3868</v>
      </c>
      <c r="K75" s="139"/>
      <c r="L75" s="197"/>
      <c r="M75" s="198"/>
      <c r="N75" s="198"/>
      <c r="O75" s="139"/>
      <c r="P75" s="139"/>
      <c r="Q75" s="141">
        <v>29.5</v>
      </c>
      <c r="R75" s="187">
        <f t="shared" si="9"/>
        <v>2.31</v>
      </c>
      <c r="S75" s="181">
        <f t="shared" si="10"/>
        <v>1</v>
      </c>
      <c r="T75" s="181">
        <f t="shared" si="11"/>
        <v>2.31</v>
      </c>
      <c r="U75" s="186">
        <f t="shared" si="12"/>
        <v>125.3868</v>
      </c>
      <c r="V75" s="187">
        <f t="shared" ref="V75:W75" si="60">C75/100</f>
        <v>1</v>
      </c>
      <c r="W75" s="187">
        <f t="shared" si="60"/>
        <v>1.84</v>
      </c>
      <c r="X75" s="187">
        <f t="shared" si="14"/>
        <v>2.31</v>
      </c>
      <c r="Y75" s="189">
        <f t="shared" si="15"/>
        <v>4.2504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27.0" customHeight="1">
      <c r="A76" s="181">
        <v>45.0</v>
      </c>
      <c r="B76" s="191" t="s">
        <v>56</v>
      </c>
      <c r="C76" s="191">
        <v>103.0</v>
      </c>
      <c r="D76" s="191">
        <v>184.0</v>
      </c>
      <c r="E76" s="191">
        <v>231.0</v>
      </c>
      <c r="F76" s="191">
        <f t="shared" si="5"/>
        <v>0</v>
      </c>
      <c r="G76" s="191">
        <f t="shared" si="6"/>
        <v>129.148404</v>
      </c>
      <c r="H76" s="192">
        <f t="shared" si="7"/>
        <v>129.148404</v>
      </c>
      <c r="I76" s="218">
        <v>3.0</v>
      </c>
      <c r="J76" s="194">
        <f t="shared" si="8"/>
        <v>387.445212</v>
      </c>
      <c r="K76" s="139"/>
      <c r="L76" s="197"/>
      <c r="M76" s="198"/>
      <c r="N76" s="198"/>
      <c r="O76" s="139"/>
      <c r="P76" s="139"/>
      <c r="Q76" s="141">
        <v>29.5</v>
      </c>
      <c r="R76" s="187">
        <f t="shared" si="9"/>
        <v>2.31</v>
      </c>
      <c r="S76" s="181">
        <f t="shared" si="10"/>
        <v>3</v>
      </c>
      <c r="T76" s="181">
        <f t="shared" si="11"/>
        <v>6.93</v>
      </c>
      <c r="U76" s="186">
        <f t="shared" si="12"/>
        <v>129.148404</v>
      </c>
      <c r="V76" s="187">
        <f t="shared" ref="V76:W76" si="61">C76/100</f>
        <v>1.03</v>
      </c>
      <c r="W76" s="187">
        <f t="shared" si="61"/>
        <v>1.84</v>
      </c>
      <c r="X76" s="187">
        <f t="shared" si="14"/>
        <v>6.93</v>
      </c>
      <c r="Y76" s="189">
        <f t="shared" si="15"/>
        <v>13.133736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27.0" customHeight="1">
      <c r="A77" s="181">
        <v>46.0</v>
      </c>
      <c r="B77" s="191" t="s">
        <v>56</v>
      </c>
      <c r="C77" s="191">
        <v>100.0</v>
      </c>
      <c r="D77" s="191">
        <v>184.0</v>
      </c>
      <c r="E77" s="191">
        <v>232.0</v>
      </c>
      <c r="F77" s="191">
        <f t="shared" si="5"/>
        <v>0</v>
      </c>
      <c r="G77" s="191">
        <f t="shared" si="6"/>
        <v>125.9296</v>
      </c>
      <c r="H77" s="192">
        <f t="shared" si="7"/>
        <v>125.9296</v>
      </c>
      <c r="I77" s="218">
        <v>1.0</v>
      </c>
      <c r="J77" s="194">
        <f t="shared" si="8"/>
        <v>125.9296</v>
      </c>
      <c r="K77" s="139"/>
      <c r="L77" s="197"/>
      <c r="M77" s="198"/>
      <c r="N77" s="198"/>
      <c r="O77" s="139"/>
      <c r="P77" s="139"/>
      <c r="Q77" s="141">
        <v>29.5</v>
      </c>
      <c r="R77" s="187">
        <f t="shared" si="9"/>
        <v>2.32</v>
      </c>
      <c r="S77" s="181">
        <f t="shared" si="10"/>
        <v>1</v>
      </c>
      <c r="T77" s="181">
        <f t="shared" si="11"/>
        <v>2.32</v>
      </c>
      <c r="U77" s="186">
        <f t="shared" si="12"/>
        <v>125.9296</v>
      </c>
      <c r="V77" s="187">
        <f t="shared" ref="V77:W77" si="62">C77/100</f>
        <v>1</v>
      </c>
      <c r="W77" s="187">
        <f t="shared" si="62"/>
        <v>1.84</v>
      </c>
      <c r="X77" s="187">
        <f t="shared" si="14"/>
        <v>2.32</v>
      </c>
      <c r="Y77" s="189">
        <f t="shared" si="15"/>
        <v>4.2688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27.0" customHeight="1">
      <c r="A78" s="181">
        <v>47.0</v>
      </c>
      <c r="B78" s="191" t="s">
        <v>56</v>
      </c>
      <c r="C78" s="191">
        <v>103.0</v>
      </c>
      <c r="D78" s="191">
        <v>184.0</v>
      </c>
      <c r="E78" s="191">
        <v>232.0</v>
      </c>
      <c r="F78" s="191">
        <f t="shared" si="5"/>
        <v>0</v>
      </c>
      <c r="G78" s="191">
        <f t="shared" si="6"/>
        <v>129.707488</v>
      </c>
      <c r="H78" s="192">
        <f t="shared" si="7"/>
        <v>129.707488</v>
      </c>
      <c r="I78" s="218">
        <v>9.0</v>
      </c>
      <c r="J78" s="194">
        <f t="shared" si="8"/>
        <v>1167.367392</v>
      </c>
      <c r="K78" s="139"/>
      <c r="L78" s="197"/>
      <c r="M78" s="198"/>
      <c r="N78" s="198"/>
      <c r="O78" s="139"/>
      <c r="P78" s="139"/>
      <c r="Q78" s="141">
        <v>29.5</v>
      </c>
      <c r="R78" s="187">
        <f t="shared" si="9"/>
        <v>2.32</v>
      </c>
      <c r="S78" s="181">
        <f t="shared" si="10"/>
        <v>9</v>
      </c>
      <c r="T78" s="181">
        <f t="shared" si="11"/>
        <v>20.88</v>
      </c>
      <c r="U78" s="186">
        <f t="shared" si="12"/>
        <v>129.707488</v>
      </c>
      <c r="V78" s="187">
        <f t="shared" ref="V78:W78" si="63">C78/100</f>
        <v>1.03</v>
      </c>
      <c r="W78" s="187">
        <f t="shared" si="63"/>
        <v>1.84</v>
      </c>
      <c r="X78" s="187">
        <f t="shared" si="14"/>
        <v>20.88</v>
      </c>
      <c r="Y78" s="189">
        <f t="shared" si="15"/>
        <v>39.571776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7.0" customHeight="1">
      <c r="A79" s="181">
        <v>48.0</v>
      </c>
      <c r="B79" s="191" t="s">
        <v>56</v>
      </c>
      <c r="C79" s="191">
        <v>101.0</v>
      </c>
      <c r="D79" s="191">
        <v>184.0</v>
      </c>
      <c r="E79" s="191">
        <v>231.0</v>
      </c>
      <c r="F79" s="191">
        <f t="shared" si="5"/>
        <v>0</v>
      </c>
      <c r="G79" s="191">
        <f t="shared" si="6"/>
        <v>126.640668</v>
      </c>
      <c r="H79" s="192">
        <f t="shared" si="7"/>
        <v>126.640668</v>
      </c>
      <c r="I79" s="218">
        <v>2.0</v>
      </c>
      <c r="J79" s="194">
        <f t="shared" si="8"/>
        <v>253.281336</v>
      </c>
      <c r="K79" s="139"/>
      <c r="L79" s="197"/>
      <c r="M79" s="198"/>
      <c r="N79" s="198"/>
      <c r="O79" s="139"/>
      <c r="P79" s="139"/>
      <c r="Q79" s="141">
        <v>29.5</v>
      </c>
      <c r="R79" s="187">
        <f t="shared" si="9"/>
        <v>2.31</v>
      </c>
      <c r="S79" s="181">
        <f t="shared" si="10"/>
        <v>2</v>
      </c>
      <c r="T79" s="181">
        <f t="shared" si="11"/>
        <v>4.62</v>
      </c>
      <c r="U79" s="186">
        <f t="shared" si="12"/>
        <v>126.640668</v>
      </c>
      <c r="V79" s="187">
        <f t="shared" ref="V79:W79" si="64">C79/100</f>
        <v>1.01</v>
      </c>
      <c r="W79" s="187">
        <f t="shared" si="64"/>
        <v>1.84</v>
      </c>
      <c r="X79" s="187">
        <f t="shared" si="14"/>
        <v>4.62</v>
      </c>
      <c r="Y79" s="189">
        <f t="shared" si="15"/>
        <v>8.585808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7.0" customHeight="1">
      <c r="A80" s="181">
        <v>49.0</v>
      </c>
      <c r="B80" s="191" t="s">
        <v>56</v>
      </c>
      <c r="C80" s="191">
        <v>102.0</v>
      </c>
      <c r="D80" s="191">
        <v>184.0</v>
      </c>
      <c r="E80" s="191">
        <v>232.0</v>
      </c>
      <c r="F80" s="191">
        <f t="shared" si="5"/>
        <v>0</v>
      </c>
      <c r="G80" s="191">
        <f t="shared" si="6"/>
        <v>128.448192</v>
      </c>
      <c r="H80" s="192">
        <f t="shared" si="7"/>
        <v>128.448192</v>
      </c>
      <c r="I80" s="218">
        <v>4.0</v>
      </c>
      <c r="J80" s="194">
        <f t="shared" si="8"/>
        <v>513.792768</v>
      </c>
      <c r="K80" s="139"/>
      <c r="L80" s="197"/>
      <c r="M80" s="198"/>
      <c r="N80" s="198"/>
      <c r="O80" s="139"/>
      <c r="P80" s="139"/>
      <c r="Q80" s="141">
        <v>29.5</v>
      </c>
      <c r="R80" s="187">
        <f t="shared" si="9"/>
        <v>2.32</v>
      </c>
      <c r="S80" s="181">
        <f t="shared" si="10"/>
        <v>4</v>
      </c>
      <c r="T80" s="181">
        <f t="shared" si="11"/>
        <v>9.28</v>
      </c>
      <c r="U80" s="186">
        <f t="shared" si="12"/>
        <v>128.448192</v>
      </c>
      <c r="V80" s="187">
        <f t="shared" ref="V80:W80" si="65">C80/100</f>
        <v>1.02</v>
      </c>
      <c r="W80" s="187">
        <f t="shared" si="65"/>
        <v>1.84</v>
      </c>
      <c r="X80" s="187">
        <f t="shared" si="14"/>
        <v>9.28</v>
      </c>
      <c r="Y80" s="189">
        <f t="shared" si="15"/>
        <v>17.416704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7.0" customHeight="1">
      <c r="A81" s="181">
        <v>50.0</v>
      </c>
      <c r="B81" s="191" t="s">
        <v>56</v>
      </c>
      <c r="C81" s="191">
        <v>104.0</v>
      </c>
      <c r="D81" s="191">
        <v>184.0</v>
      </c>
      <c r="E81" s="191">
        <v>232.0</v>
      </c>
      <c r="F81" s="191">
        <f t="shared" si="5"/>
        <v>0</v>
      </c>
      <c r="G81" s="191">
        <f t="shared" si="6"/>
        <v>130.966784</v>
      </c>
      <c r="H81" s="192">
        <f t="shared" si="7"/>
        <v>130.966784</v>
      </c>
      <c r="I81" s="218">
        <v>1.0</v>
      </c>
      <c r="J81" s="194">
        <f t="shared" si="8"/>
        <v>130.966784</v>
      </c>
      <c r="K81" s="139"/>
      <c r="L81" s="197"/>
      <c r="M81" s="198"/>
      <c r="N81" s="198"/>
      <c r="O81" s="139"/>
      <c r="P81" s="139"/>
      <c r="Q81" s="141">
        <v>29.5</v>
      </c>
      <c r="R81" s="187">
        <f t="shared" si="9"/>
        <v>2.32</v>
      </c>
      <c r="S81" s="181">
        <f t="shared" si="10"/>
        <v>1</v>
      </c>
      <c r="T81" s="181">
        <f t="shared" si="11"/>
        <v>2.32</v>
      </c>
      <c r="U81" s="186">
        <f t="shared" si="12"/>
        <v>130.966784</v>
      </c>
      <c r="V81" s="187">
        <f t="shared" ref="V81:W81" si="66">C81/100</f>
        <v>1.04</v>
      </c>
      <c r="W81" s="187">
        <f t="shared" si="66"/>
        <v>1.84</v>
      </c>
      <c r="X81" s="187">
        <f t="shared" si="14"/>
        <v>2.32</v>
      </c>
      <c r="Y81" s="189">
        <f t="shared" si="15"/>
        <v>4.439552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27.0" customHeight="1">
      <c r="A82" s="181">
        <v>51.0</v>
      </c>
      <c r="B82" s="191" t="s">
        <v>56</v>
      </c>
      <c r="C82" s="191">
        <v>96.0</v>
      </c>
      <c r="D82" s="191">
        <v>184.0</v>
      </c>
      <c r="E82" s="191">
        <v>231.0</v>
      </c>
      <c r="F82" s="191">
        <f t="shared" si="5"/>
        <v>0</v>
      </c>
      <c r="G82" s="191">
        <f t="shared" si="6"/>
        <v>120.371328</v>
      </c>
      <c r="H82" s="192">
        <f t="shared" si="7"/>
        <v>120.371328</v>
      </c>
      <c r="I82" s="218">
        <v>1.0</v>
      </c>
      <c r="J82" s="194">
        <f t="shared" si="8"/>
        <v>120.371328</v>
      </c>
      <c r="K82" s="139"/>
      <c r="L82" s="197"/>
      <c r="M82" s="198"/>
      <c r="N82" s="198"/>
      <c r="O82" s="139"/>
      <c r="P82" s="139"/>
      <c r="Q82" s="141">
        <v>29.5</v>
      </c>
      <c r="R82" s="187">
        <f t="shared" si="9"/>
        <v>2.31</v>
      </c>
      <c r="S82" s="181">
        <f t="shared" si="10"/>
        <v>1</v>
      </c>
      <c r="T82" s="181">
        <f t="shared" si="11"/>
        <v>2.31</v>
      </c>
      <c r="U82" s="186">
        <f t="shared" si="12"/>
        <v>120.371328</v>
      </c>
      <c r="V82" s="187">
        <f t="shared" ref="V82:W82" si="67">C82/100</f>
        <v>0.96</v>
      </c>
      <c r="W82" s="187">
        <f t="shared" si="67"/>
        <v>1.84</v>
      </c>
      <c r="X82" s="187">
        <f t="shared" si="14"/>
        <v>2.31</v>
      </c>
      <c r="Y82" s="189">
        <f t="shared" si="15"/>
        <v>4.080384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7.0" customHeight="1">
      <c r="A83" s="181">
        <v>52.0</v>
      </c>
      <c r="B83" s="191" t="s">
        <v>56</v>
      </c>
      <c r="C83" s="191">
        <v>101.0</v>
      </c>
      <c r="D83" s="191">
        <v>184.0</v>
      </c>
      <c r="E83" s="191">
        <v>232.0</v>
      </c>
      <c r="F83" s="191">
        <f t="shared" si="5"/>
        <v>0</v>
      </c>
      <c r="G83" s="191">
        <f t="shared" si="6"/>
        <v>127.188896</v>
      </c>
      <c r="H83" s="192">
        <f t="shared" si="7"/>
        <v>127.188896</v>
      </c>
      <c r="I83" s="218">
        <v>3.0</v>
      </c>
      <c r="J83" s="194">
        <f t="shared" si="8"/>
        <v>381.566688</v>
      </c>
      <c r="K83" s="139"/>
      <c r="L83" s="197"/>
      <c r="M83" s="198"/>
      <c r="N83" s="198"/>
      <c r="O83" s="139"/>
      <c r="P83" s="139"/>
      <c r="Q83" s="141">
        <v>29.5</v>
      </c>
      <c r="R83" s="187">
        <f t="shared" si="9"/>
        <v>2.32</v>
      </c>
      <c r="S83" s="181">
        <f t="shared" si="10"/>
        <v>3</v>
      </c>
      <c r="T83" s="181">
        <f t="shared" si="11"/>
        <v>6.96</v>
      </c>
      <c r="U83" s="186">
        <f t="shared" si="12"/>
        <v>127.188896</v>
      </c>
      <c r="V83" s="187">
        <f t="shared" ref="V83:W83" si="68">C83/100</f>
        <v>1.01</v>
      </c>
      <c r="W83" s="187">
        <f t="shared" si="68"/>
        <v>1.84</v>
      </c>
      <c r="X83" s="187">
        <f t="shared" si="14"/>
        <v>6.96</v>
      </c>
      <c r="Y83" s="189">
        <f t="shared" si="15"/>
        <v>12.934464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7.0" customHeight="1">
      <c r="A84" s="181">
        <v>53.0</v>
      </c>
      <c r="B84" s="191" t="s">
        <v>56</v>
      </c>
      <c r="C84" s="191">
        <v>102.0</v>
      </c>
      <c r="D84" s="191">
        <v>184.0</v>
      </c>
      <c r="E84" s="191">
        <v>231.0</v>
      </c>
      <c r="F84" s="191">
        <f t="shared" si="5"/>
        <v>0</v>
      </c>
      <c r="G84" s="191">
        <f t="shared" si="6"/>
        <v>127.894536</v>
      </c>
      <c r="H84" s="192">
        <f t="shared" si="7"/>
        <v>127.894536</v>
      </c>
      <c r="I84" s="218">
        <v>2.0</v>
      </c>
      <c r="J84" s="194">
        <f t="shared" si="8"/>
        <v>255.789072</v>
      </c>
      <c r="K84" s="139"/>
      <c r="L84" s="197"/>
      <c r="M84" s="198"/>
      <c r="N84" s="198"/>
      <c r="O84" s="139"/>
      <c r="P84" s="139"/>
      <c r="Q84" s="141">
        <v>29.5</v>
      </c>
      <c r="R84" s="187">
        <f t="shared" si="9"/>
        <v>2.31</v>
      </c>
      <c r="S84" s="181">
        <f t="shared" si="10"/>
        <v>2</v>
      </c>
      <c r="T84" s="181">
        <f t="shared" si="11"/>
        <v>4.62</v>
      </c>
      <c r="U84" s="186">
        <f t="shared" si="12"/>
        <v>127.894536</v>
      </c>
      <c r="V84" s="187">
        <f t="shared" ref="V84:W84" si="69">C84/100</f>
        <v>1.02</v>
      </c>
      <c r="W84" s="187">
        <f t="shared" si="69"/>
        <v>1.84</v>
      </c>
      <c r="X84" s="187">
        <f t="shared" si="14"/>
        <v>4.62</v>
      </c>
      <c r="Y84" s="189">
        <f t="shared" si="15"/>
        <v>8.670816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7.0" customHeight="1">
      <c r="A85" s="181">
        <v>54.0</v>
      </c>
      <c r="B85" s="191" t="s">
        <v>56</v>
      </c>
      <c r="C85" s="191">
        <v>103.0</v>
      </c>
      <c r="D85" s="191">
        <v>184.0</v>
      </c>
      <c r="E85" s="191">
        <v>230.0</v>
      </c>
      <c r="F85" s="191">
        <f t="shared" si="5"/>
        <v>0</v>
      </c>
      <c r="G85" s="191">
        <f t="shared" si="6"/>
        <v>128.58932</v>
      </c>
      <c r="H85" s="192">
        <f t="shared" si="7"/>
        <v>128.58932</v>
      </c>
      <c r="I85" s="218">
        <v>1.0</v>
      </c>
      <c r="J85" s="194">
        <f t="shared" si="8"/>
        <v>128.58932</v>
      </c>
      <c r="K85" s="139"/>
      <c r="L85" s="197"/>
      <c r="M85" s="198"/>
      <c r="N85" s="198"/>
      <c r="O85" s="139"/>
      <c r="P85" s="139"/>
      <c r="Q85" s="141">
        <v>29.5</v>
      </c>
      <c r="R85" s="187">
        <f t="shared" si="9"/>
        <v>2.3</v>
      </c>
      <c r="S85" s="181">
        <f t="shared" si="10"/>
        <v>1</v>
      </c>
      <c r="T85" s="181">
        <f t="shared" si="11"/>
        <v>2.3</v>
      </c>
      <c r="U85" s="186">
        <f t="shared" si="12"/>
        <v>128.58932</v>
      </c>
      <c r="V85" s="187">
        <f t="shared" ref="V85:W85" si="70">C85/100</f>
        <v>1.03</v>
      </c>
      <c r="W85" s="187">
        <f t="shared" si="70"/>
        <v>1.84</v>
      </c>
      <c r="X85" s="187">
        <f t="shared" si="14"/>
        <v>2.3</v>
      </c>
      <c r="Y85" s="189">
        <f t="shared" si="15"/>
        <v>4.35896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7.0" customHeight="1">
      <c r="A86" s="181">
        <v>55.0</v>
      </c>
      <c r="B86" s="182" t="s">
        <v>116</v>
      </c>
      <c r="C86" s="191">
        <v>74.0</v>
      </c>
      <c r="D86" s="191">
        <v>184.0</v>
      </c>
      <c r="E86" s="191">
        <v>209.0</v>
      </c>
      <c r="F86" s="191">
        <f t="shared" si="5"/>
        <v>0.8</v>
      </c>
      <c r="G86" s="191">
        <f t="shared" si="6"/>
        <v>58.337752</v>
      </c>
      <c r="H86" s="192">
        <f t="shared" si="7"/>
        <v>46.6702016</v>
      </c>
      <c r="I86" s="218">
        <v>1.0</v>
      </c>
      <c r="J86" s="194">
        <f t="shared" si="8"/>
        <v>46.6702016</v>
      </c>
      <c r="K86" s="139"/>
      <c r="L86" s="197"/>
      <c r="M86" s="198"/>
      <c r="N86" s="198"/>
      <c r="O86" s="139"/>
      <c r="P86" s="139"/>
      <c r="Q86" s="141">
        <v>20.5</v>
      </c>
      <c r="R86" s="187">
        <f t="shared" si="9"/>
        <v>2.09</v>
      </c>
      <c r="S86" s="181">
        <f t="shared" si="10"/>
        <v>1</v>
      </c>
      <c r="T86" s="181">
        <f t="shared" si="11"/>
        <v>2.09</v>
      </c>
      <c r="U86" s="186">
        <f t="shared" si="12"/>
        <v>58.337752</v>
      </c>
      <c r="V86" s="187">
        <f t="shared" ref="V86:W86" si="71">C86/100</f>
        <v>0.74</v>
      </c>
      <c r="W86" s="187">
        <f t="shared" si="71"/>
        <v>1.84</v>
      </c>
      <c r="X86" s="187">
        <f t="shared" si="14"/>
        <v>2.09</v>
      </c>
      <c r="Y86" s="189">
        <f t="shared" si="15"/>
        <v>2.845744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7.0" customHeight="1">
      <c r="A87" s="181">
        <v>56.0</v>
      </c>
      <c r="B87" s="191" t="s">
        <v>110</v>
      </c>
      <c r="C87" s="191">
        <v>84.0</v>
      </c>
      <c r="D87" s="191">
        <v>184.0</v>
      </c>
      <c r="E87" s="191">
        <v>160.0</v>
      </c>
      <c r="F87" s="191">
        <f t="shared" si="5"/>
        <v>0</v>
      </c>
      <c r="G87" s="191">
        <f t="shared" si="6"/>
        <v>50.69568</v>
      </c>
      <c r="H87" s="192">
        <f t="shared" si="7"/>
        <v>50.69568</v>
      </c>
      <c r="I87" s="218">
        <v>1.0</v>
      </c>
      <c r="J87" s="194">
        <f t="shared" si="8"/>
        <v>50.69568</v>
      </c>
      <c r="K87" s="139"/>
      <c r="L87" s="197"/>
      <c r="M87" s="198"/>
      <c r="N87" s="198"/>
      <c r="O87" s="139"/>
      <c r="P87" s="139"/>
      <c r="Q87" s="141">
        <v>20.5</v>
      </c>
      <c r="R87" s="187">
        <f t="shared" si="9"/>
        <v>1.6</v>
      </c>
      <c r="S87" s="181">
        <f t="shared" si="10"/>
        <v>1</v>
      </c>
      <c r="T87" s="181">
        <f t="shared" si="11"/>
        <v>1.6</v>
      </c>
      <c r="U87" s="186">
        <f t="shared" si="12"/>
        <v>50.69568</v>
      </c>
      <c r="V87" s="187">
        <f t="shared" ref="V87:W87" si="72">C87/100</f>
        <v>0.84</v>
      </c>
      <c r="W87" s="187">
        <f t="shared" si="72"/>
        <v>1.84</v>
      </c>
      <c r="X87" s="187">
        <f t="shared" si="14"/>
        <v>1.6</v>
      </c>
      <c r="Y87" s="189">
        <f t="shared" si="15"/>
        <v>2.47296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27.0" customHeight="1">
      <c r="A88" s="181">
        <v>57.0</v>
      </c>
      <c r="B88" s="182" t="s">
        <v>117</v>
      </c>
      <c r="C88" s="191">
        <v>70.0</v>
      </c>
      <c r="D88" s="191">
        <v>200.0</v>
      </c>
      <c r="E88" s="191">
        <v>169.0</v>
      </c>
      <c r="F88" s="191">
        <f t="shared" si="5"/>
        <v>0.8</v>
      </c>
      <c r="G88" s="191">
        <f t="shared" si="6"/>
        <v>43.771</v>
      </c>
      <c r="H88" s="192">
        <f t="shared" si="7"/>
        <v>35.0168</v>
      </c>
      <c r="I88" s="218">
        <v>1.0</v>
      </c>
      <c r="J88" s="194">
        <f t="shared" si="8"/>
        <v>35.0168</v>
      </c>
      <c r="K88" s="139"/>
      <c r="L88" s="197"/>
      <c r="M88" s="198"/>
      <c r="N88" s="198"/>
      <c r="O88" s="139"/>
      <c r="P88" s="139"/>
      <c r="Q88" s="141">
        <v>18.5</v>
      </c>
      <c r="R88" s="187">
        <f t="shared" si="9"/>
        <v>1.69</v>
      </c>
      <c r="S88" s="181">
        <f t="shared" si="10"/>
        <v>1</v>
      </c>
      <c r="T88" s="181">
        <f t="shared" si="11"/>
        <v>1.69</v>
      </c>
      <c r="U88" s="186">
        <f t="shared" si="12"/>
        <v>43.771</v>
      </c>
      <c r="V88" s="187">
        <f t="shared" ref="V88:W88" si="73">C88/100</f>
        <v>0.7</v>
      </c>
      <c r="W88" s="187">
        <f t="shared" si="73"/>
        <v>2</v>
      </c>
      <c r="X88" s="187">
        <f t="shared" si="14"/>
        <v>1.69</v>
      </c>
      <c r="Y88" s="189">
        <f t="shared" si="15"/>
        <v>2.366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27.0" customHeight="1">
      <c r="A89" s="181">
        <v>58.0</v>
      </c>
      <c r="B89" s="191" t="s">
        <v>111</v>
      </c>
      <c r="C89" s="191">
        <v>90.0</v>
      </c>
      <c r="D89" s="191">
        <v>200.0</v>
      </c>
      <c r="E89" s="191">
        <v>210.0</v>
      </c>
      <c r="F89" s="191">
        <f t="shared" si="5"/>
        <v>0</v>
      </c>
      <c r="G89" s="191">
        <f t="shared" si="6"/>
        <v>69.93</v>
      </c>
      <c r="H89" s="192">
        <f t="shared" si="7"/>
        <v>69.93</v>
      </c>
      <c r="I89" s="218">
        <v>1.0</v>
      </c>
      <c r="J89" s="194">
        <f t="shared" si="8"/>
        <v>69.93</v>
      </c>
      <c r="K89" s="139"/>
      <c r="L89" s="197"/>
      <c r="M89" s="198"/>
      <c r="N89" s="198"/>
      <c r="O89" s="139"/>
      <c r="P89" s="139"/>
      <c r="Q89" s="141">
        <v>18.5</v>
      </c>
      <c r="R89" s="187">
        <f t="shared" si="9"/>
        <v>2.1</v>
      </c>
      <c r="S89" s="181">
        <f t="shared" si="10"/>
        <v>1</v>
      </c>
      <c r="T89" s="181">
        <f t="shared" si="11"/>
        <v>2.1</v>
      </c>
      <c r="U89" s="186">
        <f t="shared" si="12"/>
        <v>69.93</v>
      </c>
      <c r="V89" s="187">
        <f t="shared" ref="V89:W89" si="74">C89/100</f>
        <v>0.9</v>
      </c>
      <c r="W89" s="187">
        <f t="shared" si="74"/>
        <v>2</v>
      </c>
      <c r="X89" s="187">
        <f t="shared" si="14"/>
        <v>2.1</v>
      </c>
      <c r="Y89" s="189">
        <f t="shared" si="15"/>
        <v>3.78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27.0" customHeight="1">
      <c r="A90" s="160"/>
      <c r="B90" s="176"/>
      <c r="C90" s="176"/>
      <c r="D90" s="176"/>
      <c r="E90" s="176"/>
      <c r="F90" s="176"/>
      <c r="G90" s="176"/>
      <c r="H90" s="179"/>
      <c r="I90" s="160"/>
      <c r="J90" s="203">
        <f>+Q126</f>
        <v>135.6</v>
      </c>
      <c r="K90" s="139"/>
      <c r="L90" s="139"/>
      <c r="M90" s="139"/>
      <c r="N90" s="139"/>
      <c r="O90" s="139"/>
      <c r="P90" s="139"/>
      <c r="Q90" s="204"/>
      <c r="R90" s="187">
        <f t="shared" si="9"/>
        <v>0</v>
      </c>
      <c r="S90" s="181" t="str">
        <f t="shared" si="10"/>
        <v/>
      </c>
      <c r="T90" s="181">
        <f t="shared" si="11"/>
        <v>0</v>
      </c>
      <c r="U90" s="186"/>
      <c r="V90" s="187">
        <f t="shared" ref="V90:W90" si="75">C90/100</f>
        <v>0</v>
      </c>
      <c r="W90" s="187">
        <f t="shared" si="75"/>
        <v>0</v>
      </c>
      <c r="X90" s="187">
        <f t="shared" si="14"/>
        <v>0</v>
      </c>
      <c r="Y90" s="189">
        <f t="shared" si="15"/>
        <v>0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27.0" customHeight="1">
      <c r="A91" s="160"/>
      <c r="B91" s="205"/>
      <c r="C91" s="205"/>
      <c r="D91" s="205"/>
      <c r="E91" s="205"/>
      <c r="F91" s="205"/>
      <c r="G91" s="205"/>
      <c r="H91" s="206"/>
      <c r="I91" s="207">
        <f>SUM(I32:I89)</f>
        <v>205</v>
      </c>
      <c r="J91" s="208">
        <f>SUM(J32:J90)</f>
        <v>24459.03206</v>
      </c>
      <c r="K91" s="209"/>
      <c r="L91" s="209"/>
      <c r="M91" s="209"/>
      <c r="N91" s="209"/>
      <c r="O91" s="209"/>
      <c r="P91" s="209"/>
      <c r="Q91" s="141"/>
      <c r="R91" s="209">
        <f>SUMIFS($S$32:$S$89,$R$32:$R$89,"&gt;=3")</f>
        <v>0</v>
      </c>
      <c r="S91" s="209">
        <f t="shared" ref="S91:T91" si="76">SUM(S32:S89)</f>
        <v>205</v>
      </c>
      <c r="T91" s="209">
        <f t="shared" si="76"/>
        <v>444.37</v>
      </c>
      <c r="U91" s="209"/>
      <c r="V91" s="209"/>
      <c r="W91" s="209"/>
      <c r="X91" s="209"/>
      <c r="Y91" s="210">
        <f>SUM(Y32:Y90)</f>
        <v>863.131872</v>
      </c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</row>
    <row r="92" ht="29.25" customHeight="1">
      <c r="A92" s="139"/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141"/>
      <c r="R92" s="186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29.25" customHeight="1">
      <c r="A93" s="139"/>
      <c r="B93" s="139"/>
      <c r="C93" s="139"/>
      <c r="D93" s="139"/>
      <c r="E93" s="139"/>
      <c r="F93" s="139"/>
      <c r="G93" s="139"/>
      <c r="H93" s="140"/>
      <c r="I93" s="139"/>
      <c r="J93" s="139"/>
      <c r="K93" s="139"/>
      <c r="L93" s="139"/>
      <c r="M93" s="139"/>
      <c r="N93" s="139"/>
      <c r="O93" s="139"/>
      <c r="P93" s="139"/>
      <c r="Q93" s="204"/>
      <c r="R93" s="139"/>
      <c r="S93" s="139" t="s">
        <v>48</v>
      </c>
      <c r="T93" s="139" t="s">
        <v>72</v>
      </c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29.25" customHeight="1">
      <c r="A94" s="139"/>
      <c r="B94" s="139"/>
      <c r="C94" s="139"/>
      <c r="D94" s="139"/>
      <c r="E94" s="139"/>
      <c r="F94" s="139"/>
      <c r="G94" s="139"/>
      <c r="H94" s="140"/>
      <c r="I94" s="139"/>
      <c r="J94" s="139"/>
      <c r="K94" s="139"/>
      <c r="L94" s="139"/>
      <c r="M94" s="139"/>
      <c r="N94" s="139"/>
      <c r="O94" s="139"/>
      <c r="P94" s="139"/>
      <c r="Q94" s="141"/>
      <c r="R94" s="139" t="s">
        <v>31</v>
      </c>
      <c r="S94" s="211">
        <f>SUMIFS($J$32:$J$89,$R$32:$R$89,"&gt;=3")</f>
        <v>0</v>
      </c>
      <c r="T94" s="212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29.25" customHeight="1">
      <c r="A95" s="139" t="s">
        <v>32</v>
      </c>
      <c r="B95" s="139"/>
      <c r="C95" s="139"/>
      <c r="D95" s="139" t="s">
        <v>33</v>
      </c>
      <c r="E95" s="139"/>
      <c r="F95" s="139"/>
      <c r="G95" s="139"/>
      <c r="H95" s="140"/>
      <c r="I95" s="139"/>
      <c r="J95" s="139"/>
      <c r="K95" s="139"/>
      <c r="L95" s="139"/>
      <c r="M95" s="139"/>
      <c r="N95" s="139"/>
      <c r="O95" s="139"/>
      <c r="P95" s="139"/>
      <c r="Q95" s="141"/>
      <c r="R95" s="139" t="s">
        <v>34</v>
      </c>
      <c r="S95" s="213">
        <f>J91-S94</f>
        <v>24459.03206</v>
      </c>
      <c r="T95" s="212">
        <f>+SUMIFS($T$32:$T$89,$R$32:$R$89,"&gt;=3")</f>
        <v>0</v>
      </c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29.25" customHeight="1">
      <c r="A96" s="139"/>
      <c r="B96" s="139"/>
      <c r="C96" s="139"/>
      <c r="D96" s="139"/>
      <c r="E96" s="139"/>
      <c r="F96" s="139"/>
      <c r="G96" s="139"/>
      <c r="H96" s="140"/>
      <c r="I96" s="139"/>
      <c r="J96" s="139"/>
      <c r="K96" s="139"/>
      <c r="L96" s="139"/>
      <c r="M96" s="139"/>
      <c r="N96" s="139"/>
      <c r="O96" s="139"/>
      <c r="P96" s="139"/>
      <c r="Q96" s="204"/>
      <c r="R96" s="139"/>
      <c r="S96" s="214">
        <f>+I91</f>
        <v>205</v>
      </c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39.0" customHeight="1">
      <c r="A97" s="176"/>
      <c r="B97" s="160" t="s">
        <v>12</v>
      </c>
      <c r="C97" s="177" t="s">
        <v>73</v>
      </c>
      <c r="D97" s="52"/>
      <c r="E97" s="53"/>
      <c r="F97" s="178"/>
      <c r="G97" s="178"/>
      <c r="H97" s="179" t="s">
        <v>14</v>
      </c>
      <c r="I97" s="160" t="s">
        <v>15</v>
      </c>
      <c r="J97" s="160" t="s">
        <v>16</v>
      </c>
      <c r="K97" s="139"/>
      <c r="L97" s="139"/>
      <c r="M97" s="139"/>
      <c r="N97" s="139"/>
      <c r="O97" s="139"/>
      <c r="P97" s="139"/>
      <c r="Q97" s="141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27.0" customHeight="1">
      <c r="A98" s="154">
        <v>1.0</v>
      </c>
      <c r="B98" s="215" t="s">
        <v>113</v>
      </c>
      <c r="C98" s="215">
        <v>87.0</v>
      </c>
      <c r="D98" s="215">
        <v>200.0</v>
      </c>
      <c r="E98" s="215">
        <v>106.0</v>
      </c>
      <c r="F98" s="215">
        <f t="shared" ref="F98:F105" si="77">1-VALUE(IF(RIGHT(B98, 1)="%", RIGHT(B98, 3), 0))</f>
        <v>0.2</v>
      </c>
      <c r="G98" s="215">
        <f t="shared" ref="G98:G105" si="78">+Q98*C98/100*D98/100*E98/100</f>
        <v>0</v>
      </c>
      <c r="H98" s="216">
        <f t="shared" ref="H98:H105" si="79">IF(F98=0, G98, F98*G98)</f>
        <v>0</v>
      </c>
      <c r="I98" s="215">
        <v>1.0</v>
      </c>
      <c r="J98" s="217">
        <f t="shared" ref="J98:J105" si="80">+I98*H98</f>
        <v>0</v>
      </c>
      <c r="K98" s="139"/>
      <c r="L98" s="176">
        <f>D98*25.4/1000</f>
        <v>5.08</v>
      </c>
      <c r="M98" s="160">
        <f>+I98</f>
        <v>1</v>
      </c>
      <c r="N98" s="160">
        <f>M98*L98</f>
        <v>5.08</v>
      </c>
      <c r="O98" s="139"/>
      <c r="P98" s="139"/>
      <c r="Q98" s="141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27.0" customHeight="1">
      <c r="A99" s="154"/>
      <c r="B99" s="215" t="s">
        <v>64</v>
      </c>
      <c r="C99" s="215">
        <v>92.0</v>
      </c>
      <c r="D99" s="215">
        <v>203.0</v>
      </c>
      <c r="E99" s="215">
        <v>232.0</v>
      </c>
      <c r="F99" s="215">
        <f t="shared" si="77"/>
        <v>0.2</v>
      </c>
      <c r="G99" s="215">
        <f t="shared" si="78"/>
        <v>0</v>
      </c>
      <c r="H99" s="216">
        <f t="shared" si="79"/>
        <v>0</v>
      </c>
      <c r="I99" s="215">
        <v>1.0</v>
      </c>
      <c r="J99" s="217">
        <f t="shared" si="80"/>
        <v>0</v>
      </c>
      <c r="K99" s="139"/>
      <c r="L99" s="176"/>
      <c r="M99" s="160"/>
      <c r="N99" s="160"/>
      <c r="O99" s="139"/>
      <c r="P99" s="139"/>
      <c r="Q99" s="141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27.0" customHeight="1">
      <c r="A100" s="154"/>
      <c r="B100" s="215" t="s">
        <v>114</v>
      </c>
      <c r="C100" s="215">
        <v>80.0</v>
      </c>
      <c r="D100" s="215">
        <v>205.0</v>
      </c>
      <c r="E100" s="215">
        <v>206.0</v>
      </c>
      <c r="F100" s="215">
        <f t="shared" si="77"/>
        <v>0.2</v>
      </c>
      <c r="G100" s="215">
        <f t="shared" si="78"/>
        <v>0</v>
      </c>
      <c r="H100" s="216">
        <f t="shared" si="79"/>
        <v>0</v>
      </c>
      <c r="I100" s="215">
        <v>1.0</v>
      </c>
      <c r="J100" s="217">
        <f t="shared" si="80"/>
        <v>0</v>
      </c>
      <c r="K100" s="139"/>
      <c r="L100" s="176"/>
      <c r="M100" s="160"/>
      <c r="N100" s="160"/>
      <c r="O100" s="139"/>
      <c r="P100" s="139"/>
      <c r="Q100" s="141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27.0" customHeight="1">
      <c r="A101" s="154"/>
      <c r="B101" s="215" t="s">
        <v>94</v>
      </c>
      <c r="C101" s="215">
        <v>92.0</v>
      </c>
      <c r="D101" s="215">
        <v>205.0</v>
      </c>
      <c r="E101" s="215">
        <v>208.0</v>
      </c>
      <c r="F101" s="215">
        <f t="shared" si="77"/>
        <v>0.2</v>
      </c>
      <c r="G101" s="215">
        <f t="shared" si="78"/>
        <v>0</v>
      </c>
      <c r="H101" s="216">
        <f t="shared" si="79"/>
        <v>0</v>
      </c>
      <c r="I101" s="215">
        <v>1.0</v>
      </c>
      <c r="J101" s="217">
        <f t="shared" si="80"/>
        <v>0</v>
      </c>
      <c r="K101" s="139"/>
      <c r="L101" s="176"/>
      <c r="M101" s="160"/>
      <c r="N101" s="160"/>
      <c r="O101" s="139"/>
      <c r="P101" s="139"/>
      <c r="Q101" s="141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27.0" customHeight="1">
      <c r="A102" s="160">
        <v>2.0</v>
      </c>
      <c r="B102" s="218" t="s">
        <v>115</v>
      </c>
      <c r="C102" s="218">
        <v>93.0</v>
      </c>
      <c r="D102" s="218">
        <v>205.0</v>
      </c>
      <c r="E102" s="218">
        <v>209.0</v>
      </c>
      <c r="F102" s="218">
        <f t="shared" si="77"/>
        <v>0.5</v>
      </c>
      <c r="G102" s="218">
        <f t="shared" si="78"/>
        <v>0</v>
      </c>
      <c r="H102" s="219">
        <f t="shared" si="79"/>
        <v>0</v>
      </c>
      <c r="I102" s="218">
        <v>1.0</v>
      </c>
      <c r="J102" s="194">
        <f t="shared" si="80"/>
        <v>0</v>
      </c>
      <c r="K102" s="139"/>
      <c r="L102" s="176">
        <f t="shared" ref="L102:L105" si="81">D102*25.4/1000</f>
        <v>5.207</v>
      </c>
      <c r="M102" s="160">
        <f t="shared" ref="M102:M104" si="82">+I102</f>
        <v>1</v>
      </c>
      <c r="N102" s="160">
        <f t="shared" ref="N102:N104" si="83">M102*L102</f>
        <v>5.207</v>
      </c>
      <c r="O102" s="139"/>
      <c r="P102" s="139"/>
      <c r="Q102" s="141"/>
      <c r="R102" s="139"/>
      <c r="S102" s="220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27.0" customHeight="1">
      <c r="A103" s="160">
        <v>3.0</v>
      </c>
      <c r="B103" s="218" t="s">
        <v>65</v>
      </c>
      <c r="C103" s="218">
        <v>93.0</v>
      </c>
      <c r="D103" s="218">
        <v>184.0</v>
      </c>
      <c r="E103" s="218">
        <v>232.0</v>
      </c>
      <c r="F103" s="218">
        <f t="shared" si="77"/>
        <v>0.2</v>
      </c>
      <c r="G103" s="218">
        <f t="shared" si="78"/>
        <v>0</v>
      </c>
      <c r="H103" s="219">
        <f t="shared" si="79"/>
        <v>0</v>
      </c>
      <c r="I103" s="218">
        <v>1.0</v>
      </c>
      <c r="J103" s="194">
        <f t="shared" si="80"/>
        <v>0</v>
      </c>
      <c r="K103" s="139"/>
      <c r="L103" s="176">
        <f t="shared" si="81"/>
        <v>4.6736</v>
      </c>
      <c r="M103" s="160">
        <f t="shared" si="82"/>
        <v>1</v>
      </c>
      <c r="N103" s="160">
        <f t="shared" si="83"/>
        <v>4.6736</v>
      </c>
      <c r="O103" s="139"/>
      <c r="P103" s="139"/>
      <c r="Q103" s="141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27.0" customHeight="1">
      <c r="A104" s="160">
        <v>4.0</v>
      </c>
      <c r="B104" s="218" t="s">
        <v>116</v>
      </c>
      <c r="C104" s="218">
        <v>74.0</v>
      </c>
      <c r="D104" s="218">
        <v>184.0</v>
      </c>
      <c r="E104" s="218">
        <v>209.0</v>
      </c>
      <c r="F104" s="218">
        <f t="shared" si="77"/>
        <v>0.2</v>
      </c>
      <c r="G104" s="218">
        <f t="shared" si="78"/>
        <v>0</v>
      </c>
      <c r="H104" s="219">
        <f t="shared" si="79"/>
        <v>0</v>
      </c>
      <c r="I104" s="218">
        <v>1.0</v>
      </c>
      <c r="J104" s="194">
        <f t="shared" si="80"/>
        <v>0</v>
      </c>
      <c r="K104" s="139"/>
      <c r="L104" s="176">
        <f t="shared" si="81"/>
        <v>4.6736</v>
      </c>
      <c r="M104" s="160">
        <f t="shared" si="82"/>
        <v>1</v>
      </c>
      <c r="N104" s="160">
        <f t="shared" si="83"/>
        <v>4.6736</v>
      </c>
      <c r="O104" s="139"/>
      <c r="P104" s="139"/>
      <c r="Q104" s="141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27.0" customHeight="1">
      <c r="A105" s="160">
        <v>5.0</v>
      </c>
      <c r="B105" s="218" t="s">
        <v>117</v>
      </c>
      <c r="C105" s="218">
        <v>70.0</v>
      </c>
      <c r="D105" s="218">
        <v>200.0</v>
      </c>
      <c r="E105" s="218">
        <v>169.0</v>
      </c>
      <c r="F105" s="218">
        <f t="shared" si="77"/>
        <v>0.2</v>
      </c>
      <c r="G105" s="218">
        <f t="shared" si="78"/>
        <v>0</v>
      </c>
      <c r="H105" s="219">
        <f t="shared" si="79"/>
        <v>0</v>
      </c>
      <c r="I105" s="218">
        <v>1.0</v>
      </c>
      <c r="J105" s="194">
        <f t="shared" si="80"/>
        <v>0</v>
      </c>
      <c r="K105" s="139"/>
      <c r="L105" s="139">
        <f t="shared" si="81"/>
        <v>5.08</v>
      </c>
      <c r="M105" s="221"/>
      <c r="N105" s="221"/>
      <c r="O105" s="139"/>
      <c r="P105" s="139"/>
      <c r="Q105" s="141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24.75" customHeight="1">
      <c r="A106" s="160"/>
      <c r="B106" s="197"/>
      <c r="C106" s="197"/>
      <c r="D106" s="197"/>
      <c r="E106" s="197"/>
      <c r="F106" s="197"/>
      <c r="G106" s="197"/>
      <c r="H106" s="269" t="s">
        <v>38</v>
      </c>
      <c r="I106" s="197"/>
      <c r="J106" s="226">
        <f>SUM(J98:J105)</f>
        <v>0</v>
      </c>
      <c r="K106" s="139"/>
      <c r="L106" s="139"/>
      <c r="M106" s="139"/>
      <c r="N106" s="139"/>
      <c r="O106" s="139"/>
      <c r="P106" s="139"/>
      <c r="Q106" s="141"/>
      <c r="R106" s="227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18.75" customHeight="1">
      <c r="A107" s="174"/>
      <c r="B107" s="144"/>
      <c r="C107" s="144"/>
      <c r="D107" s="144"/>
      <c r="E107" s="144"/>
      <c r="F107" s="144"/>
      <c r="G107" s="144"/>
      <c r="H107" s="145"/>
      <c r="I107" s="144"/>
      <c r="J107" s="175"/>
      <c r="K107" s="139"/>
      <c r="L107" s="139"/>
      <c r="M107" s="139"/>
      <c r="N107" s="139"/>
      <c r="O107" s="139"/>
      <c r="P107" s="139"/>
      <c r="Q107" s="141"/>
      <c r="R107" s="227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18.75" customHeight="1">
      <c r="A108" s="139"/>
      <c r="B108" s="139"/>
      <c r="C108" s="139"/>
      <c r="D108" s="139"/>
      <c r="E108" s="139"/>
      <c r="F108" s="139"/>
      <c r="G108" s="139"/>
      <c r="H108" s="140"/>
      <c r="I108" s="139"/>
      <c r="J108" s="139"/>
      <c r="K108" s="139"/>
      <c r="L108" s="139"/>
      <c r="M108" s="139"/>
      <c r="N108" s="139"/>
      <c r="O108" s="139"/>
      <c r="P108" s="139"/>
      <c r="Q108" s="141"/>
      <c r="R108" s="227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</row>
    <row r="109" ht="18.75" customHeight="1">
      <c r="A109" s="139"/>
      <c r="B109" s="139"/>
      <c r="C109" s="139"/>
      <c r="D109" s="139"/>
      <c r="E109" s="139"/>
      <c r="F109" s="139"/>
      <c r="G109" s="139"/>
      <c r="H109" s="140"/>
      <c r="I109" s="139"/>
      <c r="J109" s="139"/>
      <c r="K109" s="139"/>
      <c r="L109" s="139"/>
      <c r="M109" s="139"/>
      <c r="N109" s="139"/>
      <c r="O109" s="139"/>
      <c r="P109" s="139"/>
      <c r="Q109" s="141"/>
      <c r="R109" s="227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</row>
    <row r="110" ht="18.75" customHeight="1">
      <c r="A110" s="139" t="s">
        <v>39</v>
      </c>
      <c r="B110" s="139"/>
      <c r="C110" s="139"/>
      <c r="D110" s="139"/>
      <c r="E110" s="139"/>
      <c r="F110" s="139"/>
      <c r="G110" s="139"/>
      <c r="H110" s="140"/>
      <c r="I110" s="139"/>
      <c r="J110" s="139"/>
      <c r="K110" s="139"/>
      <c r="L110" s="139"/>
      <c r="M110" s="139"/>
      <c r="N110" s="139"/>
      <c r="O110" s="139"/>
      <c r="P110" s="139"/>
      <c r="Q110" s="141"/>
      <c r="R110" s="227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</row>
    <row r="111" ht="18.75" customHeight="1">
      <c r="A111" s="139"/>
      <c r="B111" s="139"/>
      <c r="C111" s="139"/>
      <c r="D111" s="139"/>
      <c r="E111" s="139"/>
      <c r="F111" s="139"/>
      <c r="G111" s="139"/>
      <c r="H111" s="140"/>
      <c r="I111" s="139"/>
      <c r="J111" s="139"/>
      <c r="K111" s="139"/>
      <c r="L111" s="139"/>
      <c r="M111" s="139"/>
      <c r="N111" s="139"/>
      <c r="O111" s="139"/>
      <c r="P111" s="139"/>
      <c r="Q111" s="141"/>
      <c r="R111" s="227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</row>
    <row r="112" ht="42.0" customHeight="1">
      <c r="A112" s="176"/>
      <c r="B112" s="160" t="s">
        <v>12</v>
      </c>
      <c r="C112" s="177" t="s">
        <v>74</v>
      </c>
      <c r="D112" s="52"/>
      <c r="E112" s="53"/>
      <c r="F112" s="228"/>
      <c r="G112" s="228"/>
      <c r="H112" s="179" t="s">
        <v>14</v>
      </c>
      <c r="I112" s="224" t="s">
        <v>15</v>
      </c>
      <c r="J112" s="160" t="s">
        <v>16</v>
      </c>
      <c r="K112" s="139"/>
      <c r="L112" s="139"/>
      <c r="M112" s="139"/>
      <c r="N112" s="139"/>
      <c r="O112" s="139"/>
      <c r="P112" s="139"/>
      <c r="Q112" s="141"/>
      <c r="R112" s="227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</row>
    <row r="113" ht="24.75" customHeight="1">
      <c r="A113" s="160">
        <v>1.0</v>
      </c>
      <c r="B113" s="182" t="s">
        <v>109</v>
      </c>
      <c r="C113" s="181"/>
      <c r="D113" s="181"/>
      <c r="E113" s="181"/>
      <c r="F113" s="181"/>
      <c r="G113" s="181"/>
      <c r="H113" s="232">
        <v>24.0</v>
      </c>
      <c r="I113" s="181">
        <v>1.0</v>
      </c>
      <c r="J113" s="194">
        <f t="shared" ref="J113:J124" si="84">+I113*H113</f>
        <v>24</v>
      </c>
      <c r="K113" s="176"/>
      <c r="L113" s="176"/>
      <c r="M113" s="176"/>
      <c r="N113" s="176"/>
      <c r="O113" s="176"/>
      <c r="P113" s="176"/>
      <c r="Q113" s="231"/>
      <c r="R113" s="227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</row>
    <row r="114" ht="24.75" customHeight="1">
      <c r="A114" s="160">
        <v>2.0</v>
      </c>
      <c r="B114" s="191" t="s">
        <v>109</v>
      </c>
      <c r="C114" s="181"/>
      <c r="D114" s="181"/>
      <c r="E114" s="181"/>
      <c r="F114" s="181"/>
      <c r="G114" s="181"/>
      <c r="H114" s="232">
        <v>19.0</v>
      </c>
      <c r="I114" s="181">
        <v>1.0</v>
      </c>
      <c r="J114" s="194">
        <f t="shared" si="84"/>
        <v>19</v>
      </c>
      <c r="K114" s="176"/>
      <c r="L114" s="176"/>
      <c r="M114" s="176"/>
      <c r="N114" s="176"/>
      <c r="O114" s="176"/>
      <c r="P114" s="176"/>
      <c r="Q114" s="231"/>
      <c r="R114" s="227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</row>
    <row r="115" ht="24.75" customHeight="1">
      <c r="A115" s="160">
        <v>3.0</v>
      </c>
      <c r="B115" s="182" t="s">
        <v>55</v>
      </c>
      <c r="C115" s="181"/>
      <c r="D115" s="181"/>
      <c r="E115" s="181"/>
      <c r="F115" s="181"/>
      <c r="G115" s="181"/>
      <c r="H115" s="232">
        <v>48.0</v>
      </c>
      <c r="I115" s="181">
        <v>1.0</v>
      </c>
      <c r="J115" s="194">
        <f t="shared" si="84"/>
        <v>48</v>
      </c>
      <c r="K115" s="176"/>
      <c r="L115" s="176"/>
      <c r="M115" s="176"/>
      <c r="N115" s="176"/>
      <c r="O115" s="176"/>
      <c r="P115" s="176"/>
      <c r="Q115" s="231"/>
      <c r="R115" s="227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</row>
    <row r="116" ht="24.75" customHeight="1">
      <c r="A116" s="160">
        <v>4.0</v>
      </c>
      <c r="B116" s="191" t="s">
        <v>55</v>
      </c>
      <c r="C116" s="181"/>
      <c r="D116" s="181"/>
      <c r="E116" s="181"/>
      <c r="F116" s="181"/>
      <c r="G116" s="181"/>
      <c r="H116" s="232">
        <v>25.0</v>
      </c>
      <c r="I116" s="181">
        <v>1.0</v>
      </c>
      <c r="J116" s="194">
        <f t="shared" si="84"/>
        <v>25</v>
      </c>
      <c r="K116" s="176"/>
      <c r="L116" s="176"/>
      <c r="M116" s="176"/>
      <c r="N116" s="176"/>
      <c r="O116" s="176"/>
      <c r="P116" s="176"/>
      <c r="Q116" s="231"/>
      <c r="R116" s="227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ht="24.75" customHeight="1">
      <c r="A117" s="160">
        <v>5.0</v>
      </c>
      <c r="B117" s="182" t="s">
        <v>83</v>
      </c>
      <c r="C117" s="181"/>
      <c r="D117" s="181"/>
      <c r="E117" s="181"/>
      <c r="F117" s="181"/>
      <c r="G117" s="181"/>
      <c r="H117" s="232">
        <v>35.0</v>
      </c>
      <c r="I117" s="181">
        <v>1.0</v>
      </c>
      <c r="J117" s="194">
        <f t="shared" si="84"/>
        <v>35</v>
      </c>
      <c r="K117" s="176"/>
      <c r="L117" s="176"/>
      <c r="M117" s="176"/>
      <c r="N117" s="176"/>
      <c r="O117" s="176"/>
      <c r="P117" s="176"/>
      <c r="Q117" s="231"/>
      <c r="R117" s="227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</row>
    <row r="118" ht="24.75" customHeight="1">
      <c r="A118" s="160">
        <v>6.0</v>
      </c>
      <c r="B118" s="191" t="s">
        <v>95</v>
      </c>
      <c r="C118" s="181"/>
      <c r="D118" s="181"/>
      <c r="E118" s="181"/>
      <c r="F118" s="181"/>
      <c r="G118" s="181"/>
      <c r="H118" s="232">
        <v>30.0</v>
      </c>
      <c r="I118" s="181">
        <v>1.0</v>
      </c>
      <c r="J118" s="194">
        <f t="shared" si="84"/>
        <v>30</v>
      </c>
      <c r="K118" s="176"/>
      <c r="L118" s="176"/>
      <c r="M118" s="176"/>
      <c r="N118" s="176"/>
      <c r="O118" s="176"/>
      <c r="P118" s="176"/>
      <c r="Q118" s="231"/>
      <c r="R118" s="227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</row>
    <row r="119" ht="24.75" customHeight="1">
      <c r="A119" s="160">
        <v>7.0</v>
      </c>
      <c r="B119" s="182" t="s">
        <v>56</v>
      </c>
      <c r="C119" s="181"/>
      <c r="D119" s="181"/>
      <c r="E119" s="181"/>
      <c r="F119" s="181"/>
      <c r="G119" s="181"/>
      <c r="H119" s="232">
        <v>45.0</v>
      </c>
      <c r="I119" s="181">
        <v>1.0</v>
      </c>
      <c r="J119" s="194">
        <f t="shared" si="84"/>
        <v>45</v>
      </c>
      <c r="K119" s="176"/>
      <c r="L119" s="176"/>
      <c r="M119" s="176"/>
      <c r="N119" s="176"/>
      <c r="O119" s="176"/>
      <c r="P119" s="176"/>
      <c r="Q119" s="231"/>
      <c r="R119" s="227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</row>
    <row r="120" ht="24.75" customHeight="1">
      <c r="A120" s="160">
        <v>8.0</v>
      </c>
      <c r="B120" s="191" t="s">
        <v>56</v>
      </c>
      <c r="C120" s="181"/>
      <c r="D120" s="181"/>
      <c r="E120" s="181"/>
      <c r="F120" s="181"/>
      <c r="G120" s="181"/>
      <c r="H120" s="232">
        <v>20.0</v>
      </c>
      <c r="I120" s="181">
        <v>1.0</v>
      </c>
      <c r="J120" s="194">
        <f t="shared" si="84"/>
        <v>20</v>
      </c>
      <c r="K120" s="176"/>
      <c r="L120" s="176"/>
      <c r="M120" s="176"/>
      <c r="N120" s="176"/>
      <c r="O120" s="176"/>
      <c r="P120" s="176"/>
      <c r="Q120" s="231"/>
      <c r="R120" s="227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</row>
    <row r="121" ht="24.75" customHeight="1">
      <c r="A121" s="160">
        <v>9.0</v>
      </c>
      <c r="B121" s="182" t="s">
        <v>110</v>
      </c>
      <c r="C121" s="181"/>
      <c r="D121" s="181"/>
      <c r="E121" s="181"/>
      <c r="F121" s="181"/>
      <c r="G121" s="181"/>
      <c r="H121" s="232">
        <v>29.0</v>
      </c>
      <c r="I121" s="181">
        <v>1.0</v>
      </c>
      <c r="J121" s="194">
        <f t="shared" si="84"/>
        <v>29</v>
      </c>
      <c r="K121" s="176"/>
      <c r="L121" s="176"/>
      <c r="M121" s="176"/>
      <c r="N121" s="176"/>
      <c r="O121" s="176"/>
      <c r="P121" s="176"/>
      <c r="Q121" s="231"/>
      <c r="R121" s="227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</row>
    <row r="122" ht="24.75" customHeight="1">
      <c r="A122" s="160">
        <v>10.0</v>
      </c>
      <c r="B122" s="191" t="s">
        <v>110</v>
      </c>
      <c r="C122" s="181"/>
      <c r="D122" s="181"/>
      <c r="E122" s="181"/>
      <c r="F122" s="181"/>
      <c r="G122" s="181"/>
      <c r="H122" s="232">
        <v>17.0</v>
      </c>
      <c r="I122" s="181">
        <v>1.0</v>
      </c>
      <c r="J122" s="194">
        <f t="shared" si="84"/>
        <v>17</v>
      </c>
      <c r="K122" s="176"/>
      <c r="L122" s="176"/>
      <c r="M122" s="176"/>
      <c r="N122" s="176"/>
      <c r="O122" s="176"/>
      <c r="P122" s="176"/>
      <c r="Q122" s="231"/>
      <c r="R122" s="227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</row>
    <row r="123" ht="24.75" customHeight="1">
      <c r="A123" s="160">
        <v>11.0</v>
      </c>
      <c r="B123" s="182" t="s">
        <v>111</v>
      </c>
      <c r="C123" s="181"/>
      <c r="D123" s="181"/>
      <c r="E123" s="181"/>
      <c r="F123" s="181"/>
      <c r="G123" s="181"/>
      <c r="H123" s="232">
        <v>27.0</v>
      </c>
      <c r="I123" s="181">
        <v>1.0</v>
      </c>
      <c r="J123" s="194">
        <f t="shared" si="84"/>
        <v>27</v>
      </c>
      <c r="K123" s="176"/>
      <c r="L123" s="176"/>
      <c r="M123" s="176"/>
      <c r="N123" s="176"/>
      <c r="O123" s="176"/>
      <c r="P123" s="176"/>
      <c r="Q123" s="231"/>
      <c r="R123" s="227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</row>
    <row r="124" ht="24.75" customHeight="1">
      <c r="A124" s="160">
        <v>12.0</v>
      </c>
      <c r="B124" s="191" t="s">
        <v>111</v>
      </c>
      <c r="C124" s="181"/>
      <c r="D124" s="181"/>
      <c r="E124" s="181"/>
      <c r="F124" s="181"/>
      <c r="G124" s="181"/>
      <c r="H124" s="232">
        <v>20.0</v>
      </c>
      <c r="I124" s="181">
        <v>1.0</v>
      </c>
      <c r="J124" s="194">
        <f t="shared" si="84"/>
        <v>20</v>
      </c>
      <c r="K124" s="176"/>
      <c r="L124" s="176"/>
      <c r="M124" s="176"/>
      <c r="N124" s="176"/>
      <c r="O124" s="176"/>
      <c r="P124" s="176"/>
      <c r="Q124" s="231"/>
      <c r="R124" s="227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</row>
    <row r="125" ht="18.75" customHeight="1">
      <c r="A125" s="139"/>
      <c r="B125" s="139"/>
      <c r="C125" s="139"/>
      <c r="D125" s="139"/>
      <c r="E125" s="139"/>
      <c r="F125" s="139"/>
      <c r="G125" s="139"/>
      <c r="H125" s="140" t="s">
        <v>38</v>
      </c>
      <c r="I125" s="139"/>
      <c r="J125" s="235">
        <f>SUM(J113:J124)</f>
        <v>339</v>
      </c>
      <c r="K125" s="236"/>
      <c r="L125" s="236"/>
      <c r="M125" s="236"/>
      <c r="N125" s="236"/>
      <c r="O125" s="236"/>
      <c r="P125" s="236"/>
      <c r="Q125" s="237"/>
      <c r="R125" s="227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</row>
    <row r="126" ht="18.75" customHeight="1">
      <c r="A126" s="144"/>
      <c r="B126" s="144"/>
      <c r="C126" s="144"/>
      <c r="D126" s="144"/>
      <c r="E126" s="144"/>
      <c r="F126" s="144"/>
      <c r="G126" s="144"/>
      <c r="H126" s="145"/>
      <c r="I126" s="173"/>
      <c r="J126" s="205">
        <f>+J125*60%</f>
        <v>203.4</v>
      </c>
      <c r="K126" s="205"/>
      <c r="L126" s="205"/>
      <c r="M126" s="205"/>
      <c r="N126" s="205"/>
      <c r="O126" s="205"/>
      <c r="P126" s="205"/>
      <c r="Q126" s="207">
        <f>+J125*40%</f>
        <v>135.6</v>
      </c>
      <c r="R126" s="227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</row>
    <row r="127" ht="18.75" customHeight="1">
      <c r="A127" s="139"/>
      <c r="B127" s="139"/>
      <c r="C127" s="139"/>
      <c r="D127" s="139"/>
      <c r="E127" s="139"/>
      <c r="F127" s="139"/>
      <c r="G127" s="139"/>
      <c r="H127" s="140"/>
      <c r="I127" s="139"/>
      <c r="J127" s="139"/>
      <c r="K127" s="139"/>
      <c r="L127" s="139"/>
      <c r="M127" s="139"/>
      <c r="N127" s="139"/>
      <c r="O127" s="139"/>
      <c r="P127" s="139"/>
      <c r="Q127" s="141"/>
      <c r="R127" s="227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</row>
    <row r="128" ht="18.75" customHeight="1">
      <c r="A128" s="139"/>
      <c r="B128" s="139"/>
      <c r="C128" s="139"/>
      <c r="D128" s="139"/>
      <c r="E128" s="139"/>
      <c r="F128" s="139"/>
      <c r="G128" s="139"/>
      <c r="H128" s="140"/>
      <c r="I128" s="139"/>
      <c r="J128" s="139"/>
      <c r="K128" s="139"/>
      <c r="L128" s="139"/>
      <c r="M128" s="139"/>
      <c r="N128" s="139"/>
      <c r="O128" s="139"/>
      <c r="P128" s="139"/>
      <c r="Q128" s="141"/>
      <c r="R128" s="227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</row>
    <row r="129" ht="19.5" customHeight="1">
      <c r="A129" s="238" t="s">
        <v>41</v>
      </c>
      <c r="B129" s="139"/>
      <c r="C129" s="139"/>
      <c r="D129" s="139"/>
      <c r="E129" s="139"/>
      <c r="F129" s="139"/>
      <c r="G129" s="139"/>
      <c r="H129" s="140"/>
      <c r="I129" s="139"/>
      <c r="J129" s="139"/>
      <c r="K129" s="139"/>
      <c r="L129" s="139"/>
      <c r="M129" s="139"/>
      <c r="N129" s="139"/>
      <c r="O129" s="139"/>
      <c r="P129" s="139"/>
      <c r="Q129" s="141"/>
      <c r="R129" s="227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</row>
    <row r="130" ht="57.0" customHeight="1">
      <c r="A130" s="239"/>
      <c r="B130" s="240" t="s">
        <v>42</v>
      </c>
      <c r="C130" s="240" t="s">
        <v>43</v>
      </c>
      <c r="D130" s="240" t="s">
        <v>44</v>
      </c>
      <c r="E130" s="240" t="s">
        <v>45</v>
      </c>
      <c r="F130" s="240"/>
      <c r="G130" s="240"/>
      <c r="H130" s="241" t="s">
        <v>46</v>
      </c>
      <c r="I130" s="242" t="s">
        <v>47</v>
      </c>
      <c r="J130" s="139"/>
      <c r="K130" s="139"/>
      <c r="L130" s="139"/>
      <c r="M130" s="139"/>
      <c r="N130" s="139"/>
      <c r="O130" s="139"/>
      <c r="P130" s="139"/>
      <c r="Q130" s="141"/>
      <c r="R130" s="227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</row>
    <row r="131" ht="18.75" customHeight="1">
      <c r="A131" s="243" t="s">
        <v>48</v>
      </c>
      <c r="B131" s="244">
        <f>+E25</f>
        <v>27833.71302</v>
      </c>
      <c r="C131" s="245">
        <f>+J91</f>
        <v>24459.03206</v>
      </c>
      <c r="D131" s="245">
        <f>+J106</f>
        <v>0</v>
      </c>
      <c r="E131" s="246">
        <f>J126</f>
        <v>203.4</v>
      </c>
      <c r="F131" s="246"/>
      <c r="G131" s="246"/>
      <c r="H131" s="247">
        <f>+I25</f>
        <v>719.0384146</v>
      </c>
      <c r="I131" s="248">
        <f>+B131-C131-D131-E131-H131</f>
        <v>2452.242544</v>
      </c>
      <c r="J131" s="139"/>
      <c r="K131" s="139"/>
      <c r="L131" s="139"/>
      <c r="M131" s="139"/>
      <c r="N131" s="139"/>
      <c r="O131" s="139"/>
      <c r="P131" s="139"/>
      <c r="Q131" s="141"/>
      <c r="R131" s="227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</row>
    <row r="132" ht="19.5" customHeight="1">
      <c r="A132" s="249" t="s">
        <v>49</v>
      </c>
      <c r="B132" s="250"/>
      <c r="C132" s="251">
        <f>+C131/B131</f>
        <v>0.8787556315</v>
      </c>
      <c r="D132" s="251">
        <f>+D131/B131</f>
        <v>0</v>
      </c>
      <c r="E132" s="251">
        <f>+E131/B131</f>
        <v>0.007307684744</v>
      </c>
      <c r="F132" s="251"/>
      <c r="G132" s="251"/>
      <c r="H132" s="252">
        <f>+H131/B131</f>
        <v>0.02583336309</v>
      </c>
      <c r="I132" s="253">
        <f>+I131/B131</f>
        <v>0.08810332069</v>
      </c>
      <c r="J132" s="139"/>
      <c r="K132" s="139"/>
      <c r="L132" s="139"/>
      <c r="M132" s="139"/>
      <c r="N132" s="139"/>
      <c r="O132" s="139"/>
      <c r="P132" s="139"/>
      <c r="Q132" s="141"/>
      <c r="R132" s="227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</row>
    <row r="133" ht="19.5" customHeight="1">
      <c r="A133" s="163"/>
      <c r="B133" s="221"/>
      <c r="C133" s="254"/>
      <c r="D133" s="254"/>
      <c r="E133" s="254"/>
      <c r="F133" s="254"/>
      <c r="G133" s="254"/>
      <c r="H133" s="255"/>
      <c r="I133" s="256"/>
      <c r="J133" s="139"/>
      <c r="K133" s="139"/>
      <c r="L133" s="139"/>
      <c r="M133" s="139"/>
      <c r="N133" s="139"/>
      <c r="O133" s="139"/>
      <c r="P133" s="139"/>
      <c r="Q133" s="141"/>
      <c r="R133" s="227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</row>
    <row r="134" ht="18.75" customHeight="1">
      <c r="A134" s="257"/>
      <c r="B134" s="258"/>
      <c r="C134" s="258"/>
      <c r="D134" s="258" t="s">
        <v>50</v>
      </c>
      <c r="E134" s="258" t="s">
        <v>48</v>
      </c>
      <c r="F134" s="258"/>
      <c r="G134" s="258"/>
      <c r="H134" s="259">
        <f>+D131+E131+H131+I131</f>
        <v>3374.680959</v>
      </c>
      <c r="I134" s="260"/>
      <c r="J134" s="139"/>
      <c r="K134" s="139"/>
      <c r="L134" s="139"/>
      <c r="M134" s="139"/>
      <c r="N134" s="139"/>
      <c r="O134" s="139"/>
      <c r="P134" s="139"/>
      <c r="Q134" s="141"/>
      <c r="R134" s="140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</row>
    <row r="135" ht="18.75" customHeight="1">
      <c r="A135" s="261"/>
      <c r="B135" s="139"/>
      <c r="C135" s="139"/>
      <c r="D135" s="139"/>
      <c r="E135" s="139" t="s">
        <v>49</v>
      </c>
      <c r="F135" s="139"/>
      <c r="G135" s="139"/>
      <c r="H135" s="255">
        <f>+H134/B131</f>
        <v>0.1212443685</v>
      </c>
      <c r="I135" s="262"/>
      <c r="J135" s="139"/>
      <c r="K135" s="139"/>
      <c r="L135" s="139"/>
      <c r="M135" s="139"/>
      <c r="N135" s="139"/>
      <c r="O135" s="139"/>
      <c r="P135" s="139"/>
      <c r="Q135" s="141"/>
      <c r="R135" s="140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</row>
    <row r="136" ht="18.75" customHeight="1">
      <c r="A136" s="261"/>
      <c r="B136" s="139"/>
      <c r="C136" s="139" t="s">
        <v>51</v>
      </c>
      <c r="D136" s="139"/>
      <c r="E136" s="139"/>
      <c r="F136" s="139"/>
      <c r="G136" s="139"/>
      <c r="H136" s="140"/>
      <c r="I136" s="262"/>
      <c r="J136" s="139"/>
      <c r="K136" s="139"/>
      <c r="L136" s="139"/>
      <c r="M136" s="139"/>
      <c r="N136" s="139"/>
      <c r="O136" s="139"/>
      <c r="P136" s="139"/>
      <c r="Q136" s="141"/>
      <c r="R136" s="140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</row>
    <row r="137" ht="18.75" customHeight="1">
      <c r="A137" s="261"/>
      <c r="B137" s="139"/>
      <c r="C137" s="139"/>
      <c r="D137" s="139" t="s">
        <v>52</v>
      </c>
      <c r="E137" s="139"/>
      <c r="F137" s="139"/>
      <c r="G137" s="139"/>
      <c r="H137" s="140">
        <f>+H136*(H134-H131)</f>
        <v>0</v>
      </c>
      <c r="I137" s="262"/>
      <c r="J137" s="139"/>
      <c r="K137" s="139"/>
      <c r="L137" s="139"/>
      <c r="M137" s="139"/>
      <c r="N137" s="139"/>
      <c r="O137" s="139"/>
      <c r="P137" s="139"/>
      <c r="Q137" s="141"/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</row>
    <row r="138" ht="19.5" customHeight="1">
      <c r="A138" s="263"/>
      <c r="B138" s="264"/>
      <c r="C138" s="264"/>
      <c r="D138" s="264"/>
      <c r="E138" s="264"/>
      <c r="F138" s="264"/>
      <c r="G138" s="264"/>
      <c r="H138" s="265"/>
      <c r="I138" s="266"/>
      <c r="J138" s="139"/>
      <c r="K138" s="139"/>
      <c r="L138" s="139"/>
      <c r="M138" s="139"/>
      <c r="N138" s="139"/>
      <c r="O138" s="139"/>
      <c r="P138" s="139"/>
      <c r="Q138" s="141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</row>
    <row r="139" ht="18.75" customHeight="1">
      <c r="A139" s="139"/>
      <c r="B139" s="139"/>
      <c r="C139" s="139"/>
      <c r="D139" s="139"/>
      <c r="E139" s="139"/>
      <c r="F139" s="139"/>
      <c r="G139" s="139"/>
      <c r="H139" s="140"/>
      <c r="I139" s="139"/>
      <c r="J139" s="139"/>
      <c r="K139" s="139"/>
      <c r="L139" s="139"/>
      <c r="M139" s="139"/>
      <c r="N139" s="139"/>
      <c r="O139" s="139"/>
      <c r="P139" s="139"/>
      <c r="Q139" s="141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</row>
    <row r="140" ht="18.75" customHeight="1">
      <c r="A140" s="139"/>
      <c r="B140" s="139"/>
      <c r="C140" s="139"/>
      <c r="D140" s="139"/>
      <c r="E140" s="139"/>
      <c r="F140" s="139"/>
      <c r="G140" s="139"/>
      <c r="H140" s="140"/>
      <c r="I140" s="139"/>
      <c r="J140" s="139"/>
      <c r="K140" s="139"/>
      <c r="L140" s="139"/>
      <c r="M140" s="139"/>
      <c r="N140" s="139"/>
      <c r="O140" s="139"/>
      <c r="P140" s="139"/>
      <c r="Q140" s="141"/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</row>
    <row r="141" ht="18.75" customHeight="1">
      <c r="A141" s="139"/>
      <c r="B141" s="139"/>
      <c r="C141" s="139"/>
      <c r="D141" s="139"/>
      <c r="E141" s="139"/>
      <c r="F141" s="139"/>
      <c r="G141" s="139"/>
      <c r="H141" s="140"/>
      <c r="I141" s="139"/>
      <c r="J141" s="139"/>
      <c r="K141" s="139"/>
      <c r="L141" s="139"/>
      <c r="M141" s="139"/>
      <c r="N141" s="139"/>
      <c r="O141" s="139"/>
      <c r="P141" s="139"/>
      <c r="Q141" s="141"/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97:E97"/>
    <mergeCell ref="C112:E112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44354.0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</row>
    <row r="7" ht="36.0" customHeight="1">
      <c r="A7" s="146" t="s">
        <v>6</v>
      </c>
      <c r="B7" s="147"/>
      <c r="C7" s="148" t="s">
        <v>118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</row>
    <row r="8" ht="26.25" customHeight="1">
      <c r="A8" s="153">
        <v>1.0</v>
      </c>
      <c r="B8" s="154" t="s">
        <v>56</v>
      </c>
      <c r="C8" s="154">
        <v>29.5</v>
      </c>
      <c r="D8" s="155">
        <v>0.0146</v>
      </c>
      <c r="E8" s="156">
        <f>247.829*18.362</f>
        <v>4550.636098</v>
      </c>
      <c r="F8" s="156"/>
      <c r="G8" s="156"/>
      <c r="H8" s="157">
        <v>18.362</v>
      </c>
      <c r="I8" s="158">
        <f t="shared" ref="I8:I11" si="1">+D8*E8</f>
        <v>66.43928703</v>
      </c>
      <c r="J8" s="159">
        <f t="shared" ref="J8:J11" si="2">E8-I8</f>
        <v>4484.196811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</row>
    <row r="9" ht="26.25" customHeight="1">
      <c r="A9" s="153">
        <v>2.0</v>
      </c>
      <c r="B9" s="160" t="s">
        <v>56</v>
      </c>
      <c r="C9" s="154">
        <v>29.5</v>
      </c>
      <c r="D9" s="155">
        <v>0.0146</v>
      </c>
      <c r="E9" s="162">
        <f>253.057*43.079</f>
        <v>10901.4425</v>
      </c>
      <c r="F9" s="162"/>
      <c r="G9" s="162"/>
      <c r="H9" s="157">
        <v>43.079</v>
      </c>
      <c r="I9" s="158">
        <f t="shared" si="1"/>
        <v>159.1610605</v>
      </c>
      <c r="J9" s="159">
        <f t="shared" si="2"/>
        <v>10742.28144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</row>
    <row r="10" ht="26.25" customHeight="1">
      <c r="A10" s="153">
        <v>3.0</v>
      </c>
      <c r="B10" s="160" t="s">
        <v>55</v>
      </c>
      <c r="C10" s="154">
        <v>29.5</v>
      </c>
      <c r="D10" s="155">
        <v>0.0155</v>
      </c>
      <c r="E10" s="156">
        <f>209.204*15</f>
        <v>3138.06</v>
      </c>
      <c r="F10" s="156"/>
      <c r="G10" s="156"/>
      <c r="H10" s="157">
        <v>15.0</v>
      </c>
      <c r="I10" s="158">
        <f t="shared" si="1"/>
        <v>48.63993</v>
      </c>
      <c r="J10" s="159">
        <f t="shared" si="2"/>
        <v>3089.42007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</row>
    <row r="11" ht="26.25" customHeight="1">
      <c r="A11" s="153">
        <v>17.0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</row>
    <row r="12" ht="18.75" customHeight="1">
      <c r="A12" s="163"/>
      <c r="B12" s="164"/>
      <c r="C12" s="165"/>
      <c r="D12" s="166"/>
      <c r="E12" s="167">
        <f>SUM(E8:E11)</f>
        <v>18590.1386</v>
      </c>
      <c r="F12" s="168"/>
      <c r="G12" s="168"/>
      <c r="H12" s="169"/>
      <c r="I12" s="170">
        <f t="shared" ref="I12:J12" si="3">SUM(I8:I11)</f>
        <v>274.2402776</v>
      </c>
      <c r="J12" s="171">
        <f t="shared" si="3"/>
        <v>18315.89832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</row>
    <row r="13" ht="18.75" customHeight="1">
      <c r="A13" s="172"/>
      <c r="B13" s="144"/>
      <c r="C13" s="144"/>
      <c r="D13" s="173"/>
      <c r="E13" s="174"/>
      <c r="F13" s="151"/>
      <c r="G13" s="151"/>
      <c r="H13" s="147"/>
      <c r="I13" s="175"/>
      <c r="J13" s="139"/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</row>
    <row r="15" ht="18.75" customHeight="1">
      <c r="A15" s="139"/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</row>
    <row r="16" ht="18.75" customHeight="1">
      <c r="A16" s="139" t="s">
        <v>11</v>
      </c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</row>
    <row r="18" ht="40.5" customHeight="1">
      <c r="A18" s="176"/>
      <c r="B18" s="160" t="s">
        <v>12</v>
      </c>
      <c r="C18" s="177" t="s">
        <v>62</v>
      </c>
      <c r="D18" s="52"/>
      <c r="E18" s="53"/>
      <c r="F18" s="178"/>
      <c r="G18" s="178"/>
      <c r="H18" s="179" t="s">
        <v>14</v>
      </c>
      <c r="I18" s="160" t="s">
        <v>15</v>
      </c>
      <c r="J18" s="160" t="s">
        <v>16</v>
      </c>
      <c r="K18" s="139"/>
      <c r="L18" s="160" t="s">
        <v>17</v>
      </c>
      <c r="M18" s="160" t="s">
        <v>15</v>
      </c>
      <c r="N18" s="176" t="s">
        <v>18</v>
      </c>
      <c r="O18" s="139"/>
      <c r="P18" s="139"/>
      <c r="Q18" s="180"/>
      <c r="R18" s="160" t="s">
        <v>17</v>
      </c>
      <c r="S18" s="160" t="s">
        <v>15</v>
      </c>
      <c r="T18" s="176" t="s">
        <v>18</v>
      </c>
      <c r="U18" s="139"/>
      <c r="V18" s="176" t="s">
        <v>19</v>
      </c>
      <c r="W18" s="176" t="s">
        <v>20</v>
      </c>
      <c r="X18" s="176" t="s">
        <v>21</v>
      </c>
      <c r="Y18" s="176" t="s">
        <v>119</v>
      </c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</row>
    <row r="19" ht="27.0" customHeight="1">
      <c r="A19" s="181">
        <v>1.0</v>
      </c>
      <c r="B19" s="182" t="s">
        <v>65</v>
      </c>
      <c r="C19" s="183">
        <v>85.0</v>
      </c>
      <c r="D19" s="183">
        <v>184.0</v>
      </c>
      <c r="E19" s="183">
        <v>232.0</v>
      </c>
      <c r="F19" s="183">
        <f t="shared" ref="F19:F47" si="5">VALUE(IF(RIGHT(B19, 1)="%", RIGHT(B19, 3), 0))</f>
        <v>0.8</v>
      </c>
      <c r="G19" s="183">
        <f t="shared" ref="G19:G47" si="6">+Q19*C19/100*D19/100*E19/100</f>
        <v>107.04016</v>
      </c>
      <c r="H19" s="184">
        <f t="shared" ref="H19:H47" si="7">IF(F19=0, G19, F19*G19)</f>
        <v>85.632128</v>
      </c>
      <c r="I19" s="183">
        <v>1.0</v>
      </c>
      <c r="J19" s="185">
        <f t="shared" ref="J19:J47" si="8">+I19*H19</f>
        <v>85.632128</v>
      </c>
      <c r="K19" s="186"/>
      <c r="L19" s="187">
        <f>D19*25.4/1000</f>
        <v>4.6736</v>
      </c>
      <c r="M19" s="181">
        <f>+I19</f>
        <v>1</v>
      </c>
      <c r="N19" s="181">
        <f>M19*L19</f>
        <v>4.6736</v>
      </c>
      <c r="O19" s="186"/>
      <c r="P19" s="186"/>
      <c r="Q19" s="188">
        <v>29.5</v>
      </c>
      <c r="R19" s="187">
        <f t="shared" ref="R19:R48" si="9">E19/100</f>
        <v>2.32</v>
      </c>
      <c r="S19" s="181">
        <f t="shared" ref="S19:S48" si="10">I19</f>
        <v>1</v>
      </c>
      <c r="T19" s="181">
        <f t="shared" ref="T19:T48" si="11">S19*R19</f>
        <v>2.32</v>
      </c>
      <c r="U19" s="278">
        <f t="shared" ref="U19:U47" si="12">Q19*C19/100*D19/100*E19/100</f>
        <v>107.04016</v>
      </c>
      <c r="V19" s="187">
        <f t="shared" ref="V19:W19" si="4">C19/100</f>
        <v>0.85</v>
      </c>
      <c r="W19" s="187">
        <f t="shared" si="4"/>
        <v>1.84</v>
      </c>
      <c r="X19" s="187">
        <f t="shared" ref="X19:X48" si="14">T19</f>
        <v>2.32</v>
      </c>
      <c r="Y19" s="189">
        <f t="shared" ref="Y19:Y48" si="15">V19*W19*X19</f>
        <v>3.62848</v>
      </c>
      <c r="Z19" s="186"/>
      <c r="AA19" s="186"/>
      <c r="AB19" s="186"/>
      <c r="AC19" s="186"/>
      <c r="AD19" s="186"/>
      <c r="AE19" s="186"/>
      <c r="AF19" s="186"/>
      <c r="AG19" s="186"/>
      <c r="AH19" s="186"/>
      <c r="AI19" s="186"/>
      <c r="AJ19" s="186"/>
      <c r="AK19" s="186"/>
      <c r="AL19" s="186"/>
      <c r="AM19" s="186"/>
      <c r="AN19" s="186"/>
      <c r="AO19" s="186"/>
      <c r="AP19" s="186"/>
      <c r="AQ19" s="186"/>
      <c r="AR19" s="186"/>
      <c r="AS19" s="186"/>
    </row>
    <row r="20" ht="27.0" customHeight="1">
      <c r="A20" s="181">
        <v>2.0</v>
      </c>
      <c r="B20" s="191" t="s">
        <v>56</v>
      </c>
      <c r="C20" s="191">
        <v>103.0</v>
      </c>
      <c r="D20" s="191">
        <v>184.0</v>
      </c>
      <c r="E20" s="191">
        <v>232.0</v>
      </c>
      <c r="F20" s="191">
        <f t="shared" si="5"/>
        <v>0</v>
      </c>
      <c r="G20" s="191">
        <f t="shared" si="6"/>
        <v>129.707488</v>
      </c>
      <c r="H20" s="219">
        <f t="shared" si="7"/>
        <v>129.707488</v>
      </c>
      <c r="I20" s="218">
        <v>2.0</v>
      </c>
      <c r="J20" s="193">
        <f t="shared" si="8"/>
        <v>259.414976</v>
      </c>
      <c r="K20" s="186"/>
      <c r="L20" s="187"/>
      <c r="M20" s="181"/>
      <c r="N20" s="181"/>
      <c r="O20" s="186"/>
      <c r="P20" s="186"/>
      <c r="Q20" s="188">
        <v>29.5</v>
      </c>
      <c r="R20" s="187">
        <f t="shared" si="9"/>
        <v>2.32</v>
      </c>
      <c r="S20" s="181">
        <f t="shared" si="10"/>
        <v>2</v>
      </c>
      <c r="T20" s="181">
        <f t="shared" si="11"/>
        <v>4.64</v>
      </c>
      <c r="U20" s="278">
        <f t="shared" si="12"/>
        <v>129.707488</v>
      </c>
      <c r="V20" s="187">
        <f t="shared" ref="V20:W20" si="13">C20/100</f>
        <v>1.03</v>
      </c>
      <c r="W20" s="187">
        <f t="shared" si="13"/>
        <v>1.84</v>
      </c>
      <c r="X20" s="187">
        <f t="shared" si="14"/>
        <v>4.64</v>
      </c>
      <c r="Y20" s="189">
        <f t="shared" si="15"/>
        <v>8.793728</v>
      </c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6"/>
    </row>
    <row r="21" ht="27.0" customHeight="1">
      <c r="A21" s="181">
        <v>3.0</v>
      </c>
      <c r="B21" s="191" t="s">
        <v>56</v>
      </c>
      <c r="C21" s="191">
        <v>101.0</v>
      </c>
      <c r="D21" s="191">
        <v>184.0</v>
      </c>
      <c r="E21" s="191">
        <v>232.0</v>
      </c>
      <c r="F21" s="191">
        <f t="shared" si="5"/>
        <v>0</v>
      </c>
      <c r="G21" s="191">
        <f t="shared" si="6"/>
        <v>127.188896</v>
      </c>
      <c r="H21" s="219">
        <f t="shared" si="7"/>
        <v>127.188896</v>
      </c>
      <c r="I21" s="218">
        <v>11.0</v>
      </c>
      <c r="J21" s="193">
        <f t="shared" si="8"/>
        <v>1399.077856</v>
      </c>
      <c r="K21" s="186"/>
      <c r="L21" s="187">
        <f t="shared" ref="L21:L36" si="17">D21*25.4/1000</f>
        <v>4.6736</v>
      </c>
      <c r="M21" s="181">
        <f t="shared" ref="M21:M47" si="18">+I21</f>
        <v>11</v>
      </c>
      <c r="N21" s="181">
        <f t="shared" ref="N21:N36" si="19">M21*L21</f>
        <v>51.4096</v>
      </c>
      <c r="O21" s="186"/>
      <c r="P21" s="186"/>
      <c r="Q21" s="188">
        <v>29.5</v>
      </c>
      <c r="R21" s="187">
        <f t="shared" si="9"/>
        <v>2.32</v>
      </c>
      <c r="S21" s="181">
        <f t="shared" si="10"/>
        <v>11</v>
      </c>
      <c r="T21" s="181">
        <f t="shared" si="11"/>
        <v>25.52</v>
      </c>
      <c r="U21" s="278">
        <f t="shared" si="12"/>
        <v>127.188896</v>
      </c>
      <c r="V21" s="187">
        <f t="shared" ref="V21:W21" si="16">C21/100</f>
        <v>1.01</v>
      </c>
      <c r="W21" s="187">
        <f t="shared" si="16"/>
        <v>1.84</v>
      </c>
      <c r="X21" s="187">
        <f t="shared" si="14"/>
        <v>25.52</v>
      </c>
      <c r="Y21" s="189">
        <f t="shared" si="15"/>
        <v>47.426368</v>
      </c>
      <c r="Z21" s="186"/>
      <c r="AA21" s="186"/>
      <c r="AB21" s="186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</row>
    <row r="22" ht="27.0" customHeight="1">
      <c r="A22" s="181">
        <v>4.0</v>
      </c>
      <c r="B22" s="191" t="s">
        <v>56</v>
      </c>
      <c r="C22" s="191">
        <v>102.0</v>
      </c>
      <c r="D22" s="191">
        <v>184.0</v>
      </c>
      <c r="E22" s="191">
        <v>232.0</v>
      </c>
      <c r="F22" s="191">
        <f t="shared" si="5"/>
        <v>0</v>
      </c>
      <c r="G22" s="191">
        <f t="shared" si="6"/>
        <v>128.448192</v>
      </c>
      <c r="H22" s="219">
        <f t="shared" si="7"/>
        <v>128.448192</v>
      </c>
      <c r="I22" s="218">
        <v>11.0</v>
      </c>
      <c r="J22" s="193">
        <f t="shared" si="8"/>
        <v>1412.930112</v>
      </c>
      <c r="K22" s="186"/>
      <c r="L22" s="187">
        <f t="shared" si="17"/>
        <v>4.6736</v>
      </c>
      <c r="M22" s="181">
        <f t="shared" si="18"/>
        <v>11</v>
      </c>
      <c r="N22" s="181">
        <f t="shared" si="19"/>
        <v>51.4096</v>
      </c>
      <c r="O22" s="186"/>
      <c r="P22" s="186"/>
      <c r="Q22" s="188">
        <v>29.5</v>
      </c>
      <c r="R22" s="187">
        <f t="shared" si="9"/>
        <v>2.32</v>
      </c>
      <c r="S22" s="181">
        <f t="shared" si="10"/>
        <v>11</v>
      </c>
      <c r="T22" s="181">
        <f t="shared" si="11"/>
        <v>25.52</v>
      </c>
      <c r="U22" s="278">
        <f t="shared" si="12"/>
        <v>128.448192</v>
      </c>
      <c r="V22" s="187">
        <f t="shared" ref="V22:W22" si="20">C22/100</f>
        <v>1.02</v>
      </c>
      <c r="W22" s="187">
        <f t="shared" si="20"/>
        <v>1.84</v>
      </c>
      <c r="X22" s="187">
        <f t="shared" si="14"/>
        <v>25.52</v>
      </c>
      <c r="Y22" s="189">
        <f t="shared" si="15"/>
        <v>47.895936</v>
      </c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</row>
    <row r="23" ht="27.0" customHeight="1">
      <c r="A23" s="181">
        <v>5.0</v>
      </c>
      <c r="B23" s="191" t="s">
        <v>56</v>
      </c>
      <c r="C23" s="191">
        <v>100.0</v>
      </c>
      <c r="D23" s="191">
        <v>184.0</v>
      </c>
      <c r="E23" s="191">
        <v>232.0</v>
      </c>
      <c r="F23" s="191">
        <f t="shared" si="5"/>
        <v>0</v>
      </c>
      <c r="G23" s="191">
        <f t="shared" si="6"/>
        <v>125.9296</v>
      </c>
      <c r="H23" s="219">
        <f t="shared" si="7"/>
        <v>125.9296</v>
      </c>
      <c r="I23" s="218">
        <v>3.0</v>
      </c>
      <c r="J23" s="193">
        <f t="shared" si="8"/>
        <v>377.7888</v>
      </c>
      <c r="K23" s="186"/>
      <c r="L23" s="187">
        <f t="shared" si="17"/>
        <v>4.6736</v>
      </c>
      <c r="M23" s="181">
        <f t="shared" si="18"/>
        <v>3</v>
      </c>
      <c r="N23" s="181">
        <f t="shared" si="19"/>
        <v>14.0208</v>
      </c>
      <c r="O23" s="186"/>
      <c r="P23" s="186"/>
      <c r="Q23" s="188">
        <v>29.5</v>
      </c>
      <c r="R23" s="187">
        <f t="shared" si="9"/>
        <v>2.32</v>
      </c>
      <c r="S23" s="181">
        <f t="shared" si="10"/>
        <v>3</v>
      </c>
      <c r="T23" s="181">
        <f t="shared" si="11"/>
        <v>6.96</v>
      </c>
      <c r="U23" s="278">
        <f t="shared" si="12"/>
        <v>125.9296</v>
      </c>
      <c r="V23" s="187">
        <f t="shared" ref="V23:W23" si="21">C23/100</f>
        <v>1</v>
      </c>
      <c r="W23" s="187">
        <f t="shared" si="21"/>
        <v>1.84</v>
      </c>
      <c r="X23" s="187">
        <f t="shared" si="14"/>
        <v>6.96</v>
      </c>
      <c r="Y23" s="189">
        <f t="shared" si="15"/>
        <v>12.8064</v>
      </c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</row>
    <row r="24" ht="27.0" customHeight="1">
      <c r="A24" s="181">
        <v>6.0</v>
      </c>
      <c r="B24" s="191" t="s">
        <v>56</v>
      </c>
      <c r="C24" s="191">
        <v>100.0</v>
      </c>
      <c r="D24" s="191">
        <v>184.0</v>
      </c>
      <c r="E24" s="191">
        <v>231.0</v>
      </c>
      <c r="F24" s="191">
        <f t="shared" si="5"/>
        <v>0</v>
      </c>
      <c r="G24" s="191">
        <f t="shared" si="6"/>
        <v>125.3868</v>
      </c>
      <c r="H24" s="219">
        <f t="shared" si="7"/>
        <v>125.3868</v>
      </c>
      <c r="I24" s="218">
        <v>1.0</v>
      </c>
      <c r="J24" s="193">
        <f t="shared" si="8"/>
        <v>125.3868</v>
      </c>
      <c r="K24" s="186"/>
      <c r="L24" s="187">
        <f t="shared" si="17"/>
        <v>4.6736</v>
      </c>
      <c r="M24" s="181">
        <f t="shared" si="18"/>
        <v>1</v>
      </c>
      <c r="N24" s="181">
        <f t="shared" si="19"/>
        <v>4.6736</v>
      </c>
      <c r="O24" s="186"/>
      <c r="P24" s="186"/>
      <c r="Q24" s="188">
        <v>29.5</v>
      </c>
      <c r="R24" s="187">
        <f t="shared" si="9"/>
        <v>2.31</v>
      </c>
      <c r="S24" s="181">
        <f t="shared" si="10"/>
        <v>1</v>
      </c>
      <c r="T24" s="181">
        <f t="shared" si="11"/>
        <v>2.31</v>
      </c>
      <c r="U24" s="278">
        <f t="shared" si="12"/>
        <v>125.3868</v>
      </c>
      <c r="V24" s="187">
        <f t="shared" ref="V24:W24" si="22">C24/100</f>
        <v>1</v>
      </c>
      <c r="W24" s="187">
        <f t="shared" si="22"/>
        <v>1.84</v>
      </c>
      <c r="X24" s="187">
        <f t="shared" si="14"/>
        <v>2.31</v>
      </c>
      <c r="Y24" s="189">
        <f t="shared" si="15"/>
        <v>4.2504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</row>
    <row r="25" ht="27.0" customHeight="1">
      <c r="A25" s="181">
        <v>7.0</v>
      </c>
      <c r="B25" s="191" t="s">
        <v>56</v>
      </c>
      <c r="C25" s="191">
        <v>82.0</v>
      </c>
      <c r="D25" s="191">
        <v>184.0</v>
      </c>
      <c r="E25" s="191">
        <v>244.0</v>
      </c>
      <c r="F25" s="191">
        <f t="shared" si="5"/>
        <v>0</v>
      </c>
      <c r="G25" s="191">
        <f t="shared" si="6"/>
        <v>108.603424</v>
      </c>
      <c r="H25" s="219">
        <f t="shared" si="7"/>
        <v>108.603424</v>
      </c>
      <c r="I25" s="218">
        <v>1.0</v>
      </c>
      <c r="J25" s="193">
        <f t="shared" si="8"/>
        <v>108.603424</v>
      </c>
      <c r="K25" s="186"/>
      <c r="L25" s="187">
        <f t="shared" si="17"/>
        <v>4.6736</v>
      </c>
      <c r="M25" s="181">
        <f t="shared" si="18"/>
        <v>1</v>
      </c>
      <c r="N25" s="181">
        <f t="shared" si="19"/>
        <v>4.6736</v>
      </c>
      <c r="O25" s="186"/>
      <c r="P25" s="186"/>
      <c r="Q25" s="188">
        <v>29.5</v>
      </c>
      <c r="R25" s="187">
        <f t="shared" si="9"/>
        <v>2.44</v>
      </c>
      <c r="S25" s="181">
        <f t="shared" si="10"/>
        <v>1</v>
      </c>
      <c r="T25" s="181">
        <f t="shared" si="11"/>
        <v>2.44</v>
      </c>
      <c r="U25" s="278">
        <f t="shared" si="12"/>
        <v>108.603424</v>
      </c>
      <c r="V25" s="187">
        <f t="shared" ref="V25:W25" si="23">C25/100</f>
        <v>0.82</v>
      </c>
      <c r="W25" s="187">
        <f t="shared" si="23"/>
        <v>1.84</v>
      </c>
      <c r="X25" s="187">
        <f t="shared" si="14"/>
        <v>2.44</v>
      </c>
      <c r="Y25" s="189">
        <f t="shared" si="15"/>
        <v>3.681472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</row>
    <row r="26" ht="27.0" customHeight="1">
      <c r="A26" s="181">
        <v>8.0</v>
      </c>
      <c r="B26" s="191" t="s">
        <v>56</v>
      </c>
      <c r="C26" s="191">
        <v>101.0</v>
      </c>
      <c r="D26" s="191">
        <v>184.0</v>
      </c>
      <c r="E26" s="191">
        <v>231.0</v>
      </c>
      <c r="F26" s="191">
        <f t="shared" si="5"/>
        <v>0</v>
      </c>
      <c r="G26" s="191">
        <f t="shared" si="6"/>
        <v>126.640668</v>
      </c>
      <c r="H26" s="219">
        <f t="shared" si="7"/>
        <v>126.640668</v>
      </c>
      <c r="I26" s="218">
        <v>1.0</v>
      </c>
      <c r="J26" s="193">
        <f t="shared" si="8"/>
        <v>126.640668</v>
      </c>
      <c r="K26" s="186"/>
      <c r="L26" s="187">
        <f t="shared" si="17"/>
        <v>4.6736</v>
      </c>
      <c r="M26" s="181">
        <f t="shared" si="18"/>
        <v>1</v>
      </c>
      <c r="N26" s="181">
        <f t="shared" si="19"/>
        <v>4.6736</v>
      </c>
      <c r="O26" s="186"/>
      <c r="P26" s="186"/>
      <c r="Q26" s="188">
        <v>29.5</v>
      </c>
      <c r="R26" s="187">
        <f t="shared" si="9"/>
        <v>2.31</v>
      </c>
      <c r="S26" s="181">
        <f t="shared" si="10"/>
        <v>1</v>
      </c>
      <c r="T26" s="181">
        <f t="shared" si="11"/>
        <v>2.31</v>
      </c>
      <c r="U26" s="278">
        <f t="shared" si="12"/>
        <v>126.640668</v>
      </c>
      <c r="V26" s="187">
        <f t="shared" ref="V26:W26" si="24">C26/100</f>
        <v>1.01</v>
      </c>
      <c r="W26" s="187">
        <f t="shared" si="24"/>
        <v>1.84</v>
      </c>
      <c r="X26" s="187">
        <f t="shared" si="14"/>
        <v>2.31</v>
      </c>
      <c r="Y26" s="189">
        <f t="shared" si="15"/>
        <v>4.292904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</row>
    <row r="27" ht="27.0" customHeight="1">
      <c r="A27" s="181">
        <v>9.0</v>
      </c>
      <c r="B27" s="191" t="s">
        <v>56</v>
      </c>
      <c r="C27" s="191">
        <v>102.0</v>
      </c>
      <c r="D27" s="191">
        <v>184.0</v>
      </c>
      <c r="E27" s="191">
        <v>231.0</v>
      </c>
      <c r="F27" s="191">
        <f t="shared" si="5"/>
        <v>0</v>
      </c>
      <c r="G27" s="191">
        <f t="shared" si="6"/>
        <v>127.894536</v>
      </c>
      <c r="H27" s="219">
        <f t="shared" si="7"/>
        <v>127.894536</v>
      </c>
      <c r="I27" s="218">
        <v>1.0</v>
      </c>
      <c r="J27" s="193">
        <f t="shared" si="8"/>
        <v>127.894536</v>
      </c>
      <c r="K27" s="186"/>
      <c r="L27" s="187">
        <f t="shared" si="17"/>
        <v>4.6736</v>
      </c>
      <c r="M27" s="181">
        <f t="shared" si="18"/>
        <v>1</v>
      </c>
      <c r="N27" s="181">
        <f t="shared" si="19"/>
        <v>4.6736</v>
      </c>
      <c r="O27" s="186"/>
      <c r="P27" s="186"/>
      <c r="Q27" s="188">
        <v>29.5</v>
      </c>
      <c r="R27" s="187">
        <f t="shared" si="9"/>
        <v>2.31</v>
      </c>
      <c r="S27" s="181">
        <f t="shared" si="10"/>
        <v>1</v>
      </c>
      <c r="T27" s="181">
        <f t="shared" si="11"/>
        <v>2.31</v>
      </c>
      <c r="U27" s="278">
        <f t="shared" si="12"/>
        <v>127.894536</v>
      </c>
      <c r="V27" s="187">
        <f t="shared" ref="V27:W27" si="25">C27/100</f>
        <v>1.02</v>
      </c>
      <c r="W27" s="187">
        <f t="shared" si="25"/>
        <v>1.84</v>
      </c>
      <c r="X27" s="187">
        <f t="shared" si="14"/>
        <v>2.31</v>
      </c>
      <c r="Y27" s="189">
        <f t="shared" si="15"/>
        <v>4.335408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</row>
    <row r="28" ht="27.0" customHeight="1">
      <c r="A28" s="181">
        <v>10.0</v>
      </c>
      <c r="B28" s="182" t="s">
        <v>65</v>
      </c>
      <c r="C28" s="183">
        <v>95.0</v>
      </c>
      <c r="D28" s="183">
        <v>203.0</v>
      </c>
      <c r="E28" s="183">
        <v>251.0</v>
      </c>
      <c r="F28" s="183">
        <f t="shared" si="5"/>
        <v>0.8</v>
      </c>
      <c r="G28" s="183">
        <f t="shared" si="6"/>
        <v>142.7957825</v>
      </c>
      <c r="H28" s="184">
        <f t="shared" si="7"/>
        <v>114.236626</v>
      </c>
      <c r="I28" s="183">
        <v>1.0</v>
      </c>
      <c r="J28" s="185">
        <f t="shared" si="8"/>
        <v>114.236626</v>
      </c>
      <c r="K28" s="186"/>
      <c r="L28" s="187">
        <f t="shared" si="17"/>
        <v>5.1562</v>
      </c>
      <c r="M28" s="181">
        <f t="shared" si="18"/>
        <v>1</v>
      </c>
      <c r="N28" s="181">
        <f t="shared" si="19"/>
        <v>5.1562</v>
      </c>
      <c r="O28" s="186"/>
      <c r="P28" s="186"/>
      <c r="Q28" s="188">
        <v>29.5</v>
      </c>
      <c r="R28" s="187">
        <f t="shared" si="9"/>
        <v>2.51</v>
      </c>
      <c r="S28" s="181">
        <f t="shared" si="10"/>
        <v>1</v>
      </c>
      <c r="T28" s="181">
        <f t="shared" si="11"/>
        <v>2.51</v>
      </c>
      <c r="U28" s="278">
        <f t="shared" si="12"/>
        <v>142.7957825</v>
      </c>
      <c r="V28" s="187">
        <f t="shared" ref="V28:W28" si="26">C28/100</f>
        <v>0.95</v>
      </c>
      <c r="W28" s="187">
        <f t="shared" si="26"/>
        <v>2.03</v>
      </c>
      <c r="X28" s="187">
        <f t="shared" si="14"/>
        <v>2.51</v>
      </c>
      <c r="Y28" s="189">
        <f t="shared" si="15"/>
        <v>4.840535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11.0</v>
      </c>
      <c r="B29" s="191" t="s">
        <v>56</v>
      </c>
      <c r="C29" s="191">
        <v>99.0</v>
      </c>
      <c r="D29" s="191">
        <v>203.0</v>
      </c>
      <c r="E29" s="191">
        <v>251.0</v>
      </c>
      <c r="F29" s="191">
        <f t="shared" si="5"/>
        <v>0</v>
      </c>
      <c r="G29" s="191">
        <f t="shared" si="6"/>
        <v>148.8082365</v>
      </c>
      <c r="H29" s="219">
        <f t="shared" si="7"/>
        <v>148.8082365</v>
      </c>
      <c r="I29" s="218">
        <v>3.0</v>
      </c>
      <c r="J29" s="193">
        <f t="shared" si="8"/>
        <v>446.4247095</v>
      </c>
      <c r="K29" s="186"/>
      <c r="L29" s="187">
        <f t="shared" si="17"/>
        <v>5.1562</v>
      </c>
      <c r="M29" s="181">
        <f t="shared" si="18"/>
        <v>3</v>
      </c>
      <c r="N29" s="181">
        <f t="shared" si="19"/>
        <v>15.4686</v>
      </c>
      <c r="O29" s="186"/>
      <c r="P29" s="186"/>
      <c r="Q29" s="188">
        <v>29.5</v>
      </c>
      <c r="R29" s="187">
        <f t="shared" si="9"/>
        <v>2.51</v>
      </c>
      <c r="S29" s="181">
        <f t="shared" si="10"/>
        <v>3</v>
      </c>
      <c r="T29" s="181">
        <f t="shared" si="11"/>
        <v>7.53</v>
      </c>
      <c r="U29" s="278">
        <f t="shared" si="12"/>
        <v>148.8082365</v>
      </c>
      <c r="V29" s="187">
        <f t="shared" ref="V29:W29" si="27">C29/100</f>
        <v>0.99</v>
      </c>
      <c r="W29" s="187">
        <f t="shared" si="27"/>
        <v>2.03</v>
      </c>
      <c r="X29" s="187">
        <f t="shared" si="14"/>
        <v>7.53</v>
      </c>
      <c r="Y29" s="189">
        <f t="shared" si="15"/>
        <v>15.133041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12.0</v>
      </c>
      <c r="B30" s="191" t="s">
        <v>56</v>
      </c>
      <c r="C30" s="191">
        <v>98.0</v>
      </c>
      <c r="D30" s="191">
        <v>203.0</v>
      </c>
      <c r="E30" s="191">
        <v>252.0</v>
      </c>
      <c r="F30" s="191">
        <f t="shared" si="5"/>
        <v>0</v>
      </c>
      <c r="G30" s="191">
        <f t="shared" si="6"/>
        <v>147.891996</v>
      </c>
      <c r="H30" s="219">
        <f t="shared" si="7"/>
        <v>147.891996</v>
      </c>
      <c r="I30" s="218">
        <v>1.0</v>
      </c>
      <c r="J30" s="193">
        <f t="shared" si="8"/>
        <v>147.891996</v>
      </c>
      <c r="K30" s="186"/>
      <c r="L30" s="187">
        <f t="shared" si="17"/>
        <v>5.1562</v>
      </c>
      <c r="M30" s="181">
        <f t="shared" si="18"/>
        <v>1</v>
      </c>
      <c r="N30" s="181">
        <f t="shared" si="19"/>
        <v>5.1562</v>
      </c>
      <c r="O30" s="186"/>
      <c r="P30" s="186"/>
      <c r="Q30" s="188">
        <v>29.5</v>
      </c>
      <c r="R30" s="187">
        <f t="shared" si="9"/>
        <v>2.52</v>
      </c>
      <c r="S30" s="181">
        <f t="shared" si="10"/>
        <v>1</v>
      </c>
      <c r="T30" s="181">
        <f t="shared" si="11"/>
        <v>2.52</v>
      </c>
      <c r="U30" s="278">
        <f t="shared" si="12"/>
        <v>147.891996</v>
      </c>
      <c r="V30" s="187">
        <f t="shared" ref="V30:W30" si="28">C30/100</f>
        <v>0.98</v>
      </c>
      <c r="W30" s="187">
        <f t="shared" si="28"/>
        <v>2.03</v>
      </c>
      <c r="X30" s="187">
        <f t="shared" si="14"/>
        <v>2.52</v>
      </c>
      <c r="Y30" s="189">
        <f t="shared" si="15"/>
        <v>5.013288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13.0</v>
      </c>
      <c r="B31" s="191" t="s">
        <v>56</v>
      </c>
      <c r="C31" s="191">
        <v>100.0</v>
      </c>
      <c r="D31" s="191">
        <v>203.0</v>
      </c>
      <c r="E31" s="191">
        <v>252.0</v>
      </c>
      <c r="F31" s="191">
        <f t="shared" si="5"/>
        <v>0</v>
      </c>
      <c r="G31" s="191">
        <f t="shared" si="6"/>
        <v>150.9102</v>
      </c>
      <c r="H31" s="219">
        <f t="shared" si="7"/>
        <v>150.9102</v>
      </c>
      <c r="I31" s="218">
        <v>4.0</v>
      </c>
      <c r="J31" s="193">
        <f t="shared" si="8"/>
        <v>603.6408</v>
      </c>
      <c r="K31" s="186"/>
      <c r="L31" s="187">
        <f t="shared" si="17"/>
        <v>5.1562</v>
      </c>
      <c r="M31" s="181">
        <f t="shared" si="18"/>
        <v>4</v>
      </c>
      <c r="N31" s="181">
        <f t="shared" si="19"/>
        <v>20.6248</v>
      </c>
      <c r="O31" s="186"/>
      <c r="P31" s="186"/>
      <c r="Q31" s="188">
        <v>29.5</v>
      </c>
      <c r="R31" s="187">
        <f t="shared" si="9"/>
        <v>2.52</v>
      </c>
      <c r="S31" s="181">
        <f t="shared" si="10"/>
        <v>4</v>
      </c>
      <c r="T31" s="181">
        <f t="shared" si="11"/>
        <v>10.08</v>
      </c>
      <c r="U31" s="278">
        <f t="shared" si="12"/>
        <v>150.9102</v>
      </c>
      <c r="V31" s="187">
        <f t="shared" ref="V31:W31" si="29">C31/100</f>
        <v>1</v>
      </c>
      <c r="W31" s="187">
        <f t="shared" si="29"/>
        <v>2.03</v>
      </c>
      <c r="X31" s="187">
        <f t="shared" si="14"/>
        <v>10.08</v>
      </c>
      <c r="Y31" s="189">
        <f t="shared" si="15"/>
        <v>20.4624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14.0</v>
      </c>
      <c r="B32" s="191" t="s">
        <v>56</v>
      </c>
      <c r="C32" s="191">
        <v>100.0</v>
      </c>
      <c r="D32" s="191">
        <v>203.0</v>
      </c>
      <c r="E32" s="191">
        <v>250.0</v>
      </c>
      <c r="F32" s="191">
        <f t="shared" si="5"/>
        <v>0</v>
      </c>
      <c r="G32" s="191">
        <f t="shared" si="6"/>
        <v>149.7125</v>
      </c>
      <c r="H32" s="219">
        <f t="shared" si="7"/>
        <v>149.7125</v>
      </c>
      <c r="I32" s="218">
        <v>12.0</v>
      </c>
      <c r="J32" s="193">
        <f t="shared" si="8"/>
        <v>1796.55</v>
      </c>
      <c r="K32" s="186"/>
      <c r="L32" s="187">
        <f t="shared" si="17"/>
        <v>5.1562</v>
      </c>
      <c r="M32" s="181">
        <f t="shared" si="18"/>
        <v>12</v>
      </c>
      <c r="N32" s="181">
        <f t="shared" si="19"/>
        <v>61.8744</v>
      </c>
      <c r="O32" s="186"/>
      <c r="P32" s="186"/>
      <c r="Q32" s="188">
        <v>29.5</v>
      </c>
      <c r="R32" s="187">
        <f t="shared" si="9"/>
        <v>2.5</v>
      </c>
      <c r="S32" s="181">
        <f t="shared" si="10"/>
        <v>12</v>
      </c>
      <c r="T32" s="181">
        <f t="shared" si="11"/>
        <v>30</v>
      </c>
      <c r="U32" s="278">
        <f t="shared" si="12"/>
        <v>149.7125</v>
      </c>
      <c r="V32" s="187">
        <f t="shared" ref="V32:W32" si="30">C32/100</f>
        <v>1</v>
      </c>
      <c r="W32" s="187">
        <f t="shared" si="30"/>
        <v>2.03</v>
      </c>
      <c r="X32" s="187">
        <f t="shared" si="14"/>
        <v>30</v>
      </c>
      <c r="Y32" s="189">
        <f t="shared" si="15"/>
        <v>60.9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15.0</v>
      </c>
      <c r="B33" s="191" t="s">
        <v>56</v>
      </c>
      <c r="C33" s="191">
        <v>99.0</v>
      </c>
      <c r="D33" s="191">
        <v>203.0</v>
      </c>
      <c r="E33" s="191">
        <v>252.0</v>
      </c>
      <c r="F33" s="191">
        <f t="shared" si="5"/>
        <v>0</v>
      </c>
      <c r="G33" s="191">
        <f t="shared" si="6"/>
        <v>149.401098</v>
      </c>
      <c r="H33" s="219">
        <f t="shared" si="7"/>
        <v>149.401098</v>
      </c>
      <c r="I33" s="218">
        <v>3.0</v>
      </c>
      <c r="J33" s="193">
        <f t="shared" si="8"/>
        <v>448.203294</v>
      </c>
      <c r="K33" s="186"/>
      <c r="L33" s="187">
        <f t="shared" si="17"/>
        <v>5.1562</v>
      </c>
      <c r="M33" s="181">
        <f t="shared" si="18"/>
        <v>3</v>
      </c>
      <c r="N33" s="181">
        <f t="shared" si="19"/>
        <v>15.4686</v>
      </c>
      <c r="O33" s="186"/>
      <c r="P33" s="186"/>
      <c r="Q33" s="188">
        <v>29.5</v>
      </c>
      <c r="R33" s="187">
        <f t="shared" si="9"/>
        <v>2.52</v>
      </c>
      <c r="S33" s="181">
        <f t="shared" si="10"/>
        <v>3</v>
      </c>
      <c r="T33" s="181">
        <f t="shared" si="11"/>
        <v>7.56</v>
      </c>
      <c r="U33" s="278">
        <f t="shared" si="12"/>
        <v>149.401098</v>
      </c>
      <c r="V33" s="187">
        <f t="shared" ref="V33:W33" si="31">C33/100</f>
        <v>0.99</v>
      </c>
      <c r="W33" s="187">
        <f t="shared" si="31"/>
        <v>2.03</v>
      </c>
      <c r="X33" s="187">
        <f t="shared" si="14"/>
        <v>7.56</v>
      </c>
      <c r="Y33" s="189">
        <f t="shared" si="15"/>
        <v>15.193332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16.0</v>
      </c>
      <c r="B34" s="191" t="s">
        <v>56</v>
      </c>
      <c r="C34" s="191">
        <v>98.0</v>
      </c>
      <c r="D34" s="191">
        <v>203.0</v>
      </c>
      <c r="E34" s="191">
        <v>250.0</v>
      </c>
      <c r="F34" s="191">
        <f t="shared" si="5"/>
        <v>0</v>
      </c>
      <c r="G34" s="191">
        <f t="shared" si="6"/>
        <v>146.71825</v>
      </c>
      <c r="H34" s="219">
        <f t="shared" si="7"/>
        <v>146.71825</v>
      </c>
      <c r="I34" s="218">
        <v>1.0</v>
      </c>
      <c r="J34" s="193">
        <f t="shared" si="8"/>
        <v>146.71825</v>
      </c>
      <c r="K34" s="186"/>
      <c r="L34" s="187">
        <f t="shared" si="17"/>
        <v>5.1562</v>
      </c>
      <c r="M34" s="181">
        <f t="shared" si="18"/>
        <v>1</v>
      </c>
      <c r="N34" s="181">
        <f t="shared" si="19"/>
        <v>5.1562</v>
      </c>
      <c r="O34" s="186"/>
      <c r="P34" s="186"/>
      <c r="Q34" s="188">
        <v>29.5</v>
      </c>
      <c r="R34" s="187">
        <f t="shared" si="9"/>
        <v>2.5</v>
      </c>
      <c r="S34" s="181">
        <f t="shared" si="10"/>
        <v>1</v>
      </c>
      <c r="T34" s="181">
        <f t="shared" si="11"/>
        <v>2.5</v>
      </c>
      <c r="U34" s="278">
        <f t="shared" si="12"/>
        <v>146.71825</v>
      </c>
      <c r="V34" s="187">
        <f t="shared" ref="V34:W34" si="32">C34/100</f>
        <v>0.98</v>
      </c>
      <c r="W34" s="187">
        <f t="shared" si="32"/>
        <v>2.03</v>
      </c>
      <c r="X34" s="187">
        <f t="shared" si="14"/>
        <v>2.5</v>
      </c>
      <c r="Y34" s="189">
        <f t="shared" si="15"/>
        <v>4.9735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17.0</v>
      </c>
      <c r="B35" s="191" t="s">
        <v>56</v>
      </c>
      <c r="C35" s="191">
        <v>99.0</v>
      </c>
      <c r="D35" s="191">
        <v>203.0</v>
      </c>
      <c r="E35" s="191">
        <v>250.0</v>
      </c>
      <c r="F35" s="191">
        <f t="shared" si="5"/>
        <v>0</v>
      </c>
      <c r="G35" s="191">
        <f t="shared" si="6"/>
        <v>148.215375</v>
      </c>
      <c r="H35" s="219">
        <f t="shared" si="7"/>
        <v>148.215375</v>
      </c>
      <c r="I35" s="218">
        <v>3.0</v>
      </c>
      <c r="J35" s="193">
        <f t="shared" si="8"/>
        <v>444.646125</v>
      </c>
      <c r="K35" s="186"/>
      <c r="L35" s="187">
        <f t="shared" si="17"/>
        <v>5.1562</v>
      </c>
      <c r="M35" s="181">
        <f t="shared" si="18"/>
        <v>3</v>
      </c>
      <c r="N35" s="181">
        <f t="shared" si="19"/>
        <v>15.4686</v>
      </c>
      <c r="O35" s="186"/>
      <c r="P35" s="186"/>
      <c r="Q35" s="188">
        <v>29.5</v>
      </c>
      <c r="R35" s="187">
        <f t="shared" si="9"/>
        <v>2.5</v>
      </c>
      <c r="S35" s="181">
        <f t="shared" si="10"/>
        <v>3</v>
      </c>
      <c r="T35" s="181">
        <f t="shared" si="11"/>
        <v>7.5</v>
      </c>
      <c r="U35" s="278">
        <f t="shared" si="12"/>
        <v>148.215375</v>
      </c>
      <c r="V35" s="187">
        <f t="shared" ref="V35:W35" si="33">C35/100</f>
        <v>0.99</v>
      </c>
      <c r="W35" s="187">
        <f t="shared" si="33"/>
        <v>2.03</v>
      </c>
      <c r="X35" s="187">
        <f t="shared" si="14"/>
        <v>7.5</v>
      </c>
      <c r="Y35" s="189">
        <f t="shared" si="15"/>
        <v>15.07275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18.0</v>
      </c>
      <c r="B36" s="191" t="s">
        <v>56</v>
      </c>
      <c r="C36" s="191">
        <v>100.0</v>
      </c>
      <c r="D36" s="191">
        <v>203.0</v>
      </c>
      <c r="E36" s="191">
        <v>251.0</v>
      </c>
      <c r="F36" s="191">
        <f t="shared" si="5"/>
        <v>0</v>
      </c>
      <c r="G36" s="191">
        <f t="shared" si="6"/>
        <v>150.31135</v>
      </c>
      <c r="H36" s="219">
        <f t="shared" si="7"/>
        <v>150.31135</v>
      </c>
      <c r="I36" s="218">
        <v>36.0</v>
      </c>
      <c r="J36" s="193">
        <f t="shared" si="8"/>
        <v>5411.2086</v>
      </c>
      <c r="K36" s="186"/>
      <c r="L36" s="164">
        <f t="shared" si="17"/>
        <v>5.1562</v>
      </c>
      <c r="M36" s="195">
        <f t="shared" si="18"/>
        <v>36</v>
      </c>
      <c r="N36" s="195">
        <f t="shared" si="19"/>
        <v>185.6232</v>
      </c>
      <c r="O36" s="186"/>
      <c r="P36" s="186"/>
      <c r="Q36" s="188">
        <v>29.5</v>
      </c>
      <c r="R36" s="187">
        <f t="shared" si="9"/>
        <v>2.51</v>
      </c>
      <c r="S36" s="181">
        <f t="shared" si="10"/>
        <v>36</v>
      </c>
      <c r="T36" s="181">
        <f t="shared" si="11"/>
        <v>90.36</v>
      </c>
      <c r="U36" s="278">
        <f t="shared" si="12"/>
        <v>150.31135</v>
      </c>
      <c r="V36" s="187">
        <f t="shared" ref="V36:W36" si="34">C36/100</f>
        <v>1</v>
      </c>
      <c r="W36" s="187">
        <f t="shared" si="34"/>
        <v>2.03</v>
      </c>
      <c r="X36" s="187">
        <f t="shared" si="14"/>
        <v>90.36</v>
      </c>
      <c r="Y36" s="189">
        <f t="shared" si="15"/>
        <v>183.4308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19.0</v>
      </c>
      <c r="B37" s="191" t="s">
        <v>56</v>
      </c>
      <c r="C37" s="191">
        <v>76.0</v>
      </c>
      <c r="D37" s="191">
        <v>203.0</v>
      </c>
      <c r="E37" s="191">
        <v>317.0</v>
      </c>
      <c r="F37" s="191">
        <f t="shared" si="5"/>
        <v>0</v>
      </c>
      <c r="G37" s="191">
        <f t="shared" si="6"/>
        <v>144.274942</v>
      </c>
      <c r="H37" s="219">
        <f t="shared" si="7"/>
        <v>144.274942</v>
      </c>
      <c r="I37" s="218">
        <v>1.0</v>
      </c>
      <c r="J37" s="193">
        <f t="shared" si="8"/>
        <v>144.274942</v>
      </c>
      <c r="K37" s="186"/>
      <c r="L37" s="164"/>
      <c r="M37" s="195">
        <f t="shared" si="18"/>
        <v>1</v>
      </c>
      <c r="N37" s="195"/>
      <c r="O37" s="186"/>
      <c r="P37" s="186"/>
      <c r="Q37" s="188">
        <v>29.5</v>
      </c>
      <c r="R37" s="187">
        <f t="shared" si="9"/>
        <v>3.17</v>
      </c>
      <c r="S37" s="181">
        <f t="shared" si="10"/>
        <v>1</v>
      </c>
      <c r="T37" s="181">
        <f t="shared" si="11"/>
        <v>3.17</v>
      </c>
      <c r="U37" s="278">
        <f t="shared" si="12"/>
        <v>144.274942</v>
      </c>
      <c r="V37" s="187">
        <f t="shared" ref="V37:W37" si="35">C37/100</f>
        <v>0.76</v>
      </c>
      <c r="W37" s="187">
        <f t="shared" si="35"/>
        <v>2.03</v>
      </c>
      <c r="X37" s="187">
        <f t="shared" si="14"/>
        <v>3.17</v>
      </c>
      <c r="Y37" s="189">
        <f t="shared" si="15"/>
        <v>4.890676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20.0</v>
      </c>
      <c r="B38" s="191" t="s">
        <v>56</v>
      </c>
      <c r="C38" s="191">
        <v>96.0</v>
      </c>
      <c r="D38" s="191">
        <v>203.0</v>
      </c>
      <c r="E38" s="191">
        <v>251.0</v>
      </c>
      <c r="F38" s="191">
        <f t="shared" si="5"/>
        <v>0</v>
      </c>
      <c r="G38" s="191">
        <f t="shared" si="6"/>
        <v>144.298896</v>
      </c>
      <c r="H38" s="219">
        <f t="shared" si="7"/>
        <v>144.298896</v>
      </c>
      <c r="I38" s="218">
        <v>1.0</v>
      </c>
      <c r="J38" s="193">
        <f t="shared" si="8"/>
        <v>144.298896</v>
      </c>
      <c r="K38" s="186"/>
      <c r="L38" s="164"/>
      <c r="M38" s="195">
        <f t="shared" si="18"/>
        <v>1</v>
      </c>
      <c r="N38" s="195"/>
      <c r="O38" s="186"/>
      <c r="P38" s="186"/>
      <c r="Q38" s="188">
        <v>29.5</v>
      </c>
      <c r="R38" s="187">
        <f t="shared" si="9"/>
        <v>2.51</v>
      </c>
      <c r="S38" s="181">
        <f t="shared" si="10"/>
        <v>1</v>
      </c>
      <c r="T38" s="181">
        <f t="shared" si="11"/>
        <v>2.51</v>
      </c>
      <c r="U38" s="278">
        <f t="shared" si="12"/>
        <v>144.298896</v>
      </c>
      <c r="V38" s="187">
        <f t="shared" ref="V38:W38" si="36">C38/100</f>
        <v>0.96</v>
      </c>
      <c r="W38" s="187">
        <f t="shared" si="36"/>
        <v>2.03</v>
      </c>
      <c r="X38" s="187">
        <f t="shared" si="14"/>
        <v>2.51</v>
      </c>
      <c r="Y38" s="189">
        <f t="shared" si="15"/>
        <v>4.891488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21.0</v>
      </c>
      <c r="B39" s="182" t="s">
        <v>64</v>
      </c>
      <c r="C39" s="183">
        <v>80.0</v>
      </c>
      <c r="D39" s="183">
        <v>163.0</v>
      </c>
      <c r="E39" s="183">
        <v>240.0</v>
      </c>
      <c r="F39" s="183">
        <f t="shared" si="5"/>
        <v>0.8</v>
      </c>
      <c r="G39" s="183">
        <f t="shared" si="6"/>
        <v>92.3232</v>
      </c>
      <c r="H39" s="184">
        <f t="shared" si="7"/>
        <v>73.85856</v>
      </c>
      <c r="I39" s="183">
        <v>1.0</v>
      </c>
      <c r="J39" s="185">
        <f t="shared" si="8"/>
        <v>73.85856</v>
      </c>
      <c r="K39" s="186"/>
      <c r="L39" s="164"/>
      <c r="M39" s="195">
        <f t="shared" si="18"/>
        <v>1</v>
      </c>
      <c r="N39" s="195"/>
      <c r="O39" s="186"/>
      <c r="P39" s="186"/>
      <c r="Q39" s="188">
        <v>29.5</v>
      </c>
      <c r="R39" s="187">
        <f t="shared" si="9"/>
        <v>2.4</v>
      </c>
      <c r="S39" s="181">
        <f t="shared" si="10"/>
        <v>1</v>
      </c>
      <c r="T39" s="181">
        <f t="shared" si="11"/>
        <v>2.4</v>
      </c>
      <c r="U39" s="278">
        <f t="shared" si="12"/>
        <v>92.3232</v>
      </c>
      <c r="V39" s="187">
        <f t="shared" ref="V39:W39" si="37">C39/100</f>
        <v>0.8</v>
      </c>
      <c r="W39" s="187">
        <f t="shared" si="37"/>
        <v>1.63</v>
      </c>
      <c r="X39" s="187">
        <f t="shared" si="14"/>
        <v>2.4</v>
      </c>
      <c r="Y39" s="189">
        <f t="shared" si="15"/>
        <v>3.1296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22.0</v>
      </c>
      <c r="B40" s="191" t="s">
        <v>55</v>
      </c>
      <c r="C40" s="191">
        <v>99.0</v>
      </c>
      <c r="D40" s="191">
        <v>163.0</v>
      </c>
      <c r="E40" s="191">
        <v>240.0</v>
      </c>
      <c r="F40" s="191">
        <f t="shared" si="5"/>
        <v>0</v>
      </c>
      <c r="G40" s="191">
        <f t="shared" si="6"/>
        <v>114.24996</v>
      </c>
      <c r="H40" s="219">
        <f t="shared" si="7"/>
        <v>114.24996</v>
      </c>
      <c r="I40" s="218">
        <v>3.0</v>
      </c>
      <c r="J40" s="193">
        <f t="shared" si="8"/>
        <v>342.74988</v>
      </c>
      <c r="K40" s="186"/>
      <c r="L40" s="164"/>
      <c r="M40" s="195">
        <f t="shared" si="18"/>
        <v>3</v>
      </c>
      <c r="N40" s="195"/>
      <c r="O40" s="186"/>
      <c r="P40" s="186"/>
      <c r="Q40" s="188">
        <v>29.5</v>
      </c>
      <c r="R40" s="187">
        <f t="shared" si="9"/>
        <v>2.4</v>
      </c>
      <c r="S40" s="181">
        <f t="shared" si="10"/>
        <v>3</v>
      </c>
      <c r="T40" s="181">
        <f t="shared" si="11"/>
        <v>7.2</v>
      </c>
      <c r="U40" s="278">
        <f t="shared" si="12"/>
        <v>114.24996</v>
      </c>
      <c r="V40" s="187">
        <f t="shared" ref="V40:W40" si="38">C40/100</f>
        <v>0.99</v>
      </c>
      <c r="W40" s="187">
        <f t="shared" si="38"/>
        <v>1.63</v>
      </c>
      <c r="X40" s="187">
        <f t="shared" si="14"/>
        <v>7.2</v>
      </c>
      <c r="Y40" s="189">
        <f t="shared" si="15"/>
        <v>11.61864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23.0</v>
      </c>
      <c r="B41" s="191" t="s">
        <v>55</v>
      </c>
      <c r="C41" s="191">
        <v>97.0</v>
      </c>
      <c r="D41" s="191">
        <v>163.0</v>
      </c>
      <c r="E41" s="191">
        <v>240.0</v>
      </c>
      <c r="F41" s="191">
        <f t="shared" si="5"/>
        <v>0</v>
      </c>
      <c r="G41" s="191">
        <f t="shared" si="6"/>
        <v>111.94188</v>
      </c>
      <c r="H41" s="219">
        <f t="shared" si="7"/>
        <v>111.94188</v>
      </c>
      <c r="I41" s="218">
        <v>6.0</v>
      </c>
      <c r="J41" s="193">
        <f t="shared" si="8"/>
        <v>671.65128</v>
      </c>
      <c r="K41" s="186"/>
      <c r="L41" s="164"/>
      <c r="M41" s="195">
        <f t="shared" si="18"/>
        <v>6</v>
      </c>
      <c r="N41" s="195"/>
      <c r="O41" s="186"/>
      <c r="P41" s="186"/>
      <c r="Q41" s="188">
        <v>29.5</v>
      </c>
      <c r="R41" s="187">
        <f t="shared" si="9"/>
        <v>2.4</v>
      </c>
      <c r="S41" s="181">
        <f t="shared" si="10"/>
        <v>6</v>
      </c>
      <c r="T41" s="181">
        <f t="shared" si="11"/>
        <v>14.4</v>
      </c>
      <c r="U41" s="278">
        <f t="shared" si="12"/>
        <v>111.94188</v>
      </c>
      <c r="V41" s="187">
        <f t="shared" ref="V41:W41" si="39">C41/100</f>
        <v>0.97</v>
      </c>
      <c r="W41" s="187">
        <f t="shared" si="39"/>
        <v>1.63</v>
      </c>
      <c r="X41" s="187">
        <f t="shared" si="14"/>
        <v>14.4</v>
      </c>
      <c r="Y41" s="189">
        <f t="shared" si="15"/>
        <v>22.76784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24.0</v>
      </c>
      <c r="B42" s="191" t="s">
        <v>55</v>
      </c>
      <c r="C42" s="191">
        <v>98.0</v>
      </c>
      <c r="D42" s="191">
        <v>163.0</v>
      </c>
      <c r="E42" s="191">
        <v>240.0</v>
      </c>
      <c r="F42" s="191">
        <f t="shared" si="5"/>
        <v>0</v>
      </c>
      <c r="G42" s="191">
        <f t="shared" si="6"/>
        <v>113.09592</v>
      </c>
      <c r="H42" s="219">
        <f t="shared" si="7"/>
        <v>113.09592</v>
      </c>
      <c r="I42" s="218">
        <v>3.0</v>
      </c>
      <c r="J42" s="193">
        <f t="shared" si="8"/>
        <v>339.28776</v>
      </c>
      <c r="K42" s="186"/>
      <c r="L42" s="164"/>
      <c r="M42" s="195">
        <f t="shared" si="18"/>
        <v>3</v>
      </c>
      <c r="N42" s="195"/>
      <c r="O42" s="186"/>
      <c r="P42" s="186"/>
      <c r="Q42" s="188">
        <v>29.5</v>
      </c>
      <c r="R42" s="187">
        <f t="shared" si="9"/>
        <v>2.4</v>
      </c>
      <c r="S42" s="181">
        <f t="shared" si="10"/>
        <v>3</v>
      </c>
      <c r="T42" s="181">
        <f t="shared" si="11"/>
        <v>7.2</v>
      </c>
      <c r="U42" s="278">
        <f t="shared" si="12"/>
        <v>113.09592</v>
      </c>
      <c r="V42" s="187">
        <f t="shared" ref="V42:W42" si="40">C42/100</f>
        <v>0.98</v>
      </c>
      <c r="W42" s="187">
        <f t="shared" si="40"/>
        <v>1.63</v>
      </c>
      <c r="X42" s="187">
        <f t="shared" si="14"/>
        <v>7.2</v>
      </c>
      <c r="Y42" s="189">
        <f t="shared" si="15"/>
        <v>11.50128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25.0</v>
      </c>
      <c r="B43" s="191" t="s">
        <v>55</v>
      </c>
      <c r="C43" s="191">
        <v>96.0</v>
      </c>
      <c r="D43" s="191">
        <v>163.0</v>
      </c>
      <c r="E43" s="191">
        <v>239.0</v>
      </c>
      <c r="F43" s="191">
        <f t="shared" si="5"/>
        <v>0</v>
      </c>
      <c r="G43" s="191">
        <f t="shared" si="6"/>
        <v>110.326224</v>
      </c>
      <c r="H43" s="219">
        <f t="shared" si="7"/>
        <v>110.326224</v>
      </c>
      <c r="I43" s="218">
        <v>1.0</v>
      </c>
      <c r="J43" s="193">
        <f t="shared" si="8"/>
        <v>110.326224</v>
      </c>
      <c r="K43" s="186"/>
      <c r="L43" s="164"/>
      <c r="M43" s="195">
        <f t="shared" si="18"/>
        <v>1</v>
      </c>
      <c r="N43" s="195"/>
      <c r="O43" s="186"/>
      <c r="P43" s="186"/>
      <c r="Q43" s="188">
        <v>29.5</v>
      </c>
      <c r="R43" s="187">
        <f t="shared" si="9"/>
        <v>2.39</v>
      </c>
      <c r="S43" s="181">
        <f t="shared" si="10"/>
        <v>1</v>
      </c>
      <c r="T43" s="181">
        <f t="shared" si="11"/>
        <v>2.39</v>
      </c>
      <c r="U43" s="278">
        <f t="shared" si="12"/>
        <v>110.326224</v>
      </c>
      <c r="V43" s="187">
        <f t="shared" ref="V43:W43" si="41">C43/100</f>
        <v>0.96</v>
      </c>
      <c r="W43" s="187">
        <f t="shared" si="41"/>
        <v>1.63</v>
      </c>
      <c r="X43" s="187">
        <f t="shared" si="14"/>
        <v>2.39</v>
      </c>
      <c r="Y43" s="189">
        <f t="shared" si="15"/>
        <v>3.739872</v>
      </c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</row>
    <row r="44" ht="27.0" customHeight="1">
      <c r="A44" s="181">
        <v>26.0</v>
      </c>
      <c r="B44" s="191" t="s">
        <v>55</v>
      </c>
      <c r="C44" s="191">
        <v>100.0</v>
      </c>
      <c r="D44" s="191">
        <v>163.0</v>
      </c>
      <c r="E44" s="191">
        <v>240.0</v>
      </c>
      <c r="F44" s="191">
        <f t="shared" si="5"/>
        <v>0</v>
      </c>
      <c r="G44" s="191">
        <f t="shared" si="6"/>
        <v>115.404</v>
      </c>
      <c r="H44" s="219">
        <f t="shared" si="7"/>
        <v>115.404</v>
      </c>
      <c r="I44" s="218">
        <v>6.0</v>
      </c>
      <c r="J44" s="193">
        <f t="shared" si="8"/>
        <v>692.424</v>
      </c>
      <c r="K44" s="186"/>
      <c r="L44" s="164"/>
      <c r="M44" s="195">
        <f t="shared" si="18"/>
        <v>6</v>
      </c>
      <c r="N44" s="195"/>
      <c r="O44" s="186"/>
      <c r="P44" s="186"/>
      <c r="Q44" s="188">
        <v>29.5</v>
      </c>
      <c r="R44" s="187">
        <f t="shared" si="9"/>
        <v>2.4</v>
      </c>
      <c r="S44" s="181">
        <f t="shared" si="10"/>
        <v>6</v>
      </c>
      <c r="T44" s="181">
        <f t="shared" si="11"/>
        <v>14.4</v>
      </c>
      <c r="U44" s="278">
        <f t="shared" si="12"/>
        <v>115.404</v>
      </c>
      <c r="V44" s="187">
        <f t="shared" ref="V44:W44" si="42">C44/100</f>
        <v>1</v>
      </c>
      <c r="W44" s="187">
        <f t="shared" si="42"/>
        <v>1.63</v>
      </c>
      <c r="X44" s="187">
        <f t="shared" si="14"/>
        <v>14.4</v>
      </c>
      <c r="Y44" s="189">
        <f t="shared" si="15"/>
        <v>23.472</v>
      </c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</row>
    <row r="45" ht="27.0" customHeight="1">
      <c r="A45" s="181">
        <v>27.0</v>
      </c>
      <c r="B45" s="191" t="s">
        <v>55</v>
      </c>
      <c r="C45" s="191">
        <v>101.0</v>
      </c>
      <c r="D45" s="191">
        <v>163.0</v>
      </c>
      <c r="E45" s="191">
        <v>240.0</v>
      </c>
      <c r="F45" s="191">
        <f t="shared" si="5"/>
        <v>0</v>
      </c>
      <c r="G45" s="191">
        <f t="shared" si="6"/>
        <v>116.55804</v>
      </c>
      <c r="H45" s="219">
        <f t="shared" si="7"/>
        <v>116.55804</v>
      </c>
      <c r="I45" s="218">
        <v>2.0</v>
      </c>
      <c r="J45" s="193">
        <f t="shared" si="8"/>
        <v>233.11608</v>
      </c>
      <c r="K45" s="186"/>
      <c r="L45" s="164"/>
      <c r="M45" s="195">
        <f t="shared" si="18"/>
        <v>2</v>
      </c>
      <c r="N45" s="195"/>
      <c r="O45" s="186"/>
      <c r="P45" s="186"/>
      <c r="Q45" s="188">
        <v>29.5</v>
      </c>
      <c r="R45" s="187">
        <f t="shared" si="9"/>
        <v>2.4</v>
      </c>
      <c r="S45" s="181">
        <f t="shared" si="10"/>
        <v>2</v>
      </c>
      <c r="T45" s="181">
        <f t="shared" si="11"/>
        <v>4.8</v>
      </c>
      <c r="U45" s="278">
        <f t="shared" si="12"/>
        <v>116.55804</v>
      </c>
      <c r="V45" s="187">
        <f t="shared" ref="V45:W45" si="43">C45/100</f>
        <v>1.01</v>
      </c>
      <c r="W45" s="187">
        <f t="shared" si="43"/>
        <v>1.63</v>
      </c>
      <c r="X45" s="187">
        <f t="shared" si="14"/>
        <v>4.8</v>
      </c>
      <c r="Y45" s="189">
        <f t="shared" si="15"/>
        <v>7.90224</v>
      </c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</row>
    <row r="46" ht="27.0" customHeight="1">
      <c r="A46" s="181">
        <v>28.0</v>
      </c>
      <c r="B46" s="191" t="s">
        <v>55</v>
      </c>
      <c r="C46" s="191">
        <v>84.0</v>
      </c>
      <c r="D46" s="191">
        <v>163.0</v>
      </c>
      <c r="E46" s="191">
        <v>196.0</v>
      </c>
      <c r="F46" s="191">
        <f t="shared" si="5"/>
        <v>0</v>
      </c>
      <c r="G46" s="191">
        <f t="shared" si="6"/>
        <v>79.167144</v>
      </c>
      <c r="H46" s="219">
        <f t="shared" si="7"/>
        <v>79.167144</v>
      </c>
      <c r="I46" s="218">
        <v>1.0</v>
      </c>
      <c r="J46" s="194">
        <f t="shared" si="8"/>
        <v>79.167144</v>
      </c>
      <c r="K46" s="139"/>
      <c r="L46" s="197"/>
      <c r="M46" s="198">
        <f t="shared" si="18"/>
        <v>1</v>
      </c>
      <c r="N46" s="198"/>
      <c r="O46" s="139"/>
      <c r="P46" s="139"/>
      <c r="Q46" s="188">
        <v>29.5</v>
      </c>
      <c r="R46" s="187">
        <f t="shared" si="9"/>
        <v>1.96</v>
      </c>
      <c r="S46" s="181">
        <f t="shared" si="10"/>
        <v>1</v>
      </c>
      <c r="T46" s="181">
        <f t="shared" si="11"/>
        <v>1.96</v>
      </c>
      <c r="U46" s="278">
        <f t="shared" si="12"/>
        <v>79.167144</v>
      </c>
      <c r="V46" s="187">
        <f t="shared" ref="V46:W46" si="44">C46/100</f>
        <v>0.84</v>
      </c>
      <c r="W46" s="187">
        <f t="shared" si="44"/>
        <v>1.63</v>
      </c>
      <c r="X46" s="187">
        <f t="shared" si="14"/>
        <v>1.96</v>
      </c>
      <c r="Y46" s="189">
        <f t="shared" si="15"/>
        <v>2.683632</v>
      </c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</row>
    <row r="47" ht="27.0" customHeight="1">
      <c r="A47" s="181">
        <v>29.0</v>
      </c>
      <c r="B47" s="191" t="s">
        <v>55</v>
      </c>
      <c r="C47" s="191">
        <v>102.0</v>
      </c>
      <c r="D47" s="191">
        <v>163.0</v>
      </c>
      <c r="E47" s="191">
        <v>240.0</v>
      </c>
      <c r="F47" s="191">
        <f t="shared" si="5"/>
        <v>0</v>
      </c>
      <c r="G47" s="191">
        <f t="shared" si="6"/>
        <v>117.71208</v>
      </c>
      <c r="H47" s="219">
        <f t="shared" si="7"/>
        <v>117.71208</v>
      </c>
      <c r="I47" s="218">
        <v>2.0</v>
      </c>
      <c r="J47" s="194">
        <f t="shared" si="8"/>
        <v>235.42416</v>
      </c>
      <c r="K47" s="139"/>
      <c r="L47" s="197"/>
      <c r="M47" s="198">
        <f t="shared" si="18"/>
        <v>2</v>
      </c>
      <c r="N47" s="198"/>
      <c r="O47" s="139"/>
      <c r="P47" s="139"/>
      <c r="Q47" s="188">
        <v>29.5</v>
      </c>
      <c r="R47" s="187">
        <f t="shared" si="9"/>
        <v>2.4</v>
      </c>
      <c r="S47" s="181">
        <f t="shared" si="10"/>
        <v>2</v>
      </c>
      <c r="T47" s="181">
        <f t="shared" si="11"/>
        <v>4.8</v>
      </c>
      <c r="U47" s="278">
        <f t="shared" si="12"/>
        <v>117.71208</v>
      </c>
      <c r="V47" s="187">
        <f t="shared" ref="V47:W47" si="45">C47/100</f>
        <v>1.02</v>
      </c>
      <c r="W47" s="187">
        <f t="shared" si="45"/>
        <v>1.63</v>
      </c>
      <c r="X47" s="187">
        <f t="shared" si="14"/>
        <v>4.8</v>
      </c>
      <c r="Y47" s="189">
        <f t="shared" si="15"/>
        <v>7.98048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</row>
    <row r="48" ht="27.0" customHeight="1">
      <c r="A48" s="160"/>
      <c r="B48" s="176"/>
      <c r="C48" s="176"/>
      <c r="D48" s="176"/>
      <c r="E48" s="176"/>
      <c r="F48" s="176"/>
      <c r="G48" s="176"/>
      <c r="H48" s="179"/>
      <c r="I48" s="160"/>
      <c r="J48" s="203">
        <f>+Q73</f>
        <v>108.4</v>
      </c>
      <c r="K48" s="139"/>
      <c r="L48" s="139"/>
      <c r="M48" s="139"/>
      <c r="N48" s="139"/>
      <c r="O48" s="139"/>
      <c r="P48" s="139"/>
      <c r="Q48" s="204"/>
      <c r="R48" s="187">
        <f t="shared" si="9"/>
        <v>0</v>
      </c>
      <c r="S48" s="181" t="str">
        <f t="shared" si="10"/>
        <v/>
      </c>
      <c r="T48" s="181">
        <f t="shared" si="11"/>
        <v>0</v>
      </c>
      <c r="U48" s="186"/>
      <c r="V48" s="187">
        <f t="shared" ref="V48:W48" si="46">C48/100</f>
        <v>0</v>
      </c>
      <c r="W48" s="187">
        <f t="shared" si="46"/>
        <v>0</v>
      </c>
      <c r="X48" s="187">
        <f t="shared" si="14"/>
        <v>0</v>
      </c>
      <c r="Y48" s="189">
        <f t="shared" si="15"/>
        <v>0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</row>
    <row r="49" ht="27.0" customHeight="1">
      <c r="A49" s="160"/>
      <c r="B49" s="205"/>
      <c r="C49" s="205"/>
      <c r="D49" s="205"/>
      <c r="E49" s="205"/>
      <c r="F49" s="205"/>
      <c r="G49" s="205"/>
      <c r="H49" s="206"/>
      <c r="I49" s="207">
        <f>SUM(I19:I47)</f>
        <v>123</v>
      </c>
      <c r="J49" s="208">
        <f>SUM(J19:J48)</f>
        <v>16757.86863</v>
      </c>
      <c r="K49" s="209"/>
      <c r="L49" s="209"/>
      <c r="M49" s="209"/>
      <c r="N49" s="209"/>
      <c r="O49" s="209"/>
      <c r="P49" s="209"/>
      <c r="Q49" s="141"/>
      <c r="R49" s="209">
        <f>SUMIFS($S$19:$S$47,$R$19:$R$47,"&gt;=3")</f>
        <v>1</v>
      </c>
      <c r="S49" s="209">
        <f t="shared" ref="S49:T49" si="47">SUM(S19:S47)</f>
        <v>123</v>
      </c>
      <c r="T49" s="209">
        <f t="shared" si="47"/>
        <v>300.12</v>
      </c>
      <c r="U49" s="209"/>
      <c r="V49" s="209"/>
      <c r="W49" s="209"/>
      <c r="X49" s="209"/>
      <c r="Y49" s="210">
        <f>SUM(Y19:Y48)</f>
        <v>566.70849</v>
      </c>
      <c r="Z49" s="209"/>
      <c r="AA49" s="209"/>
      <c r="AB49" s="209"/>
      <c r="AC49" s="209"/>
      <c r="AD49" s="209"/>
      <c r="AE49" s="209"/>
      <c r="AF49" s="209"/>
      <c r="AG49" s="209"/>
      <c r="AH49" s="209"/>
      <c r="AI49" s="209"/>
      <c r="AJ49" s="209"/>
      <c r="AK49" s="209"/>
      <c r="AL49" s="209"/>
      <c r="AM49" s="209"/>
      <c r="AN49" s="209"/>
      <c r="AO49" s="209"/>
      <c r="AP49" s="209"/>
      <c r="AQ49" s="209"/>
      <c r="AR49" s="209"/>
      <c r="AS49" s="209"/>
    </row>
    <row r="50" ht="29.25" customHeight="1">
      <c r="A50" s="139"/>
      <c r="B50" s="139"/>
      <c r="C50" s="139"/>
      <c r="D50" s="139"/>
      <c r="E50" s="139"/>
      <c r="F50" s="139"/>
      <c r="G50" s="139"/>
      <c r="H50" s="140"/>
      <c r="I50" s="139"/>
      <c r="J50" s="139"/>
      <c r="K50" s="139"/>
      <c r="L50" s="139"/>
      <c r="M50" s="139"/>
      <c r="N50" s="139"/>
      <c r="O50" s="139"/>
      <c r="P50" s="139"/>
      <c r="Q50" s="141"/>
      <c r="R50" s="186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ht="29.25" customHeight="1">
      <c r="A51" s="139"/>
      <c r="B51" s="139"/>
      <c r="C51" s="139"/>
      <c r="D51" s="139"/>
      <c r="E51" s="139"/>
      <c r="F51" s="139"/>
      <c r="G51" s="139"/>
      <c r="H51" s="140"/>
      <c r="I51" s="139"/>
      <c r="J51" s="139"/>
      <c r="K51" s="139"/>
      <c r="L51" s="139"/>
      <c r="M51" s="139"/>
      <c r="N51" s="139"/>
      <c r="O51" s="139"/>
      <c r="P51" s="139"/>
      <c r="Q51" s="204"/>
      <c r="R51" s="139"/>
      <c r="S51" s="139" t="s">
        <v>48</v>
      </c>
      <c r="T51" s="139" t="s">
        <v>72</v>
      </c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</row>
    <row r="52" ht="29.25" customHeight="1">
      <c r="A52" s="139"/>
      <c r="B52" s="139"/>
      <c r="C52" s="139"/>
      <c r="D52" s="139"/>
      <c r="E52" s="139"/>
      <c r="F52" s="139"/>
      <c r="G52" s="139"/>
      <c r="H52" s="140"/>
      <c r="I52" s="139"/>
      <c r="J52" s="139"/>
      <c r="K52" s="139"/>
      <c r="L52" s="139"/>
      <c r="M52" s="139"/>
      <c r="N52" s="139"/>
      <c r="O52" s="139"/>
      <c r="P52" s="139"/>
      <c r="Q52" s="141"/>
      <c r="R52" s="139" t="s">
        <v>31</v>
      </c>
      <c r="S52" s="211">
        <f>SUMIFS($J$19:$J$47,$R$19:$R$47,"&gt;=3")</f>
        <v>144.274942</v>
      </c>
      <c r="T52" s="212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9.25" customHeight="1">
      <c r="A53" s="139" t="s">
        <v>32</v>
      </c>
      <c r="B53" s="139"/>
      <c r="C53" s="139"/>
      <c r="D53" s="139" t="s">
        <v>33</v>
      </c>
      <c r="E53" s="139"/>
      <c r="F53" s="139"/>
      <c r="G53" s="139"/>
      <c r="H53" s="140"/>
      <c r="I53" s="139"/>
      <c r="J53" s="139"/>
      <c r="K53" s="139"/>
      <c r="L53" s="139"/>
      <c r="M53" s="139"/>
      <c r="N53" s="139"/>
      <c r="O53" s="139"/>
      <c r="P53" s="139"/>
      <c r="Q53" s="141"/>
      <c r="R53" s="139" t="s">
        <v>34</v>
      </c>
      <c r="S53" s="213">
        <f>J49-S52</f>
        <v>16613.59368</v>
      </c>
      <c r="T53" s="212">
        <f>+SUMIFS($T$19:$T$47,$R$19:$R$47,"&gt;=3")</f>
        <v>3.17</v>
      </c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9.25" customHeight="1">
      <c r="A54" s="139"/>
      <c r="B54" s="139"/>
      <c r="C54" s="139"/>
      <c r="D54" s="139"/>
      <c r="E54" s="139"/>
      <c r="F54" s="139"/>
      <c r="G54" s="139"/>
      <c r="H54" s="140"/>
      <c r="I54" s="139"/>
      <c r="J54" s="139"/>
      <c r="K54" s="139"/>
      <c r="L54" s="139"/>
      <c r="M54" s="139"/>
      <c r="N54" s="139"/>
      <c r="O54" s="139"/>
      <c r="P54" s="139"/>
      <c r="Q54" s="204"/>
      <c r="R54" s="139"/>
      <c r="S54" s="214">
        <f>+I49</f>
        <v>123</v>
      </c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39.0" customHeight="1">
      <c r="A55" s="176"/>
      <c r="B55" s="160" t="s">
        <v>12</v>
      </c>
      <c r="C55" s="177" t="s">
        <v>73</v>
      </c>
      <c r="D55" s="52"/>
      <c r="E55" s="53"/>
      <c r="F55" s="178"/>
      <c r="G55" s="178"/>
      <c r="H55" s="179" t="s">
        <v>14</v>
      </c>
      <c r="I55" s="160" t="s">
        <v>15</v>
      </c>
      <c r="J55" s="160" t="s">
        <v>16</v>
      </c>
      <c r="K55" s="139"/>
      <c r="L55" s="139"/>
      <c r="M55" s="139"/>
      <c r="N55" s="139"/>
      <c r="O55" s="139"/>
      <c r="P55" s="139"/>
      <c r="Q55" s="141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54">
        <v>1.0</v>
      </c>
      <c r="B56" s="215" t="s">
        <v>65</v>
      </c>
      <c r="C56" s="215">
        <v>85.0</v>
      </c>
      <c r="D56" s="215">
        <v>184.0</v>
      </c>
      <c r="E56" s="215">
        <v>232.0</v>
      </c>
      <c r="F56" s="215">
        <f t="shared" ref="F56:F58" si="48">1-VALUE(IF(RIGHT(B56, 1)="%", RIGHT(B56, 3), 0))</f>
        <v>0.2</v>
      </c>
      <c r="G56" s="215">
        <f t="shared" ref="G56:G58" si="49">+Q56*C56/100*D56/100*E56/100</f>
        <v>0</v>
      </c>
      <c r="H56" s="216">
        <f t="shared" ref="H56:H58" si="50">IF(F56=0, G56, F56*G56)</f>
        <v>0</v>
      </c>
      <c r="I56" s="215">
        <v>1.0</v>
      </c>
      <c r="J56" s="217">
        <f t="shared" ref="J56:J58" si="51">+I56*H56</f>
        <v>0</v>
      </c>
      <c r="K56" s="139"/>
      <c r="L56" s="176">
        <f t="shared" ref="L56:L58" si="52">D56*25.4/1000</f>
        <v>4.6736</v>
      </c>
      <c r="M56" s="160">
        <f t="shared" ref="M56:M58" si="53">+I56</f>
        <v>1</v>
      </c>
      <c r="N56" s="160">
        <f t="shared" ref="N56:N58" si="54">M56*L56</f>
        <v>4.6736</v>
      </c>
      <c r="O56" s="139"/>
      <c r="P56" s="139"/>
      <c r="Q56" s="141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60">
        <v>2.0</v>
      </c>
      <c r="B57" s="218" t="s">
        <v>65</v>
      </c>
      <c r="C57" s="218">
        <v>95.0</v>
      </c>
      <c r="D57" s="218">
        <v>203.0</v>
      </c>
      <c r="E57" s="218">
        <v>251.0</v>
      </c>
      <c r="F57" s="218">
        <f t="shared" si="48"/>
        <v>0.2</v>
      </c>
      <c r="G57" s="218">
        <f t="shared" si="49"/>
        <v>0</v>
      </c>
      <c r="H57" s="219">
        <f t="shared" si="50"/>
        <v>0</v>
      </c>
      <c r="I57" s="218">
        <v>1.0</v>
      </c>
      <c r="J57" s="194">
        <f t="shared" si="51"/>
        <v>0</v>
      </c>
      <c r="K57" s="139"/>
      <c r="L57" s="176">
        <f t="shared" si="52"/>
        <v>5.1562</v>
      </c>
      <c r="M57" s="160">
        <f t="shared" si="53"/>
        <v>1</v>
      </c>
      <c r="N57" s="160">
        <f t="shared" si="54"/>
        <v>5.1562</v>
      </c>
      <c r="O57" s="139"/>
      <c r="P57" s="139"/>
      <c r="Q57" s="141"/>
      <c r="R57" s="139"/>
      <c r="S57" s="220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60">
        <v>3.0</v>
      </c>
      <c r="B58" s="218" t="s">
        <v>64</v>
      </c>
      <c r="C58" s="218">
        <v>80.0</v>
      </c>
      <c r="D58" s="218">
        <v>163.0</v>
      </c>
      <c r="E58" s="218">
        <v>240.0</v>
      </c>
      <c r="F58" s="218">
        <f t="shared" si="48"/>
        <v>0.2</v>
      </c>
      <c r="G58" s="218">
        <f t="shared" si="49"/>
        <v>0</v>
      </c>
      <c r="H58" s="219">
        <f t="shared" si="50"/>
        <v>0</v>
      </c>
      <c r="I58" s="218">
        <v>1.0</v>
      </c>
      <c r="J58" s="194">
        <f t="shared" si="51"/>
        <v>0</v>
      </c>
      <c r="K58" s="139"/>
      <c r="L58" s="176">
        <f t="shared" si="52"/>
        <v>4.1402</v>
      </c>
      <c r="M58" s="160">
        <f t="shared" si="53"/>
        <v>1</v>
      </c>
      <c r="N58" s="160">
        <f t="shared" si="54"/>
        <v>4.1402</v>
      </c>
      <c r="O58" s="139"/>
      <c r="P58" s="139"/>
      <c r="Q58" s="141"/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4.75" customHeight="1">
      <c r="A59" s="160"/>
      <c r="B59" s="197"/>
      <c r="C59" s="197"/>
      <c r="D59" s="197"/>
      <c r="E59" s="197"/>
      <c r="F59" s="197"/>
      <c r="G59" s="197"/>
      <c r="H59" s="269" t="s">
        <v>38</v>
      </c>
      <c r="I59" s="197"/>
      <c r="J59" s="226">
        <f>SUM(J56:J58)</f>
        <v>0</v>
      </c>
      <c r="K59" s="139"/>
      <c r="L59" s="139"/>
      <c r="M59" s="139"/>
      <c r="N59" s="139"/>
      <c r="O59" s="139"/>
      <c r="P59" s="139"/>
      <c r="Q59" s="141"/>
      <c r="R59" s="227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18.75" customHeight="1">
      <c r="A60" s="174"/>
      <c r="B60" s="144"/>
      <c r="C60" s="144"/>
      <c r="D60" s="144"/>
      <c r="E60" s="144"/>
      <c r="F60" s="144"/>
      <c r="G60" s="144"/>
      <c r="H60" s="145"/>
      <c r="I60" s="144"/>
      <c r="J60" s="175"/>
      <c r="K60" s="139"/>
      <c r="L60" s="139"/>
      <c r="M60" s="139"/>
      <c r="N60" s="139"/>
      <c r="O60" s="139"/>
      <c r="P60" s="139"/>
      <c r="Q60" s="141"/>
      <c r="R60" s="227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18.75" customHeight="1">
      <c r="A61" s="139"/>
      <c r="B61" s="139"/>
      <c r="C61" s="139"/>
      <c r="D61" s="139"/>
      <c r="E61" s="139"/>
      <c r="F61" s="139"/>
      <c r="G61" s="139"/>
      <c r="H61" s="140"/>
      <c r="I61" s="139"/>
      <c r="J61" s="139"/>
      <c r="K61" s="139"/>
      <c r="L61" s="139"/>
      <c r="M61" s="139"/>
      <c r="N61" s="139"/>
      <c r="O61" s="139"/>
      <c r="P61" s="139"/>
      <c r="Q61" s="141"/>
      <c r="R61" s="227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18.75" customHeight="1">
      <c r="A62" s="139"/>
      <c r="B62" s="139"/>
      <c r="C62" s="139"/>
      <c r="D62" s="139"/>
      <c r="E62" s="139"/>
      <c r="F62" s="139"/>
      <c r="G62" s="139"/>
      <c r="H62" s="140"/>
      <c r="I62" s="139"/>
      <c r="J62" s="139"/>
      <c r="K62" s="139"/>
      <c r="L62" s="139"/>
      <c r="M62" s="139"/>
      <c r="N62" s="139"/>
      <c r="O62" s="139"/>
      <c r="P62" s="139"/>
      <c r="Q62" s="141"/>
      <c r="R62" s="227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18.75" customHeight="1">
      <c r="A63" s="139" t="s">
        <v>39</v>
      </c>
      <c r="B63" s="139"/>
      <c r="C63" s="139"/>
      <c r="D63" s="139"/>
      <c r="E63" s="139"/>
      <c r="F63" s="139"/>
      <c r="G63" s="139"/>
      <c r="H63" s="140"/>
      <c r="I63" s="139"/>
      <c r="J63" s="139"/>
      <c r="K63" s="139"/>
      <c r="L63" s="139"/>
      <c r="M63" s="139"/>
      <c r="N63" s="139"/>
      <c r="O63" s="139"/>
      <c r="P63" s="139"/>
      <c r="Q63" s="141"/>
      <c r="R63" s="227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18.75" customHeight="1">
      <c r="A64" s="139"/>
      <c r="B64" s="139"/>
      <c r="C64" s="139"/>
      <c r="D64" s="139"/>
      <c r="E64" s="139"/>
      <c r="F64" s="139"/>
      <c r="G64" s="139"/>
      <c r="H64" s="140"/>
      <c r="I64" s="139"/>
      <c r="J64" s="139"/>
      <c r="K64" s="139"/>
      <c r="L64" s="139"/>
      <c r="M64" s="139"/>
      <c r="N64" s="139"/>
      <c r="O64" s="139"/>
      <c r="P64" s="139"/>
      <c r="Q64" s="141"/>
      <c r="R64" s="227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42.0" customHeight="1">
      <c r="A65" s="176"/>
      <c r="B65" s="160" t="s">
        <v>12</v>
      </c>
      <c r="C65" s="177" t="s">
        <v>74</v>
      </c>
      <c r="D65" s="52"/>
      <c r="E65" s="53"/>
      <c r="F65" s="228"/>
      <c r="G65" s="228"/>
      <c r="H65" s="179" t="s">
        <v>14</v>
      </c>
      <c r="I65" s="224" t="s">
        <v>15</v>
      </c>
      <c r="J65" s="160" t="s">
        <v>16</v>
      </c>
      <c r="K65" s="139"/>
      <c r="L65" s="139"/>
      <c r="M65" s="139"/>
      <c r="N65" s="139"/>
      <c r="O65" s="139"/>
      <c r="P65" s="139"/>
      <c r="Q65" s="141"/>
      <c r="R65" s="227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4.75" customHeight="1">
      <c r="A66" s="160">
        <v>1.0</v>
      </c>
      <c r="B66" s="279" t="s">
        <v>56</v>
      </c>
      <c r="C66" s="181"/>
      <c r="D66" s="181"/>
      <c r="E66" s="181"/>
      <c r="F66" s="181"/>
      <c r="G66" s="181"/>
      <c r="H66" s="232">
        <v>67.0</v>
      </c>
      <c r="I66" s="181">
        <v>1.0</v>
      </c>
      <c r="J66" s="194">
        <f t="shared" ref="J66:J71" si="55">+I66*H66</f>
        <v>67</v>
      </c>
      <c r="K66" s="176"/>
      <c r="L66" s="176"/>
      <c r="M66" s="176"/>
      <c r="N66" s="176"/>
      <c r="O66" s="176"/>
      <c r="P66" s="176"/>
      <c r="Q66" s="231"/>
      <c r="R66" s="227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4.75" customHeight="1">
      <c r="A67" s="160">
        <v>2.0</v>
      </c>
      <c r="B67" s="215" t="s">
        <v>56</v>
      </c>
      <c r="C67" s="181"/>
      <c r="D67" s="181"/>
      <c r="E67" s="181"/>
      <c r="F67" s="181"/>
      <c r="G67" s="181"/>
      <c r="H67" s="232">
        <v>38.0</v>
      </c>
      <c r="I67" s="181">
        <v>1.0</v>
      </c>
      <c r="J67" s="194">
        <f t="shared" si="55"/>
        <v>38</v>
      </c>
      <c r="K67" s="176"/>
      <c r="L67" s="176"/>
      <c r="M67" s="176"/>
      <c r="N67" s="176"/>
      <c r="O67" s="176"/>
      <c r="P67" s="176"/>
      <c r="Q67" s="231"/>
      <c r="R67" s="227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4.75" customHeight="1">
      <c r="A68" s="160">
        <v>3.0</v>
      </c>
      <c r="B68" s="280" t="s">
        <v>56</v>
      </c>
      <c r="C68" s="181"/>
      <c r="D68" s="181"/>
      <c r="E68" s="181"/>
      <c r="F68" s="181"/>
      <c r="G68" s="181"/>
      <c r="H68" s="232">
        <v>65.0</v>
      </c>
      <c r="I68" s="181">
        <v>1.0</v>
      </c>
      <c r="J68" s="194">
        <f t="shared" si="55"/>
        <v>65</v>
      </c>
      <c r="K68" s="176"/>
      <c r="L68" s="176"/>
      <c r="M68" s="176"/>
      <c r="N68" s="176"/>
      <c r="O68" s="176"/>
      <c r="P68" s="176"/>
      <c r="Q68" s="231"/>
      <c r="R68" s="227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4.75" customHeight="1">
      <c r="A69" s="160">
        <v>4.0</v>
      </c>
      <c r="B69" s="218" t="s">
        <v>56</v>
      </c>
      <c r="C69" s="181"/>
      <c r="D69" s="181"/>
      <c r="E69" s="181"/>
      <c r="F69" s="181"/>
      <c r="G69" s="181"/>
      <c r="H69" s="232">
        <v>24.0</v>
      </c>
      <c r="I69" s="181">
        <v>1.0</v>
      </c>
      <c r="J69" s="194">
        <f t="shared" si="55"/>
        <v>24</v>
      </c>
      <c r="K69" s="176"/>
      <c r="L69" s="176"/>
      <c r="M69" s="176"/>
      <c r="N69" s="176"/>
      <c r="O69" s="176"/>
      <c r="P69" s="176"/>
      <c r="Q69" s="231"/>
      <c r="R69" s="227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4.75" customHeight="1">
      <c r="A70" s="160">
        <v>5.0</v>
      </c>
      <c r="B70" s="280" t="s">
        <v>55</v>
      </c>
      <c r="C70" s="181"/>
      <c r="D70" s="181"/>
      <c r="E70" s="181"/>
      <c r="F70" s="181"/>
      <c r="G70" s="181"/>
      <c r="H70" s="232">
        <v>47.0</v>
      </c>
      <c r="I70" s="181">
        <v>1.0</v>
      </c>
      <c r="J70" s="194">
        <f t="shared" si="55"/>
        <v>47</v>
      </c>
      <c r="K70" s="176"/>
      <c r="L70" s="176"/>
      <c r="M70" s="176"/>
      <c r="N70" s="176"/>
      <c r="O70" s="176"/>
      <c r="P70" s="176"/>
      <c r="Q70" s="231"/>
      <c r="R70" s="227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4.75" customHeight="1">
      <c r="A71" s="160">
        <v>6.0</v>
      </c>
      <c r="B71" s="218" t="s">
        <v>55</v>
      </c>
      <c r="C71" s="181"/>
      <c r="D71" s="181"/>
      <c r="E71" s="181"/>
      <c r="F71" s="181"/>
      <c r="G71" s="181"/>
      <c r="H71" s="232">
        <v>30.0</v>
      </c>
      <c r="I71" s="181">
        <v>1.0</v>
      </c>
      <c r="J71" s="194">
        <f t="shared" si="55"/>
        <v>30</v>
      </c>
      <c r="K71" s="176"/>
      <c r="L71" s="176"/>
      <c r="M71" s="176"/>
      <c r="N71" s="176"/>
      <c r="O71" s="176"/>
      <c r="P71" s="176"/>
      <c r="Q71" s="231"/>
      <c r="R71" s="227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18.75" customHeight="1">
      <c r="A72" s="139"/>
      <c r="B72" s="139"/>
      <c r="C72" s="139"/>
      <c r="D72" s="139"/>
      <c r="E72" s="139"/>
      <c r="F72" s="139"/>
      <c r="G72" s="139"/>
      <c r="H72" s="140" t="s">
        <v>38</v>
      </c>
      <c r="I72" s="139"/>
      <c r="J72" s="235">
        <f>SUM(J60:J71)</f>
        <v>271</v>
      </c>
      <c r="K72" s="236"/>
      <c r="L72" s="236"/>
      <c r="M72" s="236"/>
      <c r="N72" s="236"/>
      <c r="O72" s="236"/>
      <c r="P72" s="236"/>
      <c r="Q72" s="237"/>
      <c r="R72" s="227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30.75" customHeight="1">
      <c r="A73" s="144"/>
      <c r="B73" s="144"/>
      <c r="C73" s="144"/>
      <c r="D73" s="144"/>
      <c r="E73" s="144"/>
      <c r="F73" s="144"/>
      <c r="G73" s="144"/>
      <c r="H73" s="145"/>
      <c r="I73" s="173"/>
      <c r="J73" s="205">
        <f>J72*60%</f>
        <v>162.6</v>
      </c>
      <c r="K73" s="205"/>
      <c r="L73" s="205"/>
      <c r="M73" s="205"/>
      <c r="N73" s="205"/>
      <c r="O73" s="205"/>
      <c r="P73" s="205"/>
      <c r="Q73" s="207">
        <f>+J72*40%</f>
        <v>108.4</v>
      </c>
      <c r="R73" s="227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18.75" customHeight="1">
      <c r="A74" s="139"/>
      <c r="B74" s="139"/>
      <c r="C74" s="139"/>
      <c r="D74" s="139"/>
      <c r="E74" s="139"/>
      <c r="F74" s="139"/>
      <c r="G74" s="139"/>
      <c r="H74" s="140"/>
      <c r="I74" s="139"/>
      <c r="J74" s="139"/>
      <c r="K74" s="139"/>
      <c r="L74" s="139"/>
      <c r="M74" s="139"/>
      <c r="N74" s="139"/>
      <c r="O74" s="139"/>
      <c r="P74" s="139"/>
      <c r="Q74" s="141"/>
      <c r="R74" s="227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18.75" customHeight="1">
      <c r="A75" s="139"/>
      <c r="B75" s="139"/>
      <c r="C75" s="139"/>
      <c r="D75" s="139"/>
      <c r="E75" s="139"/>
      <c r="F75" s="139"/>
      <c r="G75" s="139"/>
      <c r="H75" s="140"/>
      <c r="I75" s="139"/>
      <c r="J75" s="139"/>
      <c r="K75" s="139"/>
      <c r="L75" s="139"/>
      <c r="M75" s="139"/>
      <c r="N75" s="139"/>
      <c r="O75" s="139"/>
      <c r="P75" s="139"/>
      <c r="Q75" s="141"/>
      <c r="R75" s="227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19.5" customHeight="1">
      <c r="A76" s="238" t="s">
        <v>41</v>
      </c>
      <c r="B76" s="139"/>
      <c r="C76" s="139"/>
      <c r="D76" s="139"/>
      <c r="E76" s="139"/>
      <c r="F76" s="139"/>
      <c r="G76" s="139"/>
      <c r="H76" s="140"/>
      <c r="I76" s="139"/>
      <c r="J76" s="139"/>
      <c r="K76" s="139"/>
      <c r="L76" s="139"/>
      <c r="M76" s="139"/>
      <c r="N76" s="139"/>
      <c r="O76" s="139"/>
      <c r="P76" s="139"/>
      <c r="Q76" s="141"/>
      <c r="R76" s="227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57.0" customHeight="1">
      <c r="A77" s="239"/>
      <c r="B77" s="240" t="s">
        <v>42</v>
      </c>
      <c r="C77" s="240" t="s">
        <v>43</v>
      </c>
      <c r="D77" s="240" t="s">
        <v>44</v>
      </c>
      <c r="E77" s="240" t="s">
        <v>45</v>
      </c>
      <c r="F77" s="240"/>
      <c r="G77" s="240"/>
      <c r="H77" s="241" t="s">
        <v>46</v>
      </c>
      <c r="I77" s="242" t="s">
        <v>47</v>
      </c>
      <c r="J77" s="139"/>
      <c r="K77" s="139"/>
      <c r="L77" s="139"/>
      <c r="M77" s="139"/>
      <c r="N77" s="139"/>
      <c r="O77" s="139"/>
      <c r="P77" s="139"/>
      <c r="Q77" s="141"/>
      <c r="R77" s="227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18.75" customHeight="1">
      <c r="A78" s="243" t="s">
        <v>48</v>
      </c>
      <c r="B78" s="244">
        <f>+E12</f>
        <v>18590.1386</v>
      </c>
      <c r="C78" s="245">
        <f>+J49</f>
        <v>16757.86863</v>
      </c>
      <c r="D78" s="245">
        <f>+J59</f>
        <v>0</v>
      </c>
      <c r="E78" s="246">
        <f>J73</f>
        <v>162.6</v>
      </c>
      <c r="F78" s="246"/>
      <c r="G78" s="246"/>
      <c r="H78" s="247">
        <f>+I12</f>
        <v>274.2402776</v>
      </c>
      <c r="I78" s="248">
        <f>+B78-C78-D78-E78-H78</f>
        <v>1395.429697</v>
      </c>
      <c r="J78" s="139"/>
      <c r="K78" s="139"/>
      <c r="L78" s="139"/>
      <c r="M78" s="139"/>
      <c r="N78" s="139"/>
      <c r="O78" s="139"/>
      <c r="P78" s="139"/>
      <c r="Q78" s="141"/>
      <c r="R78" s="227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19.5" customHeight="1">
      <c r="A79" s="249" t="s">
        <v>49</v>
      </c>
      <c r="B79" s="250"/>
      <c r="C79" s="251">
        <f>+C78/B78</f>
        <v>0.901438606</v>
      </c>
      <c r="D79" s="251">
        <f>+D78/B78</f>
        <v>0</v>
      </c>
      <c r="E79" s="251">
        <f>+E78/B78</f>
        <v>0.008746572766</v>
      </c>
      <c r="F79" s="251"/>
      <c r="G79" s="251"/>
      <c r="H79" s="252">
        <f>+H78/B78</f>
        <v>0.01475192216</v>
      </c>
      <c r="I79" s="253">
        <f>+I78/B78</f>
        <v>0.07506289904</v>
      </c>
      <c r="J79" s="139"/>
      <c r="K79" s="139"/>
      <c r="L79" s="139"/>
      <c r="M79" s="139"/>
      <c r="N79" s="139"/>
      <c r="O79" s="139"/>
      <c r="P79" s="139"/>
      <c r="Q79" s="141"/>
      <c r="R79" s="227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19.5" customHeight="1">
      <c r="A80" s="163"/>
      <c r="B80" s="221"/>
      <c r="C80" s="254"/>
      <c r="D80" s="254"/>
      <c r="E80" s="254"/>
      <c r="F80" s="254"/>
      <c r="G80" s="254"/>
      <c r="H80" s="255"/>
      <c r="I80" s="256"/>
      <c r="J80" s="139"/>
      <c r="K80" s="139"/>
      <c r="L80" s="139"/>
      <c r="M80" s="139"/>
      <c r="N80" s="139"/>
      <c r="O80" s="139"/>
      <c r="P80" s="139"/>
      <c r="Q80" s="141"/>
      <c r="R80" s="227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18.75" customHeight="1">
      <c r="A81" s="257"/>
      <c r="B81" s="258"/>
      <c r="C81" s="258"/>
      <c r="D81" s="258" t="s">
        <v>50</v>
      </c>
      <c r="E81" s="258" t="s">
        <v>48</v>
      </c>
      <c r="F81" s="258"/>
      <c r="G81" s="258"/>
      <c r="H81" s="259">
        <f>+D78+E78+H78+I78</f>
        <v>1832.269975</v>
      </c>
      <c r="I81" s="260"/>
      <c r="J81" s="139"/>
      <c r="K81" s="139"/>
      <c r="L81" s="139"/>
      <c r="M81" s="139"/>
      <c r="N81" s="139"/>
      <c r="O81" s="139"/>
      <c r="P81" s="139"/>
      <c r="Q81" s="141"/>
      <c r="R81" s="140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18.75" customHeight="1">
      <c r="A82" s="261"/>
      <c r="B82" s="139"/>
      <c r="C82" s="139"/>
      <c r="D82" s="139"/>
      <c r="E82" s="139" t="s">
        <v>49</v>
      </c>
      <c r="F82" s="139"/>
      <c r="G82" s="139"/>
      <c r="H82" s="255">
        <f>+H81/B78</f>
        <v>0.09856139396</v>
      </c>
      <c r="I82" s="262"/>
      <c r="J82" s="139"/>
      <c r="K82" s="139"/>
      <c r="L82" s="139"/>
      <c r="M82" s="139"/>
      <c r="N82" s="139"/>
      <c r="O82" s="139"/>
      <c r="P82" s="139"/>
      <c r="Q82" s="141"/>
      <c r="R82" s="140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18.75" customHeight="1">
      <c r="A83" s="261"/>
      <c r="B83" s="139"/>
      <c r="C83" s="139" t="s">
        <v>51</v>
      </c>
      <c r="D83" s="139"/>
      <c r="E83" s="139"/>
      <c r="F83" s="139"/>
      <c r="G83" s="139"/>
      <c r="H83" s="140"/>
      <c r="I83" s="262"/>
      <c r="J83" s="139"/>
      <c r="K83" s="139"/>
      <c r="L83" s="139"/>
      <c r="M83" s="139"/>
      <c r="N83" s="139"/>
      <c r="O83" s="139"/>
      <c r="P83" s="139"/>
      <c r="Q83" s="141"/>
      <c r="R83" s="140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18.75" customHeight="1">
      <c r="A84" s="261"/>
      <c r="B84" s="139"/>
      <c r="C84" s="139"/>
      <c r="D84" s="139" t="s">
        <v>52</v>
      </c>
      <c r="E84" s="139"/>
      <c r="F84" s="139"/>
      <c r="G84" s="139"/>
      <c r="H84" s="140">
        <f>+H83*(H81-H78)</f>
        <v>0</v>
      </c>
      <c r="I84" s="262"/>
      <c r="J84" s="139"/>
      <c r="K84" s="139"/>
      <c r="L84" s="139"/>
      <c r="M84" s="139"/>
      <c r="N84" s="139"/>
      <c r="O84" s="139"/>
      <c r="P84" s="139"/>
      <c r="Q84" s="141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19.5" customHeight="1">
      <c r="A85" s="263"/>
      <c r="B85" s="264"/>
      <c r="C85" s="264"/>
      <c r="D85" s="264"/>
      <c r="E85" s="264"/>
      <c r="F85" s="264"/>
      <c r="G85" s="264"/>
      <c r="H85" s="265"/>
      <c r="I85" s="266"/>
      <c r="J85" s="139"/>
      <c r="K85" s="139"/>
      <c r="L85" s="139"/>
      <c r="M85" s="139"/>
      <c r="N85" s="139"/>
      <c r="O85" s="139"/>
      <c r="P85" s="139"/>
      <c r="Q85" s="141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18.75" customHeight="1">
      <c r="A86" s="139"/>
      <c r="B86" s="139"/>
      <c r="C86" s="139"/>
      <c r="D86" s="139"/>
      <c r="E86" s="139"/>
      <c r="F86" s="139"/>
      <c r="G86" s="139"/>
      <c r="H86" s="140"/>
      <c r="I86" s="139"/>
      <c r="J86" s="139"/>
      <c r="K86" s="139"/>
      <c r="L86" s="139"/>
      <c r="M86" s="139"/>
      <c r="N86" s="139"/>
      <c r="O86" s="139"/>
      <c r="P86" s="139"/>
      <c r="Q86" s="141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18.75" customHeight="1">
      <c r="A87" s="139"/>
      <c r="B87" s="139"/>
      <c r="C87" s="139"/>
      <c r="D87" s="139"/>
      <c r="E87" s="139"/>
      <c r="F87" s="139"/>
      <c r="G87" s="139"/>
      <c r="H87" s="140"/>
      <c r="I87" s="139"/>
      <c r="J87" s="139"/>
      <c r="K87" s="139"/>
      <c r="L87" s="139"/>
      <c r="M87" s="139"/>
      <c r="N87" s="139"/>
      <c r="O87" s="139"/>
      <c r="P87" s="139"/>
      <c r="Q87" s="141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18.75" customHeight="1">
      <c r="A88" s="139"/>
      <c r="B88" s="139"/>
      <c r="C88" s="139"/>
      <c r="D88" s="139"/>
      <c r="E88" s="139"/>
      <c r="F88" s="139"/>
      <c r="G88" s="139"/>
      <c r="H88" s="140"/>
      <c r="I88" s="139"/>
      <c r="J88" s="139"/>
      <c r="K88" s="139"/>
      <c r="L88" s="139"/>
      <c r="M88" s="139"/>
      <c r="N88" s="139"/>
      <c r="O88" s="139"/>
      <c r="P88" s="139"/>
      <c r="Q88" s="141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18.0" customHeight="1">
      <c r="A89" s="7"/>
      <c r="B89" s="7"/>
      <c r="C89" s="7"/>
      <c r="D89" s="7"/>
      <c r="E89" s="7"/>
      <c r="F89" s="7"/>
      <c r="G89" s="7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7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7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7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7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7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7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7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7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55:E55"/>
    <mergeCell ref="C65:E65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44355.0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</row>
    <row r="7" ht="36.0" customHeight="1">
      <c r="A7" s="146" t="s">
        <v>6</v>
      </c>
      <c r="B7" s="147"/>
      <c r="C7" s="148" t="s">
        <v>120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</row>
    <row r="8" ht="26.25" customHeight="1">
      <c r="A8" s="153">
        <v>1.0</v>
      </c>
      <c r="B8" s="154" t="s">
        <v>77</v>
      </c>
      <c r="C8" s="154">
        <v>16.5</v>
      </c>
      <c r="D8" s="155">
        <v>0.1057</v>
      </c>
      <c r="E8" s="156">
        <f>187.669*12.73</f>
        <v>2389.02637</v>
      </c>
      <c r="F8" s="156"/>
      <c r="G8" s="156"/>
      <c r="H8" s="157">
        <v>1.0</v>
      </c>
      <c r="I8" s="158">
        <f t="shared" ref="I8:I16" si="1">+D8*E8</f>
        <v>252.5200873</v>
      </c>
      <c r="J8" s="159">
        <f t="shared" ref="J8:J16" si="2">E8-I8</f>
        <v>2136.506283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</row>
    <row r="9" ht="26.25" customHeight="1">
      <c r="A9" s="153">
        <v>2.0</v>
      </c>
      <c r="B9" s="160" t="s">
        <v>76</v>
      </c>
      <c r="C9" s="160">
        <v>22.5</v>
      </c>
      <c r="D9" s="161">
        <v>0.1086</v>
      </c>
      <c r="E9" s="162">
        <f>216.328*18.193</f>
        <v>3935.655304</v>
      </c>
      <c r="F9" s="162"/>
      <c r="G9" s="162"/>
      <c r="H9" s="157">
        <v>18.193</v>
      </c>
      <c r="I9" s="158">
        <f t="shared" si="1"/>
        <v>427.412166</v>
      </c>
      <c r="J9" s="159">
        <f t="shared" si="2"/>
        <v>3508.243138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</row>
    <row r="10" ht="26.25" customHeight="1">
      <c r="A10" s="153">
        <v>3.0</v>
      </c>
      <c r="B10" s="160" t="s">
        <v>55</v>
      </c>
      <c r="C10" s="154">
        <v>29.5</v>
      </c>
      <c r="D10" s="155">
        <v>0.0155</v>
      </c>
      <c r="E10" s="156">
        <f>232.84*7.913</f>
        <v>1842.46292</v>
      </c>
      <c r="F10" s="156"/>
      <c r="G10" s="156"/>
      <c r="H10" s="157">
        <v>7.913</v>
      </c>
      <c r="I10" s="158">
        <f t="shared" si="1"/>
        <v>28.55817526</v>
      </c>
      <c r="J10" s="159">
        <f t="shared" si="2"/>
        <v>1813.904745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</row>
    <row r="11" ht="26.25" customHeight="1">
      <c r="A11" s="153">
        <v>4.0</v>
      </c>
      <c r="B11" s="160" t="s">
        <v>55</v>
      </c>
      <c r="C11" s="154">
        <v>29.5</v>
      </c>
      <c r="D11" s="155">
        <v>0.0155</v>
      </c>
      <c r="E11" s="162">
        <f>254.21*15.454</f>
        <v>3928.56134</v>
      </c>
      <c r="F11" s="162"/>
      <c r="G11" s="162"/>
      <c r="H11" s="157">
        <v>15.454</v>
      </c>
      <c r="I11" s="158">
        <f t="shared" si="1"/>
        <v>60.89270077</v>
      </c>
      <c r="J11" s="159">
        <f t="shared" si="2"/>
        <v>3867.668639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</row>
    <row r="12" ht="26.25" customHeight="1">
      <c r="A12" s="153">
        <v>5.0</v>
      </c>
      <c r="B12" s="160" t="s">
        <v>55</v>
      </c>
      <c r="C12" s="154">
        <v>29.5</v>
      </c>
      <c r="D12" s="155">
        <v>0.0155</v>
      </c>
      <c r="E12" s="162">
        <f>253.585*11.524</f>
        <v>2922.31354</v>
      </c>
      <c r="F12" s="162"/>
      <c r="G12" s="162"/>
      <c r="H12" s="157">
        <v>11.524</v>
      </c>
      <c r="I12" s="158">
        <f t="shared" si="1"/>
        <v>45.29585987</v>
      </c>
      <c r="J12" s="159">
        <f t="shared" si="2"/>
        <v>2877.01768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</row>
    <row r="13" ht="26.25" customHeight="1">
      <c r="A13" s="153">
        <v>6.0</v>
      </c>
      <c r="B13" s="160" t="s">
        <v>55</v>
      </c>
      <c r="C13" s="154">
        <v>29.5</v>
      </c>
      <c r="D13" s="155">
        <v>0.0155</v>
      </c>
      <c r="E13" s="162">
        <f>253.585*23.522</f>
        <v>5964.82637</v>
      </c>
      <c r="F13" s="162"/>
      <c r="G13" s="162"/>
      <c r="H13" s="157">
        <v>23.522</v>
      </c>
      <c r="I13" s="158">
        <f t="shared" si="1"/>
        <v>92.45480874</v>
      </c>
      <c r="J13" s="159">
        <f t="shared" si="2"/>
        <v>5872.371561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</row>
    <row r="14" ht="26.25" customHeight="1">
      <c r="A14" s="153">
        <v>7.0</v>
      </c>
      <c r="B14" s="160" t="s">
        <v>84</v>
      </c>
      <c r="C14" s="160">
        <v>31.5</v>
      </c>
      <c r="D14" s="161">
        <v>0.0146</v>
      </c>
      <c r="E14" s="162">
        <f>231.413*19.945</f>
        <v>4615.532285</v>
      </c>
      <c r="F14" s="162"/>
      <c r="G14" s="162"/>
      <c r="H14" s="157">
        <v>19.945</v>
      </c>
      <c r="I14" s="158">
        <f t="shared" si="1"/>
        <v>67.38677136</v>
      </c>
      <c r="J14" s="159">
        <f t="shared" si="2"/>
        <v>4548.145514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</row>
    <row r="15" ht="26.25" customHeight="1">
      <c r="A15" s="153">
        <v>8.0</v>
      </c>
      <c r="B15" s="160" t="s">
        <v>121</v>
      </c>
      <c r="C15" s="160">
        <v>40.5</v>
      </c>
      <c r="D15" s="161">
        <v>0.0169</v>
      </c>
      <c r="E15" s="162">
        <f>241.374*1.234</f>
        <v>297.855516</v>
      </c>
      <c r="F15" s="162"/>
      <c r="G15" s="162"/>
      <c r="H15" s="157">
        <v>1.234</v>
      </c>
      <c r="I15" s="158">
        <f t="shared" si="1"/>
        <v>5.03375822</v>
      </c>
      <c r="J15" s="159">
        <f t="shared" si="2"/>
        <v>292.8217578</v>
      </c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</row>
    <row r="16" ht="26.25" customHeight="1">
      <c r="A16" s="153">
        <v>9.0</v>
      </c>
      <c r="B16" s="160" t="s">
        <v>122</v>
      </c>
      <c r="C16" s="160">
        <v>40.5</v>
      </c>
      <c r="D16" s="161">
        <v>0.0148</v>
      </c>
      <c r="E16" s="162">
        <f>234.374*1.734</f>
        <v>406.404516</v>
      </c>
      <c r="F16" s="162"/>
      <c r="G16" s="162"/>
      <c r="H16" s="157">
        <v>1.734</v>
      </c>
      <c r="I16" s="158">
        <f t="shared" si="1"/>
        <v>6.014786837</v>
      </c>
      <c r="J16" s="159">
        <f t="shared" si="2"/>
        <v>400.3897292</v>
      </c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</row>
    <row r="17" ht="18.75" customHeight="1">
      <c r="A17" s="163"/>
      <c r="B17" s="164"/>
      <c r="C17" s="165"/>
      <c r="D17" s="166"/>
      <c r="E17" s="167">
        <f>SUM(E8:E16)</f>
        <v>26302.63816</v>
      </c>
      <c r="F17" s="168"/>
      <c r="G17" s="168"/>
      <c r="H17" s="169"/>
      <c r="I17" s="170">
        <f t="shared" ref="I17:J17" si="3">SUM(I8:I16)</f>
        <v>985.5691144</v>
      </c>
      <c r="J17" s="171">
        <f t="shared" si="3"/>
        <v>25317.06905</v>
      </c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</row>
    <row r="18" ht="18.75" customHeight="1">
      <c r="A18" s="172"/>
      <c r="B18" s="144"/>
      <c r="C18" s="144"/>
      <c r="D18" s="173"/>
      <c r="E18" s="174"/>
      <c r="F18" s="151"/>
      <c r="G18" s="151"/>
      <c r="H18" s="147"/>
      <c r="I18" s="175"/>
      <c r="J18" s="139"/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41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</row>
    <row r="21" ht="18.75" customHeight="1">
      <c r="A21" s="139" t="s">
        <v>11</v>
      </c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41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41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</row>
    <row r="23" ht="40.5" customHeight="1">
      <c r="A23" s="176"/>
      <c r="B23" s="160" t="s">
        <v>12</v>
      </c>
      <c r="C23" s="177" t="s">
        <v>62</v>
      </c>
      <c r="D23" s="52"/>
      <c r="E23" s="53"/>
      <c r="F23" s="178"/>
      <c r="G23" s="178"/>
      <c r="H23" s="179" t="s">
        <v>14</v>
      </c>
      <c r="I23" s="160" t="s">
        <v>15</v>
      </c>
      <c r="J23" s="160" t="s">
        <v>16</v>
      </c>
      <c r="K23" s="139"/>
      <c r="L23" s="160" t="s">
        <v>17</v>
      </c>
      <c r="M23" s="160" t="s">
        <v>15</v>
      </c>
      <c r="N23" s="176" t="s">
        <v>18</v>
      </c>
      <c r="O23" s="139"/>
      <c r="P23" s="139"/>
      <c r="Q23" s="180"/>
      <c r="R23" s="160" t="s">
        <v>17</v>
      </c>
      <c r="S23" s="160" t="s">
        <v>15</v>
      </c>
      <c r="T23" s="176" t="s">
        <v>18</v>
      </c>
      <c r="U23" s="139"/>
      <c r="V23" s="176" t="s">
        <v>19</v>
      </c>
      <c r="W23" s="176" t="s">
        <v>20</v>
      </c>
      <c r="X23" s="176" t="s">
        <v>21</v>
      </c>
      <c r="Y23" s="176" t="s">
        <v>123</v>
      </c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</row>
    <row r="24" ht="27.0" customHeight="1">
      <c r="A24" s="181">
        <v>1.0</v>
      </c>
      <c r="B24" s="182" t="s">
        <v>80</v>
      </c>
      <c r="C24" s="183">
        <v>78.0</v>
      </c>
      <c r="D24" s="183">
        <v>205.0</v>
      </c>
      <c r="E24" s="183">
        <v>226.0</v>
      </c>
      <c r="F24" s="183">
        <f t="shared" ref="F24:F109" si="5">VALUE(IF(RIGHT(B24, 1)="%", RIGHT(B24, 3), 0))</f>
        <v>0.8</v>
      </c>
      <c r="G24" s="183">
        <f t="shared" ref="G24:G109" si="6">+Q24*C24/100*D24/100*E24/100</f>
        <v>59.62671</v>
      </c>
      <c r="H24" s="184">
        <f t="shared" ref="H24:H109" si="7">IF(F24=0, G24, F24*G24)</f>
        <v>47.701368</v>
      </c>
      <c r="I24" s="183">
        <v>1.0</v>
      </c>
      <c r="J24" s="193">
        <f t="shared" ref="J24:J109" si="8">+I24*H24</f>
        <v>47.701368</v>
      </c>
      <c r="K24" s="186"/>
      <c r="L24" s="187">
        <f>D24*25.4/1000</f>
        <v>5.207</v>
      </c>
      <c r="M24" s="181">
        <f>+I24</f>
        <v>1</v>
      </c>
      <c r="N24" s="181">
        <f>M24*L24</f>
        <v>5.207</v>
      </c>
      <c r="O24" s="186"/>
      <c r="P24" s="186"/>
      <c r="Q24" s="188">
        <v>16.5</v>
      </c>
      <c r="R24" s="187">
        <f t="shared" ref="R24:R110" si="9">E24/100</f>
        <v>2.26</v>
      </c>
      <c r="S24" s="181">
        <f t="shared" ref="S24:S110" si="10">I24</f>
        <v>1</v>
      </c>
      <c r="T24" s="181">
        <f t="shared" ref="T24:T110" si="11">S24*R24</f>
        <v>2.26</v>
      </c>
      <c r="U24" s="278">
        <f t="shared" ref="U24:U109" si="12">Q24*C24/100*D24/100*E24/100</f>
        <v>59.62671</v>
      </c>
      <c r="V24" s="187">
        <f t="shared" ref="V24:W24" si="4">C24/100</f>
        <v>0.78</v>
      </c>
      <c r="W24" s="187">
        <f t="shared" si="4"/>
        <v>2.05</v>
      </c>
      <c r="X24" s="187">
        <f t="shared" ref="X24:X110" si="14">T24</f>
        <v>2.26</v>
      </c>
      <c r="Y24" s="189">
        <f t="shared" ref="Y24:Y110" si="15">V24*W24*X24</f>
        <v>3.61374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</row>
    <row r="25" ht="27.0" customHeight="1">
      <c r="A25" s="181">
        <v>2.0</v>
      </c>
      <c r="B25" s="191" t="s">
        <v>77</v>
      </c>
      <c r="C25" s="191">
        <v>95.0</v>
      </c>
      <c r="D25" s="191">
        <v>205.0</v>
      </c>
      <c r="E25" s="191">
        <v>237.0</v>
      </c>
      <c r="F25" s="191">
        <f t="shared" si="5"/>
        <v>0</v>
      </c>
      <c r="G25" s="191">
        <f t="shared" si="6"/>
        <v>76.1569875</v>
      </c>
      <c r="H25" s="219">
        <f t="shared" si="7"/>
        <v>76.1569875</v>
      </c>
      <c r="I25" s="218">
        <v>1.0</v>
      </c>
      <c r="J25" s="193">
        <f t="shared" si="8"/>
        <v>76.1569875</v>
      </c>
      <c r="K25" s="186"/>
      <c r="L25" s="187"/>
      <c r="M25" s="181"/>
      <c r="N25" s="181"/>
      <c r="O25" s="186"/>
      <c r="P25" s="186"/>
      <c r="Q25" s="188">
        <v>16.5</v>
      </c>
      <c r="R25" s="187">
        <f t="shared" si="9"/>
        <v>2.37</v>
      </c>
      <c r="S25" s="181">
        <f t="shared" si="10"/>
        <v>1</v>
      </c>
      <c r="T25" s="181">
        <f t="shared" si="11"/>
        <v>2.37</v>
      </c>
      <c r="U25" s="278">
        <f t="shared" si="12"/>
        <v>76.1569875</v>
      </c>
      <c r="V25" s="187">
        <f t="shared" ref="V25:W25" si="13">C25/100</f>
        <v>0.95</v>
      </c>
      <c r="W25" s="187">
        <f t="shared" si="13"/>
        <v>2.05</v>
      </c>
      <c r="X25" s="187">
        <f t="shared" si="14"/>
        <v>2.37</v>
      </c>
      <c r="Y25" s="189">
        <f t="shared" si="15"/>
        <v>4.615575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</row>
    <row r="26" ht="27.0" customHeight="1">
      <c r="A26" s="181">
        <v>3.0</v>
      </c>
      <c r="B26" s="191" t="s">
        <v>77</v>
      </c>
      <c r="C26" s="191">
        <v>95.0</v>
      </c>
      <c r="D26" s="191">
        <v>205.0</v>
      </c>
      <c r="E26" s="191">
        <v>226.0</v>
      </c>
      <c r="F26" s="191">
        <f t="shared" si="5"/>
        <v>0</v>
      </c>
      <c r="G26" s="191">
        <f t="shared" si="6"/>
        <v>72.622275</v>
      </c>
      <c r="H26" s="219">
        <f t="shared" si="7"/>
        <v>72.622275</v>
      </c>
      <c r="I26" s="218">
        <v>9.0</v>
      </c>
      <c r="J26" s="193">
        <f t="shared" si="8"/>
        <v>653.600475</v>
      </c>
      <c r="K26" s="186"/>
      <c r="L26" s="187">
        <f t="shared" ref="L26:L41" si="17">D26*25.4/1000</f>
        <v>5.207</v>
      </c>
      <c r="M26" s="181">
        <f t="shared" ref="M26:M69" si="18">+I26</f>
        <v>9</v>
      </c>
      <c r="N26" s="181">
        <f t="shared" ref="N26:N41" si="19">M26*L26</f>
        <v>46.863</v>
      </c>
      <c r="O26" s="186"/>
      <c r="P26" s="186"/>
      <c r="Q26" s="188">
        <v>16.5</v>
      </c>
      <c r="R26" s="187">
        <f t="shared" si="9"/>
        <v>2.26</v>
      </c>
      <c r="S26" s="181">
        <f t="shared" si="10"/>
        <v>9</v>
      </c>
      <c r="T26" s="181">
        <f t="shared" si="11"/>
        <v>20.34</v>
      </c>
      <c r="U26" s="278">
        <f t="shared" si="12"/>
        <v>72.622275</v>
      </c>
      <c r="V26" s="187">
        <f t="shared" ref="V26:W26" si="16">C26/100</f>
        <v>0.95</v>
      </c>
      <c r="W26" s="187">
        <f t="shared" si="16"/>
        <v>2.05</v>
      </c>
      <c r="X26" s="187">
        <f t="shared" si="14"/>
        <v>20.34</v>
      </c>
      <c r="Y26" s="189">
        <f t="shared" si="15"/>
        <v>39.61215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</row>
    <row r="27" ht="27.0" customHeight="1">
      <c r="A27" s="181">
        <v>4.0</v>
      </c>
      <c r="B27" s="191" t="s">
        <v>77</v>
      </c>
      <c r="C27" s="191">
        <v>97.0</v>
      </c>
      <c r="D27" s="191">
        <v>205.0</v>
      </c>
      <c r="E27" s="191">
        <v>226.0</v>
      </c>
      <c r="F27" s="191">
        <f t="shared" si="5"/>
        <v>0</v>
      </c>
      <c r="G27" s="191">
        <f t="shared" si="6"/>
        <v>74.151165</v>
      </c>
      <c r="H27" s="219">
        <f t="shared" si="7"/>
        <v>74.151165</v>
      </c>
      <c r="I27" s="218">
        <v>1.0</v>
      </c>
      <c r="J27" s="193">
        <f t="shared" si="8"/>
        <v>74.151165</v>
      </c>
      <c r="K27" s="186"/>
      <c r="L27" s="187">
        <f t="shared" si="17"/>
        <v>5.207</v>
      </c>
      <c r="M27" s="181">
        <f t="shared" si="18"/>
        <v>1</v>
      </c>
      <c r="N27" s="181">
        <f t="shared" si="19"/>
        <v>5.207</v>
      </c>
      <c r="O27" s="186"/>
      <c r="P27" s="186"/>
      <c r="Q27" s="188">
        <v>16.5</v>
      </c>
      <c r="R27" s="187">
        <f t="shared" si="9"/>
        <v>2.26</v>
      </c>
      <c r="S27" s="181">
        <f t="shared" si="10"/>
        <v>1</v>
      </c>
      <c r="T27" s="181">
        <f t="shared" si="11"/>
        <v>2.26</v>
      </c>
      <c r="U27" s="278">
        <f t="shared" si="12"/>
        <v>74.151165</v>
      </c>
      <c r="V27" s="187">
        <f t="shared" ref="V27:W27" si="20">C27/100</f>
        <v>0.97</v>
      </c>
      <c r="W27" s="187">
        <f t="shared" si="20"/>
        <v>2.05</v>
      </c>
      <c r="X27" s="187">
        <f t="shared" si="14"/>
        <v>2.26</v>
      </c>
      <c r="Y27" s="189">
        <f t="shared" si="15"/>
        <v>4.49401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</row>
    <row r="28" ht="27.0" customHeight="1">
      <c r="A28" s="181">
        <v>5.0</v>
      </c>
      <c r="B28" s="191" t="s">
        <v>77</v>
      </c>
      <c r="C28" s="191">
        <v>96.0</v>
      </c>
      <c r="D28" s="191">
        <v>205.0</v>
      </c>
      <c r="E28" s="191">
        <v>226.0</v>
      </c>
      <c r="F28" s="191">
        <f t="shared" si="5"/>
        <v>0</v>
      </c>
      <c r="G28" s="191">
        <f t="shared" si="6"/>
        <v>73.38672</v>
      </c>
      <c r="H28" s="219">
        <f t="shared" si="7"/>
        <v>73.38672</v>
      </c>
      <c r="I28" s="218">
        <v>6.0</v>
      </c>
      <c r="J28" s="193">
        <f t="shared" si="8"/>
        <v>440.32032</v>
      </c>
      <c r="K28" s="186"/>
      <c r="L28" s="187">
        <f t="shared" si="17"/>
        <v>5.207</v>
      </c>
      <c r="M28" s="181">
        <f t="shared" si="18"/>
        <v>6</v>
      </c>
      <c r="N28" s="181">
        <f t="shared" si="19"/>
        <v>31.242</v>
      </c>
      <c r="O28" s="186"/>
      <c r="P28" s="186"/>
      <c r="Q28" s="188">
        <v>16.5</v>
      </c>
      <c r="R28" s="187">
        <f t="shared" si="9"/>
        <v>2.26</v>
      </c>
      <c r="S28" s="181">
        <f t="shared" si="10"/>
        <v>6</v>
      </c>
      <c r="T28" s="181">
        <f t="shared" si="11"/>
        <v>13.56</v>
      </c>
      <c r="U28" s="278">
        <f t="shared" si="12"/>
        <v>73.38672</v>
      </c>
      <c r="V28" s="187">
        <f t="shared" ref="V28:W28" si="21">C28/100</f>
        <v>0.96</v>
      </c>
      <c r="W28" s="187">
        <f t="shared" si="21"/>
        <v>2.05</v>
      </c>
      <c r="X28" s="187">
        <f t="shared" si="14"/>
        <v>13.56</v>
      </c>
      <c r="Y28" s="189">
        <f t="shared" si="15"/>
        <v>26.68608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6.0</v>
      </c>
      <c r="B29" s="191" t="s">
        <v>77</v>
      </c>
      <c r="C29" s="191">
        <v>98.0</v>
      </c>
      <c r="D29" s="191">
        <v>205.0</v>
      </c>
      <c r="E29" s="191">
        <v>226.0</v>
      </c>
      <c r="F29" s="191">
        <f t="shared" si="5"/>
        <v>0</v>
      </c>
      <c r="G29" s="191">
        <f t="shared" si="6"/>
        <v>74.91561</v>
      </c>
      <c r="H29" s="219">
        <f t="shared" si="7"/>
        <v>74.91561</v>
      </c>
      <c r="I29" s="218">
        <v>1.0</v>
      </c>
      <c r="J29" s="193">
        <f t="shared" si="8"/>
        <v>74.91561</v>
      </c>
      <c r="K29" s="186"/>
      <c r="L29" s="187">
        <f t="shared" si="17"/>
        <v>5.207</v>
      </c>
      <c r="M29" s="181">
        <f t="shared" si="18"/>
        <v>1</v>
      </c>
      <c r="N29" s="181">
        <f t="shared" si="19"/>
        <v>5.207</v>
      </c>
      <c r="O29" s="186"/>
      <c r="P29" s="186"/>
      <c r="Q29" s="188">
        <v>16.5</v>
      </c>
      <c r="R29" s="187">
        <f t="shared" si="9"/>
        <v>2.26</v>
      </c>
      <c r="S29" s="181">
        <f t="shared" si="10"/>
        <v>1</v>
      </c>
      <c r="T29" s="181">
        <f t="shared" si="11"/>
        <v>2.26</v>
      </c>
      <c r="U29" s="278">
        <f t="shared" si="12"/>
        <v>74.91561</v>
      </c>
      <c r="V29" s="187">
        <f t="shared" ref="V29:W29" si="22">C29/100</f>
        <v>0.98</v>
      </c>
      <c r="W29" s="187">
        <f t="shared" si="22"/>
        <v>2.05</v>
      </c>
      <c r="X29" s="187">
        <f t="shared" si="14"/>
        <v>2.26</v>
      </c>
      <c r="Y29" s="189">
        <f t="shared" si="15"/>
        <v>4.54034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7.0</v>
      </c>
      <c r="B30" s="191" t="s">
        <v>77</v>
      </c>
      <c r="C30" s="191">
        <v>103.0</v>
      </c>
      <c r="D30" s="191">
        <v>205.0</v>
      </c>
      <c r="E30" s="191">
        <v>227.0</v>
      </c>
      <c r="F30" s="191">
        <f t="shared" si="5"/>
        <v>0</v>
      </c>
      <c r="G30" s="191">
        <f t="shared" si="6"/>
        <v>79.0862325</v>
      </c>
      <c r="H30" s="219">
        <f t="shared" si="7"/>
        <v>79.0862325</v>
      </c>
      <c r="I30" s="218">
        <v>1.0</v>
      </c>
      <c r="J30" s="193">
        <f t="shared" si="8"/>
        <v>79.0862325</v>
      </c>
      <c r="K30" s="186"/>
      <c r="L30" s="187">
        <f t="shared" si="17"/>
        <v>5.207</v>
      </c>
      <c r="M30" s="181">
        <f t="shared" si="18"/>
        <v>1</v>
      </c>
      <c r="N30" s="181">
        <f t="shared" si="19"/>
        <v>5.207</v>
      </c>
      <c r="O30" s="186"/>
      <c r="P30" s="186"/>
      <c r="Q30" s="188">
        <v>16.5</v>
      </c>
      <c r="R30" s="187">
        <f t="shared" si="9"/>
        <v>2.27</v>
      </c>
      <c r="S30" s="181">
        <f t="shared" si="10"/>
        <v>1</v>
      </c>
      <c r="T30" s="181">
        <f t="shared" si="11"/>
        <v>2.27</v>
      </c>
      <c r="U30" s="278">
        <f t="shared" si="12"/>
        <v>79.0862325</v>
      </c>
      <c r="V30" s="187">
        <f t="shared" ref="V30:W30" si="23">C30/100</f>
        <v>1.03</v>
      </c>
      <c r="W30" s="187">
        <f t="shared" si="23"/>
        <v>2.05</v>
      </c>
      <c r="X30" s="187">
        <f t="shared" si="14"/>
        <v>2.27</v>
      </c>
      <c r="Y30" s="189">
        <f t="shared" si="15"/>
        <v>4.793105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8.0</v>
      </c>
      <c r="B31" s="191" t="s">
        <v>77</v>
      </c>
      <c r="C31" s="191">
        <v>93.0</v>
      </c>
      <c r="D31" s="191">
        <v>205.0</v>
      </c>
      <c r="E31" s="191">
        <v>226.0</v>
      </c>
      <c r="F31" s="191">
        <f t="shared" si="5"/>
        <v>0</v>
      </c>
      <c r="G31" s="191">
        <f t="shared" si="6"/>
        <v>71.093385</v>
      </c>
      <c r="H31" s="219">
        <f t="shared" si="7"/>
        <v>71.093385</v>
      </c>
      <c r="I31" s="218">
        <v>1.0</v>
      </c>
      <c r="J31" s="193">
        <f t="shared" si="8"/>
        <v>71.093385</v>
      </c>
      <c r="K31" s="186"/>
      <c r="L31" s="187">
        <f t="shared" si="17"/>
        <v>5.207</v>
      </c>
      <c r="M31" s="181">
        <f t="shared" si="18"/>
        <v>1</v>
      </c>
      <c r="N31" s="181">
        <f t="shared" si="19"/>
        <v>5.207</v>
      </c>
      <c r="O31" s="186"/>
      <c r="P31" s="186"/>
      <c r="Q31" s="188">
        <v>16.5</v>
      </c>
      <c r="R31" s="187">
        <f t="shared" si="9"/>
        <v>2.26</v>
      </c>
      <c r="S31" s="181">
        <f t="shared" si="10"/>
        <v>1</v>
      </c>
      <c r="T31" s="181">
        <f t="shared" si="11"/>
        <v>2.26</v>
      </c>
      <c r="U31" s="278">
        <f t="shared" si="12"/>
        <v>71.093385</v>
      </c>
      <c r="V31" s="187">
        <f t="shared" ref="V31:W31" si="24">C31/100</f>
        <v>0.93</v>
      </c>
      <c r="W31" s="187">
        <f t="shared" si="24"/>
        <v>2.05</v>
      </c>
      <c r="X31" s="187">
        <f t="shared" si="14"/>
        <v>2.26</v>
      </c>
      <c r="Y31" s="189">
        <f t="shared" si="15"/>
        <v>4.30869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9.0</v>
      </c>
      <c r="B32" s="191" t="s">
        <v>77</v>
      </c>
      <c r="C32" s="191">
        <v>94.0</v>
      </c>
      <c r="D32" s="191">
        <v>205.0</v>
      </c>
      <c r="E32" s="191">
        <v>226.0</v>
      </c>
      <c r="F32" s="191">
        <f t="shared" si="5"/>
        <v>0</v>
      </c>
      <c r="G32" s="191">
        <f t="shared" si="6"/>
        <v>71.85783</v>
      </c>
      <c r="H32" s="219">
        <f t="shared" si="7"/>
        <v>71.85783</v>
      </c>
      <c r="I32" s="218">
        <v>4.0</v>
      </c>
      <c r="J32" s="193">
        <f t="shared" si="8"/>
        <v>287.43132</v>
      </c>
      <c r="K32" s="186"/>
      <c r="L32" s="187">
        <f t="shared" si="17"/>
        <v>5.207</v>
      </c>
      <c r="M32" s="181">
        <f t="shared" si="18"/>
        <v>4</v>
      </c>
      <c r="N32" s="181">
        <f t="shared" si="19"/>
        <v>20.828</v>
      </c>
      <c r="O32" s="186"/>
      <c r="P32" s="186"/>
      <c r="Q32" s="188">
        <v>16.5</v>
      </c>
      <c r="R32" s="187">
        <f t="shared" si="9"/>
        <v>2.26</v>
      </c>
      <c r="S32" s="181">
        <f t="shared" si="10"/>
        <v>4</v>
      </c>
      <c r="T32" s="181">
        <f t="shared" si="11"/>
        <v>9.04</v>
      </c>
      <c r="U32" s="278">
        <f t="shared" si="12"/>
        <v>71.85783</v>
      </c>
      <c r="V32" s="187">
        <f t="shared" ref="V32:W32" si="25">C32/100</f>
        <v>0.94</v>
      </c>
      <c r="W32" s="187">
        <f t="shared" si="25"/>
        <v>2.05</v>
      </c>
      <c r="X32" s="187">
        <f t="shared" si="14"/>
        <v>9.04</v>
      </c>
      <c r="Y32" s="189">
        <f t="shared" si="15"/>
        <v>17.42008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10.0</v>
      </c>
      <c r="B33" s="191" t="s">
        <v>77</v>
      </c>
      <c r="C33" s="191">
        <v>95.0</v>
      </c>
      <c r="D33" s="191">
        <v>205.0</v>
      </c>
      <c r="E33" s="191">
        <v>227.0</v>
      </c>
      <c r="F33" s="191">
        <f t="shared" si="5"/>
        <v>0</v>
      </c>
      <c r="G33" s="191">
        <f t="shared" si="6"/>
        <v>72.9436125</v>
      </c>
      <c r="H33" s="219">
        <f t="shared" si="7"/>
        <v>72.9436125</v>
      </c>
      <c r="I33" s="218">
        <v>3.0</v>
      </c>
      <c r="J33" s="193">
        <f t="shared" si="8"/>
        <v>218.8308375</v>
      </c>
      <c r="K33" s="186"/>
      <c r="L33" s="187">
        <f t="shared" si="17"/>
        <v>5.207</v>
      </c>
      <c r="M33" s="181">
        <f t="shared" si="18"/>
        <v>3</v>
      </c>
      <c r="N33" s="181">
        <f t="shared" si="19"/>
        <v>15.621</v>
      </c>
      <c r="O33" s="186"/>
      <c r="P33" s="186"/>
      <c r="Q33" s="188">
        <v>16.5</v>
      </c>
      <c r="R33" s="187">
        <f t="shared" si="9"/>
        <v>2.27</v>
      </c>
      <c r="S33" s="181">
        <f t="shared" si="10"/>
        <v>3</v>
      </c>
      <c r="T33" s="181">
        <f t="shared" si="11"/>
        <v>6.81</v>
      </c>
      <c r="U33" s="278">
        <f t="shared" si="12"/>
        <v>72.9436125</v>
      </c>
      <c r="V33" s="187">
        <f t="shared" ref="V33:W33" si="26">C33/100</f>
        <v>0.95</v>
      </c>
      <c r="W33" s="187">
        <f t="shared" si="26"/>
        <v>2.05</v>
      </c>
      <c r="X33" s="187">
        <f t="shared" si="14"/>
        <v>6.81</v>
      </c>
      <c r="Y33" s="189">
        <f t="shared" si="15"/>
        <v>13.262475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11.0</v>
      </c>
      <c r="B34" s="182" t="s">
        <v>79</v>
      </c>
      <c r="C34" s="183">
        <v>90.0</v>
      </c>
      <c r="D34" s="183">
        <v>207.0</v>
      </c>
      <c r="E34" s="183">
        <v>286.0</v>
      </c>
      <c r="F34" s="183">
        <f t="shared" si="5"/>
        <v>0.8</v>
      </c>
      <c r="G34" s="183">
        <f t="shared" si="6"/>
        <v>119.88405</v>
      </c>
      <c r="H34" s="184">
        <f t="shared" si="7"/>
        <v>95.90724</v>
      </c>
      <c r="I34" s="183">
        <v>1.0</v>
      </c>
      <c r="J34" s="193">
        <f t="shared" si="8"/>
        <v>95.90724</v>
      </c>
      <c r="K34" s="186"/>
      <c r="L34" s="187">
        <f t="shared" si="17"/>
        <v>5.2578</v>
      </c>
      <c r="M34" s="181">
        <f t="shared" si="18"/>
        <v>1</v>
      </c>
      <c r="N34" s="181">
        <f t="shared" si="19"/>
        <v>5.2578</v>
      </c>
      <c r="O34" s="186"/>
      <c r="P34" s="186"/>
      <c r="Q34" s="188">
        <v>22.5</v>
      </c>
      <c r="R34" s="187">
        <f t="shared" si="9"/>
        <v>2.86</v>
      </c>
      <c r="S34" s="181">
        <f t="shared" si="10"/>
        <v>1</v>
      </c>
      <c r="T34" s="181">
        <f t="shared" si="11"/>
        <v>2.86</v>
      </c>
      <c r="U34" s="278">
        <f t="shared" si="12"/>
        <v>119.88405</v>
      </c>
      <c r="V34" s="187">
        <f t="shared" ref="V34:W34" si="27">C34/100</f>
        <v>0.9</v>
      </c>
      <c r="W34" s="187">
        <f t="shared" si="27"/>
        <v>2.07</v>
      </c>
      <c r="X34" s="187">
        <f t="shared" si="14"/>
        <v>2.86</v>
      </c>
      <c r="Y34" s="189">
        <f t="shared" si="15"/>
        <v>5.32818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12.0</v>
      </c>
      <c r="B35" s="191" t="s">
        <v>76</v>
      </c>
      <c r="C35" s="191">
        <v>102.0</v>
      </c>
      <c r="D35" s="191">
        <v>207.0</v>
      </c>
      <c r="E35" s="191">
        <v>286.0</v>
      </c>
      <c r="F35" s="191">
        <f t="shared" si="5"/>
        <v>0</v>
      </c>
      <c r="G35" s="191">
        <f t="shared" si="6"/>
        <v>135.86859</v>
      </c>
      <c r="H35" s="219">
        <f t="shared" si="7"/>
        <v>135.86859</v>
      </c>
      <c r="I35" s="218">
        <v>13.0</v>
      </c>
      <c r="J35" s="193">
        <f t="shared" si="8"/>
        <v>1766.29167</v>
      </c>
      <c r="K35" s="186"/>
      <c r="L35" s="187">
        <f t="shared" si="17"/>
        <v>5.2578</v>
      </c>
      <c r="M35" s="181">
        <f t="shared" si="18"/>
        <v>13</v>
      </c>
      <c r="N35" s="181">
        <f t="shared" si="19"/>
        <v>68.3514</v>
      </c>
      <c r="O35" s="186"/>
      <c r="P35" s="186"/>
      <c r="Q35" s="188">
        <v>22.5</v>
      </c>
      <c r="R35" s="187">
        <f t="shared" si="9"/>
        <v>2.86</v>
      </c>
      <c r="S35" s="181">
        <f t="shared" si="10"/>
        <v>13</v>
      </c>
      <c r="T35" s="181">
        <f t="shared" si="11"/>
        <v>37.18</v>
      </c>
      <c r="U35" s="278">
        <f t="shared" si="12"/>
        <v>135.86859</v>
      </c>
      <c r="V35" s="187">
        <f t="shared" ref="V35:W35" si="28">C35/100</f>
        <v>1.02</v>
      </c>
      <c r="W35" s="187">
        <f t="shared" si="28"/>
        <v>2.07</v>
      </c>
      <c r="X35" s="187">
        <f t="shared" si="14"/>
        <v>37.18</v>
      </c>
      <c r="Y35" s="189">
        <f t="shared" si="15"/>
        <v>78.501852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13.0</v>
      </c>
      <c r="B36" s="191" t="s">
        <v>76</v>
      </c>
      <c r="C36" s="191">
        <v>105.0</v>
      </c>
      <c r="D36" s="191">
        <v>207.0</v>
      </c>
      <c r="E36" s="191">
        <v>286.0</v>
      </c>
      <c r="F36" s="191">
        <f t="shared" si="5"/>
        <v>0</v>
      </c>
      <c r="G36" s="191">
        <f t="shared" si="6"/>
        <v>139.864725</v>
      </c>
      <c r="H36" s="219">
        <f t="shared" si="7"/>
        <v>139.864725</v>
      </c>
      <c r="I36" s="218">
        <v>2.0</v>
      </c>
      <c r="J36" s="193">
        <f t="shared" si="8"/>
        <v>279.72945</v>
      </c>
      <c r="K36" s="186"/>
      <c r="L36" s="187">
        <f t="shared" si="17"/>
        <v>5.2578</v>
      </c>
      <c r="M36" s="181">
        <f t="shared" si="18"/>
        <v>2</v>
      </c>
      <c r="N36" s="181">
        <f t="shared" si="19"/>
        <v>10.5156</v>
      </c>
      <c r="O36" s="186"/>
      <c r="P36" s="186"/>
      <c r="Q36" s="188">
        <v>22.5</v>
      </c>
      <c r="R36" s="187">
        <f t="shared" si="9"/>
        <v>2.86</v>
      </c>
      <c r="S36" s="181">
        <f t="shared" si="10"/>
        <v>2</v>
      </c>
      <c r="T36" s="181">
        <f t="shared" si="11"/>
        <v>5.72</v>
      </c>
      <c r="U36" s="278">
        <f t="shared" si="12"/>
        <v>139.864725</v>
      </c>
      <c r="V36" s="187">
        <f t="shared" ref="V36:W36" si="29">C36/100</f>
        <v>1.05</v>
      </c>
      <c r="W36" s="187">
        <f t="shared" si="29"/>
        <v>2.07</v>
      </c>
      <c r="X36" s="187">
        <f t="shared" si="14"/>
        <v>5.72</v>
      </c>
      <c r="Y36" s="189">
        <f t="shared" si="15"/>
        <v>12.43242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14.0</v>
      </c>
      <c r="B37" s="191" t="s">
        <v>76</v>
      </c>
      <c r="C37" s="191">
        <v>100.0</v>
      </c>
      <c r="D37" s="191">
        <v>207.0</v>
      </c>
      <c r="E37" s="191">
        <v>286.0</v>
      </c>
      <c r="F37" s="191">
        <f t="shared" si="5"/>
        <v>0</v>
      </c>
      <c r="G37" s="191">
        <f t="shared" si="6"/>
        <v>133.2045</v>
      </c>
      <c r="H37" s="219">
        <f t="shared" si="7"/>
        <v>133.2045</v>
      </c>
      <c r="I37" s="218">
        <v>5.0</v>
      </c>
      <c r="J37" s="193">
        <f t="shared" si="8"/>
        <v>666.0225</v>
      </c>
      <c r="K37" s="186"/>
      <c r="L37" s="187">
        <f t="shared" si="17"/>
        <v>5.2578</v>
      </c>
      <c r="M37" s="181">
        <f t="shared" si="18"/>
        <v>5</v>
      </c>
      <c r="N37" s="181">
        <f t="shared" si="19"/>
        <v>26.289</v>
      </c>
      <c r="O37" s="186"/>
      <c r="P37" s="186"/>
      <c r="Q37" s="188">
        <v>22.5</v>
      </c>
      <c r="R37" s="187">
        <f t="shared" si="9"/>
        <v>2.86</v>
      </c>
      <c r="S37" s="181">
        <f t="shared" si="10"/>
        <v>5</v>
      </c>
      <c r="T37" s="181">
        <f t="shared" si="11"/>
        <v>14.3</v>
      </c>
      <c r="U37" s="278">
        <f t="shared" si="12"/>
        <v>133.2045</v>
      </c>
      <c r="V37" s="187">
        <f t="shared" ref="V37:W37" si="30">C37/100</f>
        <v>1</v>
      </c>
      <c r="W37" s="187">
        <f t="shared" si="30"/>
        <v>2.07</v>
      </c>
      <c r="X37" s="187">
        <f t="shared" si="14"/>
        <v>14.3</v>
      </c>
      <c r="Y37" s="189">
        <f t="shared" si="15"/>
        <v>29.601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15.0</v>
      </c>
      <c r="B38" s="191" t="s">
        <v>76</v>
      </c>
      <c r="C38" s="191">
        <v>101.0</v>
      </c>
      <c r="D38" s="191">
        <v>207.0</v>
      </c>
      <c r="E38" s="191">
        <v>286.0</v>
      </c>
      <c r="F38" s="191">
        <f t="shared" si="5"/>
        <v>0</v>
      </c>
      <c r="G38" s="191">
        <f t="shared" si="6"/>
        <v>134.536545</v>
      </c>
      <c r="H38" s="219">
        <f t="shared" si="7"/>
        <v>134.536545</v>
      </c>
      <c r="I38" s="218">
        <v>2.0</v>
      </c>
      <c r="J38" s="193">
        <f t="shared" si="8"/>
        <v>269.07309</v>
      </c>
      <c r="K38" s="186"/>
      <c r="L38" s="187">
        <f t="shared" si="17"/>
        <v>5.2578</v>
      </c>
      <c r="M38" s="181">
        <f t="shared" si="18"/>
        <v>2</v>
      </c>
      <c r="N38" s="181">
        <f t="shared" si="19"/>
        <v>10.5156</v>
      </c>
      <c r="O38" s="186"/>
      <c r="P38" s="186"/>
      <c r="Q38" s="188">
        <v>22.5</v>
      </c>
      <c r="R38" s="187">
        <f t="shared" si="9"/>
        <v>2.86</v>
      </c>
      <c r="S38" s="181">
        <f t="shared" si="10"/>
        <v>2</v>
      </c>
      <c r="T38" s="181">
        <f t="shared" si="11"/>
        <v>5.72</v>
      </c>
      <c r="U38" s="278">
        <f t="shared" si="12"/>
        <v>134.536545</v>
      </c>
      <c r="V38" s="187">
        <f t="shared" ref="V38:W38" si="31">C38/100</f>
        <v>1.01</v>
      </c>
      <c r="W38" s="187">
        <f t="shared" si="31"/>
        <v>2.07</v>
      </c>
      <c r="X38" s="187">
        <f t="shared" si="14"/>
        <v>5.72</v>
      </c>
      <c r="Y38" s="189">
        <f t="shared" si="15"/>
        <v>11.958804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16.0</v>
      </c>
      <c r="B39" s="191" t="s">
        <v>76</v>
      </c>
      <c r="C39" s="191">
        <v>91.0</v>
      </c>
      <c r="D39" s="191">
        <v>207.0</v>
      </c>
      <c r="E39" s="191">
        <v>285.0</v>
      </c>
      <c r="F39" s="191">
        <f t="shared" si="5"/>
        <v>0</v>
      </c>
      <c r="G39" s="191">
        <f t="shared" si="6"/>
        <v>120.7922625</v>
      </c>
      <c r="H39" s="219">
        <f t="shared" si="7"/>
        <v>120.7922625</v>
      </c>
      <c r="I39" s="218">
        <v>1.0</v>
      </c>
      <c r="J39" s="193">
        <f t="shared" si="8"/>
        <v>120.7922625</v>
      </c>
      <c r="K39" s="186"/>
      <c r="L39" s="187">
        <f t="shared" si="17"/>
        <v>5.2578</v>
      </c>
      <c r="M39" s="181">
        <f t="shared" si="18"/>
        <v>1</v>
      </c>
      <c r="N39" s="181">
        <f t="shared" si="19"/>
        <v>5.2578</v>
      </c>
      <c r="O39" s="186"/>
      <c r="P39" s="186"/>
      <c r="Q39" s="188">
        <v>22.5</v>
      </c>
      <c r="R39" s="187">
        <f t="shared" si="9"/>
        <v>2.85</v>
      </c>
      <c r="S39" s="181">
        <f t="shared" si="10"/>
        <v>1</v>
      </c>
      <c r="T39" s="181">
        <f t="shared" si="11"/>
        <v>2.85</v>
      </c>
      <c r="U39" s="278">
        <f t="shared" si="12"/>
        <v>120.7922625</v>
      </c>
      <c r="V39" s="187">
        <f t="shared" ref="V39:W39" si="32">C39/100</f>
        <v>0.91</v>
      </c>
      <c r="W39" s="187">
        <f t="shared" si="32"/>
        <v>2.07</v>
      </c>
      <c r="X39" s="187">
        <f t="shared" si="14"/>
        <v>2.85</v>
      </c>
      <c r="Y39" s="189">
        <f t="shared" si="15"/>
        <v>5.368545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17.0</v>
      </c>
      <c r="B40" s="191" t="s">
        <v>76</v>
      </c>
      <c r="C40" s="191">
        <v>68.0</v>
      </c>
      <c r="D40" s="191">
        <v>207.0</v>
      </c>
      <c r="E40" s="191">
        <v>124.0</v>
      </c>
      <c r="F40" s="191">
        <f t="shared" si="5"/>
        <v>0</v>
      </c>
      <c r="G40" s="191">
        <f t="shared" si="6"/>
        <v>39.27204</v>
      </c>
      <c r="H40" s="219">
        <f t="shared" si="7"/>
        <v>39.27204</v>
      </c>
      <c r="I40" s="218">
        <v>1.0</v>
      </c>
      <c r="J40" s="193">
        <f t="shared" si="8"/>
        <v>39.27204</v>
      </c>
      <c r="K40" s="186"/>
      <c r="L40" s="187">
        <f t="shared" si="17"/>
        <v>5.2578</v>
      </c>
      <c r="M40" s="181">
        <f t="shared" si="18"/>
        <v>1</v>
      </c>
      <c r="N40" s="181">
        <f t="shared" si="19"/>
        <v>5.2578</v>
      </c>
      <c r="O40" s="186"/>
      <c r="P40" s="186"/>
      <c r="Q40" s="188">
        <v>22.5</v>
      </c>
      <c r="R40" s="187">
        <f t="shared" si="9"/>
        <v>1.24</v>
      </c>
      <c r="S40" s="181">
        <f t="shared" si="10"/>
        <v>1</v>
      </c>
      <c r="T40" s="181">
        <f t="shared" si="11"/>
        <v>1.24</v>
      </c>
      <c r="U40" s="278">
        <f t="shared" si="12"/>
        <v>39.27204</v>
      </c>
      <c r="V40" s="187">
        <f t="shared" ref="V40:W40" si="33">C40/100</f>
        <v>0.68</v>
      </c>
      <c r="W40" s="187">
        <f t="shared" si="33"/>
        <v>2.07</v>
      </c>
      <c r="X40" s="187">
        <f t="shared" si="14"/>
        <v>1.24</v>
      </c>
      <c r="Y40" s="189">
        <f t="shared" si="15"/>
        <v>1.745424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18.0</v>
      </c>
      <c r="B41" s="182" t="s">
        <v>64</v>
      </c>
      <c r="C41" s="183">
        <v>96.0</v>
      </c>
      <c r="D41" s="183">
        <v>215.0</v>
      </c>
      <c r="E41" s="183">
        <v>286.0</v>
      </c>
      <c r="F41" s="183">
        <f t="shared" si="5"/>
        <v>0.8</v>
      </c>
      <c r="G41" s="183">
        <f t="shared" si="6"/>
        <v>174.13968</v>
      </c>
      <c r="H41" s="184">
        <f t="shared" si="7"/>
        <v>139.311744</v>
      </c>
      <c r="I41" s="183">
        <v>1.0</v>
      </c>
      <c r="J41" s="193">
        <f t="shared" si="8"/>
        <v>139.311744</v>
      </c>
      <c r="K41" s="186"/>
      <c r="L41" s="164">
        <f t="shared" si="17"/>
        <v>5.461</v>
      </c>
      <c r="M41" s="195">
        <f t="shared" si="18"/>
        <v>1</v>
      </c>
      <c r="N41" s="195">
        <f t="shared" si="19"/>
        <v>5.461</v>
      </c>
      <c r="O41" s="186"/>
      <c r="P41" s="186"/>
      <c r="Q41" s="188">
        <v>29.5</v>
      </c>
      <c r="R41" s="187">
        <f t="shared" si="9"/>
        <v>2.86</v>
      </c>
      <c r="S41" s="181">
        <f t="shared" si="10"/>
        <v>1</v>
      </c>
      <c r="T41" s="181">
        <f t="shared" si="11"/>
        <v>2.86</v>
      </c>
      <c r="U41" s="278">
        <f t="shared" si="12"/>
        <v>174.13968</v>
      </c>
      <c r="V41" s="187">
        <f t="shared" ref="V41:W41" si="34">C41/100</f>
        <v>0.96</v>
      </c>
      <c r="W41" s="187">
        <f t="shared" si="34"/>
        <v>2.15</v>
      </c>
      <c r="X41" s="187">
        <f t="shared" si="14"/>
        <v>2.86</v>
      </c>
      <c r="Y41" s="189">
        <f t="shared" si="15"/>
        <v>5.90304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19.0</v>
      </c>
      <c r="B42" s="191" t="s">
        <v>55</v>
      </c>
      <c r="C42" s="191">
        <v>96.0</v>
      </c>
      <c r="D42" s="191">
        <v>215.0</v>
      </c>
      <c r="E42" s="191">
        <v>214.0</v>
      </c>
      <c r="F42" s="191">
        <f t="shared" si="5"/>
        <v>0</v>
      </c>
      <c r="G42" s="191">
        <f t="shared" si="6"/>
        <v>130.30032</v>
      </c>
      <c r="H42" s="219">
        <f t="shared" si="7"/>
        <v>130.30032</v>
      </c>
      <c r="I42" s="218">
        <v>3.0</v>
      </c>
      <c r="J42" s="193">
        <f t="shared" si="8"/>
        <v>390.90096</v>
      </c>
      <c r="K42" s="186"/>
      <c r="L42" s="164"/>
      <c r="M42" s="195">
        <f t="shared" si="18"/>
        <v>3</v>
      </c>
      <c r="N42" s="195"/>
      <c r="O42" s="186"/>
      <c r="P42" s="186"/>
      <c r="Q42" s="188">
        <v>29.5</v>
      </c>
      <c r="R42" s="187">
        <f t="shared" si="9"/>
        <v>2.14</v>
      </c>
      <c r="S42" s="181">
        <f t="shared" si="10"/>
        <v>3</v>
      </c>
      <c r="T42" s="181">
        <f t="shared" si="11"/>
        <v>6.42</v>
      </c>
      <c r="U42" s="278">
        <f t="shared" si="12"/>
        <v>130.30032</v>
      </c>
      <c r="V42" s="187">
        <f t="shared" ref="V42:W42" si="35">C42/100</f>
        <v>0.96</v>
      </c>
      <c r="W42" s="187">
        <f t="shared" si="35"/>
        <v>2.15</v>
      </c>
      <c r="X42" s="187">
        <f t="shared" si="14"/>
        <v>6.42</v>
      </c>
      <c r="Y42" s="189">
        <f t="shared" si="15"/>
        <v>13.25088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20.0</v>
      </c>
      <c r="B43" s="191" t="s">
        <v>55</v>
      </c>
      <c r="C43" s="191">
        <v>100.0</v>
      </c>
      <c r="D43" s="191">
        <v>215.0</v>
      </c>
      <c r="E43" s="191">
        <v>251.0</v>
      </c>
      <c r="F43" s="191">
        <f t="shared" si="5"/>
        <v>0</v>
      </c>
      <c r="G43" s="191">
        <f t="shared" si="6"/>
        <v>159.19675</v>
      </c>
      <c r="H43" s="219">
        <f t="shared" si="7"/>
        <v>159.19675</v>
      </c>
      <c r="I43" s="218">
        <v>1.0</v>
      </c>
      <c r="J43" s="193">
        <f t="shared" si="8"/>
        <v>159.19675</v>
      </c>
      <c r="K43" s="186"/>
      <c r="L43" s="164"/>
      <c r="M43" s="195">
        <f t="shared" si="18"/>
        <v>1</v>
      </c>
      <c r="N43" s="195"/>
      <c r="O43" s="186"/>
      <c r="P43" s="186"/>
      <c r="Q43" s="188">
        <v>29.5</v>
      </c>
      <c r="R43" s="187">
        <f t="shared" si="9"/>
        <v>2.51</v>
      </c>
      <c r="S43" s="181">
        <f t="shared" si="10"/>
        <v>1</v>
      </c>
      <c r="T43" s="181">
        <f t="shared" si="11"/>
        <v>2.51</v>
      </c>
      <c r="U43" s="278">
        <f t="shared" si="12"/>
        <v>159.19675</v>
      </c>
      <c r="V43" s="187">
        <f t="shared" ref="V43:W43" si="36">C43/100</f>
        <v>1</v>
      </c>
      <c r="W43" s="187">
        <f t="shared" si="36"/>
        <v>2.15</v>
      </c>
      <c r="X43" s="187">
        <f t="shared" si="14"/>
        <v>2.51</v>
      </c>
      <c r="Y43" s="189">
        <f t="shared" si="15"/>
        <v>5.3965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</row>
    <row r="44" ht="27.0" customHeight="1">
      <c r="A44" s="181">
        <v>21.0</v>
      </c>
      <c r="B44" s="191" t="s">
        <v>55</v>
      </c>
      <c r="C44" s="191">
        <v>98.0</v>
      </c>
      <c r="D44" s="191">
        <v>215.0</v>
      </c>
      <c r="E44" s="191">
        <v>231.0</v>
      </c>
      <c r="F44" s="191">
        <f t="shared" si="5"/>
        <v>0</v>
      </c>
      <c r="G44" s="191">
        <f t="shared" si="6"/>
        <v>143.581515</v>
      </c>
      <c r="H44" s="219">
        <f t="shared" si="7"/>
        <v>143.581515</v>
      </c>
      <c r="I44" s="218">
        <v>1.0</v>
      </c>
      <c r="J44" s="193">
        <f t="shared" si="8"/>
        <v>143.581515</v>
      </c>
      <c r="K44" s="186"/>
      <c r="L44" s="164"/>
      <c r="M44" s="195">
        <f t="shared" si="18"/>
        <v>1</v>
      </c>
      <c r="N44" s="195"/>
      <c r="O44" s="186"/>
      <c r="P44" s="186"/>
      <c r="Q44" s="188">
        <v>29.5</v>
      </c>
      <c r="R44" s="187">
        <f t="shared" si="9"/>
        <v>2.31</v>
      </c>
      <c r="S44" s="181">
        <f t="shared" si="10"/>
        <v>1</v>
      </c>
      <c r="T44" s="181">
        <f t="shared" si="11"/>
        <v>2.31</v>
      </c>
      <c r="U44" s="278">
        <f t="shared" si="12"/>
        <v>143.581515</v>
      </c>
      <c r="V44" s="187">
        <f t="shared" ref="V44:W44" si="37">C44/100</f>
        <v>0.98</v>
      </c>
      <c r="W44" s="187">
        <f t="shared" si="37"/>
        <v>2.15</v>
      </c>
      <c r="X44" s="187">
        <f t="shared" si="14"/>
        <v>2.31</v>
      </c>
      <c r="Y44" s="189">
        <f t="shared" si="15"/>
        <v>4.86717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</row>
    <row r="45" ht="27.0" customHeight="1">
      <c r="A45" s="181">
        <v>22.0</v>
      </c>
      <c r="B45" s="191" t="s">
        <v>55</v>
      </c>
      <c r="C45" s="191">
        <v>97.0</v>
      </c>
      <c r="D45" s="191">
        <v>215.0</v>
      </c>
      <c r="E45" s="191">
        <v>215.0</v>
      </c>
      <c r="F45" s="191">
        <f t="shared" si="5"/>
        <v>0</v>
      </c>
      <c r="G45" s="191">
        <f t="shared" si="6"/>
        <v>132.2728375</v>
      </c>
      <c r="H45" s="219">
        <f t="shared" si="7"/>
        <v>132.2728375</v>
      </c>
      <c r="I45" s="218">
        <v>1.0</v>
      </c>
      <c r="J45" s="193">
        <f t="shared" si="8"/>
        <v>132.2728375</v>
      </c>
      <c r="K45" s="186"/>
      <c r="L45" s="164"/>
      <c r="M45" s="195">
        <f t="shared" si="18"/>
        <v>1</v>
      </c>
      <c r="N45" s="195"/>
      <c r="O45" s="186"/>
      <c r="P45" s="186"/>
      <c r="Q45" s="188">
        <v>29.5</v>
      </c>
      <c r="R45" s="187">
        <f t="shared" si="9"/>
        <v>2.15</v>
      </c>
      <c r="S45" s="181">
        <f t="shared" si="10"/>
        <v>1</v>
      </c>
      <c r="T45" s="181">
        <f t="shared" si="11"/>
        <v>2.15</v>
      </c>
      <c r="U45" s="278">
        <f t="shared" si="12"/>
        <v>132.2728375</v>
      </c>
      <c r="V45" s="187">
        <f t="shared" ref="V45:W45" si="38">C45/100</f>
        <v>0.97</v>
      </c>
      <c r="W45" s="187">
        <f t="shared" si="38"/>
        <v>2.15</v>
      </c>
      <c r="X45" s="187">
        <f t="shared" si="14"/>
        <v>2.15</v>
      </c>
      <c r="Y45" s="189">
        <f t="shared" si="15"/>
        <v>4.483825</v>
      </c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</row>
    <row r="46" ht="27.0" customHeight="1">
      <c r="A46" s="181">
        <v>23.0</v>
      </c>
      <c r="B46" s="191" t="s">
        <v>55</v>
      </c>
      <c r="C46" s="191">
        <v>97.0</v>
      </c>
      <c r="D46" s="191">
        <v>215.0</v>
      </c>
      <c r="E46" s="191">
        <v>232.0</v>
      </c>
      <c r="F46" s="191">
        <f t="shared" si="5"/>
        <v>0</v>
      </c>
      <c r="G46" s="191">
        <f t="shared" si="6"/>
        <v>142.73162</v>
      </c>
      <c r="H46" s="219">
        <f t="shared" si="7"/>
        <v>142.73162</v>
      </c>
      <c r="I46" s="218">
        <v>1.0</v>
      </c>
      <c r="J46" s="193">
        <f t="shared" si="8"/>
        <v>142.73162</v>
      </c>
      <c r="K46" s="186"/>
      <c r="L46" s="164"/>
      <c r="M46" s="195">
        <f t="shared" si="18"/>
        <v>1</v>
      </c>
      <c r="N46" s="195"/>
      <c r="O46" s="186"/>
      <c r="P46" s="186"/>
      <c r="Q46" s="188">
        <v>29.5</v>
      </c>
      <c r="R46" s="187">
        <f t="shared" si="9"/>
        <v>2.32</v>
      </c>
      <c r="S46" s="181">
        <f t="shared" si="10"/>
        <v>1</v>
      </c>
      <c r="T46" s="181">
        <f t="shared" si="11"/>
        <v>2.32</v>
      </c>
      <c r="U46" s="278">
        <f t="shared" si="12"/>
        <v>142.73162</v>
      </c>
      <c r="V46" s="187">
        <f t="shared" ref="V46:W46" si="39">C46/100</f>
        <v>0.97</v>
      </c>
      <c r="W46" s="187">
        <f t="shared" si="39"/>
        <v>2.15</v>
      </c>
      <c r="X46" s="187">
        <f t="shared" si="14"/>
        <v>2.32</v>
      </c>
      <c r="Y46" s="189">
        <f t="shared" si="15"/>
        <v>4.83836</v>
      </c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</row>
    <row r="47" ht="27.0" customHeight="1">
      <c r="A47" s="181">
        <v>24.0</v>
      </c>
      <c r="B47" s="191" t="s">
        <v>55</v>
      </c>
      <c r="C47" s="191">
        <v>98.0</v>
      </c>
      <c r="D47" s="191">
        <v>215.0</v>
      </c>
      <c r="E47" s="191">
        <v>232.0</v>
      </c>
      <c r="F47" s="191">
        <f t="shared" si="5"/>
        <v>0</v>
      </c>
      <c r="G47" s="191">
        <f t="shared" si="6"/>
        <v>144.20308</v>
      </c>
      <c r="H47" s="219">
        <f t="shared" si="7"/>
        <v>144.20308</v>
      </c>
      <c r="I47" s="218">
        <v>1.0</v>
      </c>
      <c r="J47" s="193">
        <f t="shared" si="8"/>
        <v>144.20308</v>
      </c>
      <c r="K47" s="186"/>
      <c r="L47" s="164"/>
      <c r="M47" s="195">
        <f t="shared" si="18"/>
        <v>1</v>
      </c>
      <c r="N47" s="195"/>
      <c r="O47" s="186"/>
      <c r="P47" s="186"/>
      <c r="Q47" s="188">
        <v>29.5</v>
      </c>
      <c r="R47" s="187">
        <f t="shared" si="9"/>
        <v>2.32</v>
      </c>
      <c r="S47" s="181">
        <f t="shared" si="10"/>
        <v>1</v>
      </c>
      <c r="T47" s="181">
        <f t="shared" si="11"/>
        <v>2.32</v>
      </c>
      <c r="U47" s="278">
        <f t="shared" si="12"/>
        <v>144.20308</v>
      </c>
      <c r="V47" s="187">
        <f t="shared" ref="V47:W47" si="40">C47/100</f>
        <v>0.98</v>
      </c>
      <c r="W47" s="187">
        <f t="shared" si="40"/>
        <v>2.15</v>
      </c>
      <c r="X47" s="187">
        <f t="shared" si="14"/>
        <v>2.32</v>
      </c>
      <c r="Y47" s="189">
        <f t="shared" si="15"/>
        <v>4.88824</v>
      </c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</row>
    <row r="48" ht="27.0" customHeight="1">
      <c r="A48" s="181">
        <v>25.0</v>
      </c>
      <c r="B48" s="191" t="s">
        <v>55</v>
      </c>
      <c r="C48" s="191">
        <v>100.0</v>
      </c>
      <c r="D48" s="191">
        <v>215.0</v>
      </c>
      <c r="E48" s="191">
        <v>233.0</v>
      </c>
      <c r="F48" s="191">
        <f t="shared" si="5"/>
        <v>0</v>
      </c>
      <c r="G48" s="191">
        <f t="shared" si="6"/>
        <v>147.78025</v>
      </c>
      <c r="H48" s="219">
        <f t="shared" si="7"/>
        <v>147.78025</v>
      </c>
      <c r="I48" s="218">
        <v>2.0</v>
      </c>
      <c r="J48" s="193">
        <f t="shared" si="8"/>
        <v>295.5605</v>
      </c>
      <c r="K48" s="186"/>
      <c r="L48" s="164"/>
      <c r="M48" s="195">
        <f t="shared" si="18"/>
        <v>2</v>
      </c>
      <c r="N48" s="195"/>
      <c r="O48" s="186"/>
      <c r="P48" s="186"/>
      <c r="Q48" s="188">
        <v>29.5</v>
      </c>
      <c r="R48" s="187">
        <f t="shared" si="9"/>
        <v>2.33</v>
      </c>
      <c r="S48" s="181">
        <f t="shared" si="10"/>
        <v>2</v>
      </c>
      <c r="T48" s="181">
        <f t="shared" si="11"/>
        <v>4.66</v>
      </c>
      <c r="U48" s="278">
        <f t="shared" si="12"/>
        <v>147.78025</v>
      </c>
      <c r="V48" s="187">
        <f t="shared" ref="V48:W48" si="41">C48/100</f>
        <v>1</v>
      </c>
      <c r="W48" s="187">
        <f t="shared" si="41"/>
        <v>2.15</v>
      </c>
      <c r="X48" s="187">
        <f t="shared" si="14"/>
        <v>4.66</v>
      </c>
      <c r="Y48" s="189">
        <f t="shared" si="15"/>
        <v>10.019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</row>
    <row r="49" ht="27.0" customHeight="1">
      <c r="A49" s="181">
        <v>26.0</v>
      </c>
      <c r="B49" s="191" t="s">
        <v>55</v>
      </c>
      <c r="C49" s="191">
        <v>96.0</v>
      </c>
      <c r="D49" s="191">
        <v>215.0</v>
      </c>
      <c r="E49" s="191">
        <v>215.0</v>
      </c>
      <c r="F49" s="191">
        <f t="shared" si="5"/>
        <v>0</v>
      </c>
      <c r="G49" s="191">
        <f t="shared" si="6"/>
        <v>130.9092</v>
      </c>
      <c r="H49" s="219">
        <f t="shared" si="7"/>
        <v>130.9092</v>
      </c>
      <c r="I49" s="218">
        <v>2.0</v>
      </c>
      <c r="J49" s="193">
        <f t="shared" si="8"/>
        <v>261.8184</v>
      </c>
      <c r="K49" s="186"/>
      <c r="L49" s="164"/>
      <c r="M49" s="195">
        <f t="shared" si="18"/>
        <v>2</v>
      </c>
      <c r="N49" s="195"/>
      <c r="O49" s="186"/>
      <c r="P49" s="186"/>
      <c r="Q49" s="188">
        <v>29.5</v>
      </c>
      <c r="R49" s="187">
        <f t="shared" si="9"/>
        <v>2.15</v>
      </c>
      <c r="S49" s="181">
        <f t="shared" si="10"/>
        <v>2</v>
      </c>
      <c r="T49" s="181">
        <f t="shared" si="11"/>
        <v>4.3</v>
      </c>
      <c r="U49" s="278">
        <f t="shared" si="12"/>
        <v>130.9092</v>
      </c>
      <c r="V49" s="187">
        <f t="shared" ref="V49:W49" si="42">C49/100</f>
        <v>0.96</v>
      </c>
      <c r="W49" s="187">
        <f t="shared" si="42"/>
        <v>2.15</v>
      </c>
      <c r="X49" s="187">
        <f t="shared" si="14"/>
        <v>4.3</v>
      </c>
      <c r="Y49" s="189">
        <f t="shared" si="15"/>
        <v>8.8752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</row>
    <row r="50" ht="27.0" customHeight="1">
      <c r="A50" s="181">
        <v>27.0</v>
      </c>
      <c r="B50" s="191" t="s">
        <v>55</v>
      </c>
      <c r="C50" s="191">
        <v>94.0</v>
      </c>
      <c r="D50" s="191">
        <v>215.0</v>
      </c>
      <c r="E50" s="191">
        <v>201.0</v>
      </c>
      <c r="F50" s="191">
        <f t="shared" si="5"/>
        <v>0</v>
      </c>
      <c r="G50" s="191">
        <f t="shared" si="6"/>
        <v>119.835195</v>
      </c>
      <c r="H50" s="219">
        <f t="shared" si="7"/>
        <v>119.835195</v>
      </c>
      <c r="I50" s="218">
        <v>1.0</v>
      </c>
      <c r="J50" s="193">
        <f t="shared" si="8"/>
        <v>119.835195</v>
      </c>
      <c r="K50" s="186"/>
      <c r="L50" s="164"/>
      <c r="M50" s="195">
        <f t="shared" si="18"/>
        <v>1</v>
      </c>
      <c r="N50" s="195"/>
      <c r="O50" s="186"/>
      <c r="P50" s="186"/>
      <c r="Q50" s="188">
        <v>29.5</v>
      </c>
      <c r="R50" s="187">
        <f t="shared" si="9"/>
        <v>2.01</v>
      </c>
      <c r="S50" s="181">
        <f t="shared" si="10"/>
        <v>1</v>
      </c>
      <c r="T50" s="181">
        <f t="shared" si="11"/>
        <v>2.01</v>
      </c>
      <c r="U50" s="278">
        <f t="shared" si="12"/>
        <v>119.835195</v>
      </c>
      <c r="V50" s="187">
        <f t="shared" ref="V50:W50" si="43">C50/100</f>
        <v>0.94</v>
      </c>
      <c r="W50" s="187">
        <f t="shared" si="43"/>
        <v>2.15</v>
      </c>
      <c r="X50" s="187">
        <f t="shared" si="14"/>
        <v>2.01</v>
      </c>
      <c r="Y50" s="189">
        <f t="shared" si="15"/>
        <v>4.06221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ht="27.0" customHeight="1">
      <c r="A51" s="181">
        <v>28.0</v>
      </c>
      <c r="B51" s="191" t="s">
        <v>55</v>
      </c>
      <c r="C51" s="191">
        <v>95.0</v>
      </c>
      <c r="D51" s="191">
        <v>215.0</v>
      </c>
      <c r="E51" s="191">
        <v>216.0</v>
      </c>
      <c r="F51" s="191">
        <f t="shared" si="5"/>
        <v>0</v>
      </c>
      <c r="G51" s="191">
        <f t="shared" si="6"/>
        <v>130.1481</v>
      </c>
      <c r="H51" s="219">
        <f t="shared" si="7"/>
        <v>130.1481</v>
      </c>
      <c r="I51" s="218">
        <v>1.0</v>
      </c>
      <c r="J51" s="194">
        <f t="shared" si="8"/>
        <v>130.1481</v>
      </c>
      <c r="K51" s="139"/>
      <c r="L51" s="197"/>
      <c r="M51" s="198">
        <f t="shared" si="18"/>
        <v>1</v>
      </c>
      <c r="N51" s="198"/>
      <c r="O51" s="139"/>
      <c r="P51" s="139"/>
      <c r="Q51" s="188">
        <v>29.5</v>
      </c>
      <c r="R51" s="187">
        <f t="shared" si="9"/>
        <v>2.16</v>
      </c>
      <c r="S51" s="181">
        <f t="shared" si="10"/>
        <v>1</v>
      </c>
      <c r="T51" s="181">
        <f t="shared" si="11"/>
        <v>2.16</v>
      </c>
      <c r="U51" s="278">
        <f t="shared" si="12"/>
        <v>130.1481</v>
      </c>
      <c r="V51" s="187">
        <f t="shared" ref="V51:W51" si="44">C51/100</f>
        <v>0.95</v>
      </c>
      <c r="W51" s="187">
        <f t="shared" si="44"/>
        <v>2.15</v>
      </c>
      <c r="X51" s="187">
        <f t="shared" si="14"/>
        <v>2.16</v>
      </c>
      <c r="Y51" s="189">
        <f t="shared" si="15"/>
        <v>4.4118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</row>
    <row r="52" ht="27.0" customHeight="1">
      <c r="A52" s="181">
        <v>29.0</v>
      </c>
      <c r="B52" s="191" t="s">
        <v>55</v>
      </c>
      <c r="C52" s="191">
        <v>83.0</v>
      </c>
      <c r="D52" s="191">
        <v>215.0</v>
      </c>
      <c r="E52" s="191">
        <v>264.0</v>
      </c>
      <c r="F52" s="191">
        <f t="shared" si="5"/>
        <v>0</v>
      </c>
      <c r="G52" s="191">
        <f t="shared" si="6"/>
        <v>138.97686</v>
      </c>
      <c r="H52" s="219">
        <f t="shared" si="7"/>
        <v>138.97686</v>
      </c>
      <c r="I52" s="218">
        <v>1.0</v>
      </c>
      <c r="J52" s="194">
        <f t="shared" si="8"/>
        <v>138.97686</v>
      </c>
      <c r="K52" s="139"/>
      <c r="L52" s="197"/>
      <c r="M52" s="198">
        <f t="shared" si="18"/>
        <v>1</v>
      </c>
      <c r="N52" s="198"/>
      <c r="O52" s="139"/>
      <c r="P52" s="139"/>
      <c r="Q52" s="188">
        <v>29.5</v>
      </c>
      <c r="R52" s="187">
        <f t="shared" si="9"/>
        <v>2.64</v>
      </c>
      <c r="S52" s="181">
        <f t="shared" si="10"/>
        <v>1</v>
      </c>
      <c r="T52" s="181">
        <f t="shared" si="11"/>
        <v>2.64</v>
      </c>
      <c r="U52" s="278">
        <f t="shared" si="12"/>
        <v>138.97686</v>
      </c>
      <c r="V52" s="187">
        <f t="shared" ref="V52:W52" si="45">C52/100</f>
        <v>0.83</v>
      </c>
      <c r="W52" s="187">
        <f t="shared" si="45"/>
        <v>2.15</v>
      </c>
      <c r="X52" s="187">
        <f t="shared" si="14"/>
        <v>2.64</v>
      </c>
      <c r="Y52" s="189">
        <f t="shared" si="15"/>
        <v>4.71108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7.0" customHeight="1">
      <c r="A53" s="181">
        <v>30.0</v>
      </c>
      <c r="B53" s="191" t="s">
        <v>55</v>
      </c>
      <c r="C53" s="191">
        <v>93.0</v>
      </c>
      <c r="D53" s="191">
        <v>215.0</v>
      </c>
      <c r="E53" s="191">
        <v>214.0</v>
      </c>
      <c r="F53" s="191">
        <f t="shared" si="5"/>
        <v>0</v>
      </c>
      <c r="G53" s="191">
        <f t="shared" si="6"/>
        <v>126.228435</v>
      </c>
      <c r="H53" s="219">
        <f t="shared" si="7"/>
        <v>126.228435</v>
      </c>
      <c r="I53" s="218">
        <v>1.0</v>
      </c>
      <c r="J53" s="194">
        <f t="shared" si="8"/>
        <v>126.228435</v>
      </c>
      <c r="K53" s="139"/>
      <c r="L53" s="197"/>
      <c r="M53" s="198">
        <f t="shared" si="18"/>
        <v>1</v>
      </c>
      <c r="N53" s="198"/>
      <c r="O53" s="139"/>
      <c r="P53" s="139"/>
      <c r="Q53" s="188">
        <v>29.5</v>
      </c>
      <c r="R53" s="187">
        <f t="shared" si="9"/>
        <v>2.14</v>
      </c>
      <c r="S53" s="181">
        <f t="shared" si="10"/>
        <v>1</v>
      </c>
      <c r="T53" s="181">
        <f t="shared" si="11"/>
        <v>2.14</v>
      </c>
      <c r="U53" s="278">
        <f t="shared" si="12"/>
        <v>126.228435</v>
      </c>
      <c r="V53" s="187">
        <f t="shared" ref="V53:W53" si="46">C53/100</f>
        <v>0.93</v>
      </c>
      <c r="W53" s="187">
        <f t="shared" si="46"/>
        <v>2.15</v>
      </c>
      <c r="X53" s="187">
        <f t="shared" si="14"/>
        <v>2.14</v>
      </c>
      <c r="Y53" s="189">
        <f t="shared" si="15"/>
        <v>4.27893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7.0" customHeight="1">
      <c r="A54" s="181">
        <v>31.0</v>
      </c>
      <c r="B54" s="191" t="s">
        <v>55</v>
      </c>
      <c r="C54" s="191">
        <v>102.0</v>
      </c>
      <c r="D54" s="191">
        <v>215.0</v>
      </c>
      <c r="E54" s="191">
        <v>225.0</v>
      </c>
      <c r="F54" s="191">
        <f t="shared" si="5"/>
        <v>0</v>
      </c>
      <c r="G54" s="191">
        <f t="shared" si="6"/>
        <v>145.560375</v>
      </c>
      <c r="H54" s="219">
        <f t="shared" si="7"/>
        <v>145.560375</v>
      </c>
      <c r="I54" s="218">
        <v>1.0</v>
      </c>
      <c r="J54" s="194">
        <f t="shared" si="8"/>
        <v>145.560375</v>
      </c>
      <c r="K54" s="139"/>
      <c r="L54" s="197"/>
      <c r="M54" s="198">
        <f t="shared" si="18"/>
        <v>1</v>
      </c>
      <c r="N54" s="198"/>
      <c r="O54" s="139"/>
      <c r="P54" s="139"/>
      <c r="Q54" s="188">
        <v>29.5</v>
      </c>
      <c r="R54" s="187">
        <f t="shared" si="9"/>
        <v>2.25</v>
      </c>
      <c r="S54" s="181">
        <f t="shared" si="10"/>
        <v>1</v>
      </c>
      <c r="T54" s="181">
        <f t="shared" si="11"/>
        <v>2.25</v>
      </c>
      <c r="U54" s="278">
        <f t="shared" si="12"/>
        <v>145.560375</v>
      </c>
      <c r="V54" s="187">
        <f t="shared" ref="V54:W54" si="47">C54/100</f>
        <v>1.02</v>
      </c>
      <c r="W54" s="187">
        <f t="shared" si="47"/>
        <v>2.15</v>
      </c>
      <c r="X54" s="187">
        <f t="shared" si="14"/>
        <v>2.25</v>
      </c>
      <c r="Y54" s="189">
        <f t="shared" si="15"/>
        <v>4.93425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27.0" customHeight="1">
      <c r="A55" s="181">
        <v>32.0</v>
      </c>
      <c r="B55" s="182" t="s">
        <v>64</v>
      </c>
      <c r="C55" s="183">
        <v>90.0</v>
      </c>
      <c r="D55" s="183">
        <v>215.0</v>
      </c>
      <c r="E55" s="183">
        <v>200.0</v>
      </c>
      <c r="F55" s="183">
        <f t="shared" si="5"/>
        <v>0.8</v>
      </c>
      <c r="G55" s="183">
        <f t="shared" si="6"/>
        <v>114.165</v>
      </c>
      <c r="H55" s="184">
        <f t="shared" si="7"/>
        <v>91.332</v>
      </c>
      <c r="I55" s="183">
        <v>1.0</v>
      </c>
      <c r="J55" s="194">
        <f t="shared" si="8"/>
        <v>91.332</v>
      </c>
      <c r="K55" s="139"/>
      <c r="L55" s="197"/>
      <c r="M55" s="198">
        <f t="shared" si="18"/>
        <v>1</v>
      </c>
      <c r="N55" s="198"/>
      <c r="O55" s="139"/>
      <c r="P55" s="139"/>
      <c r="Q55" s="188">
        <v>29.5</v>
      </c>
      <c r="R55" s="187">
        <f t="shared" si="9"/>
        <v>2</v>
      </c>
      <c r="S55" s="181">
        <f t="shared" si="10"/>
        <v>1</v>
      </c>
      <c r="T55" s="181">
        <f t="shared" si="11"/>
        <v>2</v>
      </c>
      <c r="U55" s="278">
        <f t="shared" si="12"/>
        <v>114.165</v>
      </c>
      <c r="V55" s="187">
        <f t="shared" ref="V55:W55" si="48">C55/100</f>
        <v>0.9</v>
      </c>
      <c r="W55" s="187">
        <f t="shared" si="48"/>
        <v>2.15</v>
      </c>
      <c r="X55" s="187">
        <f t="shared" si="14"/>
        <v>2</v>
      </c>
      <c r="Y55" s="189">
        <f t="shared" si="15"/>
        <v>3.87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81">
        <v>33.0</v>
      </c>
      <c r="B56" s="191" t="s">
        <v>55</v>
      </c>
      <c r="C56" s="191">
        <v>88.0</v>
      </c>
      <c r="D56" s="191">
        <v>215.0</v>
      </c>
      <c r="E56" s="191">
        <v>213.0</v>
      </c>
      <c r="F56" s="191">
        <f t="shared" si="5"/>
        <v>0</v>
      </c>
      <c r="G56" s="191">
        <f t="shared" si="6"/>
        <v>118.88382</v>
      </c>
      <c r="H56" s="219">
        <f t="shared" si="7"/>
        <v>118.88382</v>
      </c>
      <c r="I56" s="218">
        <v>1.0</v>
      </c>
      <c r="J56" s="194">
        <f t="shared" si="8"/>
        <v>118.88382</v>
      </c>
      <c r="K56" s="139"/>
      <c r="L56" s="197"/>
      <c r="M56" s="198">
        <f t="shared" si="18"/>
        <v>1</v>
      </c>
      <c r="N56" s="198"/>
      <c r="O56" s="139"/>
      <c r="P56" s="139"/>
      <c r="Q56" s="188">
        <v>29.5</v>
      </c>
      <c r="R56" s="187">
        <f t="shared" si="9"/>
        <v>2.13</v>
      </c>
      <c r="S56" s="181">
        <f t="shared" si="10"/>
        <v>1</v>
      </c>
      <c r="T56" s="181">
        <f t="shared" si="11"/>
        <v>2.13</v>
      </c>
      <c r="U56" s="278">
        <f t="shared" si="12"/>
        <v>118.88382</v>
      </c>
      <c r="V56" s="187">
        <f t="shared" ref="V56:W56" si="49">C56/100</f>
        <v>0.88</v>
      </c>
      <c r="W56" s="187">
        <f t="shared" si="49"/>
        <v>2.15</v>
      </c>
      <c r="X56" s="187">
        <f t="shared" si="14"/>
        <v>2.13</v>
      </c>
      <c r="Y56" s="189">
        <f t="shared" si="15"/>
        <v>4.02996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34.0</v>
      </c>
      <c r="B57" s="191" t="s">
        <v>55</v>
      </c>
      <c r="C57" s="191">
        <v>95.0</v>
      </c>
      <c r="D57" s="191">
        <v>215.0</v>
      </c>
      <c r="E57" s="191">
        <v>215.0</v>
      </c>
      <c r="F57" s="191">
        <f t="shared" si="5"/>
        <v>0</v>
      </c>
      <c r="G57" s="191">
        <f t="shared" si="6"/>
        <v>129.5455625</v>
      </c>
      <c r="H57" s="219">
        <f t="shared" si="7"/>
        <v>129.5455625</v>
      </c>
      <c r="I57" s="218">
        <v>3.0</v>
      </c>
      <c r="J57" s="194">
        <f t="shared" si="8"/>
        <v>388.6366875</v>
      </c>
      <c r="K57" s="139"/>
      <c r="L57" s="197"/>
      <c r="M57" s="198">
        <f t="shared" si="18"/>
        <v>3</v>
      </c>
      <c r="N57" s="198"/>
      <c r="O57" s="139"/>
      <c r="P57" s="139"/>
      <c r="Q57" s="188">
        <v>29.5</v>
      </c>
      <c r="R57" s="187">
        <f t="shared" si="9"/>
        <v>2.15</v>
      </c>
      <c r="S57" s="181">
        <f t="shared" si="10"/>
        <v>3</v>
      </c>
      <c r="T57" s="181">
        <f t="shared" si="11"/>
        <v>6.45</v>
      </c>
      <c r="U57" s="278">
        <f t="shared" si="12"/>
        <v>129.5455625</v>
      </c>
      <c r="V57" s="187">
        <f t="shared" ref="V57:W57" si="50">C57/100</f>
        <v>0.95</v>
      </c>
      <c r="W57" s="187">
        <f t="shared" si="50"/>
        <v>2.15</v>
      </c>
      <c r="X57" s="187">
        <f t="shared" si="14"/>
        <v>6.45</v>
      </c>
      <c r="Y57" s="189">
        <f t="shared" si="15"/>
        <v>13.174125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35.0</v>
      </c>
      <c r="B58" s="191" t="s">
        <v>55</v>
      </c>
      <c r="C58" s="191">
        <v>97.0</v>
      </c>
      <c r="D58" s="191">
        <v>215.0</v>
      </c>
      <c r="E58" s="191">
        <v>215.0</v>
      </c>
      <c r="F58" s="191">
        <f t="shared" si="5"/>
        <v>0</v>
      </c>
      <c r="G58" s="191">
        <f t="shared" si="6"/>
        <v>132.2728375</v>
      </c>
      <c r="H58" s="219">
        <f t="shared" si="7"/>
        <v>132.2728375</v>
      </c>
      <c r="I58" s="218">
        <v>1.0</v>
      </c>
      <c r="J58" s="194">
        <f t="shared" si="8"/>
        <v>132.2728375</v>
      </c>
      <c r="K58" s="139"/>
      <c r="L58" s="197"/>
      <c r="M58" s="198">
        <f t="shared" si="18"/>
        <v>1</v>
      </c>
      <c r="N58" s="198"/>
      <c r="O58" s="139"/>
      <c r="P58" s="139"/>
      <c r="Q58" s="188">
        <v>29.5</v>
      </c>
      <c r="R58" s="187">
        <f t="shared" si="9"/>
        <v>2.15</v>
      </c>
      <c r="S58" s="181">
        <f t="shared" si="10"/>
        <v>1</v>
      </c>
      <c r="T58" s="181">
        <f t="shared" si="11"/>
        <v>2.15</v>
      </c>
      <c r="U58" s="278">
        <f t="shared" si="12"/>
        <v>132.2728375</v>
      </c>
      <c r="V58" s="187">
        <f t="shared" ref="V58:W58" si="51">C58/100</f>
        <v>0.97</v>
      </c>
      <c r="W58" s="187">
        <f t="shared" si="51"/>
        <v>2.15</v>
      </c>
      <c r="X58" s="187">
        <f t="shared" si="14"/>
        <v>2.15</v>
      </c>
      <c r="Y58" s="189">
        <f t="shared" si="15"/>
        <v>4.483825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36.0</v>
      </c>
      <c r="B59" s="191" t="s">
        <v>55</v>
      </c>
      <c r="C59" s="191">
        <v>94.0</v>
      </c>
      <c r="D59" s="191">
        <v>215.0</v>
      </c>
      <c r="E59" s="191">
        <v>203.0</v>
      </c>
      <c r="F59" s="191">
        <f t="shared" si="5"/>
        <v>0</v>
      </c>
      <c r="G59" s="191">
        <f t="shared" si="6"/>
        <v>121.027585</v>
      </c>
      <c r="H59" s="219">
        <f t="shared" si="7"/>
        <v>121.027585</v>
      </c>
      <c r="I59" s="218">
        <v>2.0</v>
      </c>
      <c r="J59" s="194">
        <f t="shared" si="8"/>
        <v>242.05517</v>
      </c>
      <c r="K59" s="139"/>
      <c r="L59" s="197"/>
      <c r="M59" s="198">
        <f t="shared" si="18"/>
        <v>2</v>
      </c>
      <c r="N59" s="198"/>
      <c r="O59" s="139"/>
      <c r="P59" s="139"/>
      <c r="Q59" s="188">
        <v>29.5</v>
      </c>
      <c r="R59" s="187">
        <f t="shared" si="9"/>
        <v>2.03</v>
      </c>
      <c r="S59" s="181">
        <f t="shared" si="10"/>
        <v>2</v>
      </c>
      <c r="T59" s="181">
        <f t="shared" si="11"/>
        <v>4.06</v>
      </c>
      <c r="U59" s="278">
        <f t="shared" si="12"/>
        <v>121.027585</v>
      </c>
      <c r="V59" s="187">
        <f t="shared" ref="V59:W59" si="52">C59/100</f>
        <v>0.94</v>
      </c>
      <c r="W59" s="187">
        <f t="shared" si="52"/>
        <v>2.15</v>
      </c>
      <c r="X59" s="187">
        <f t="shared" si="14"/>
        <v>4.06</v>
      </c>
      <c r="Y59" s="189">
        <f t="shared" si="15"/>
        <v>8.20526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37.0</v>
      </c>
      <c r="B60" s="191" t="s">
        <v>55</v>
      </c>
      <c r="C60" s="191">
        <v>96.0</v>
      </c>
      <c r="D60" s="191">
        <v>215.0</v>
      </c>
      <c r="E60" s="191">
        <v>215.0</v>
      </c>
      <c r="F60" s="191">
        <f t="shared" si="5"/>
        <v>0</v>
      </c>
      <c r="G60" s="191">
        <f t="shared" si="6"/>
        <v>130.9092</v>
      </c>
      <c r="H60" s="219">
        <f t="shared" si="7"/>
        <v>130.9092</v>
      </c>
      <c r="I60" s="218">
        <v>1.0</v>
      </c>
      <c r="J60" s="194">
        <f t="shared" si="8"/>
        <v>130.9092</v>
      </c>
      <c r="K60" s="139"/>
      <c r="L60" s="197"/>
      <c r="M60" s="198">
        <f t="shared" si="18"/>
        <v>1</v>
      </c>
      <c r="N60" s="198"/>
      <c r="O60" s="139"/>
      <c r="P60" s="139"/>
      <c r="Q60" s="188">
        <v>29.5</v>
      </c>
      <c r="R60" s="187">
        <f t="shared" si="9"/>
        <v>2.15</v>
      </c>
      <c r="S60" s="181">
        <f t="shared" si="10"/>
        <v>1</v>
      </c>
      <c r="T60" s="181">
        <f t="shared" si="11"/>
        <v>2.15</v>
      </c>
      <c r="U60" s="278">
        <f t="shared" si="12"/>
        <v>130.9092</v>
      </c>
      <c r="V60" s="187">
        <f t="shared" ref="V60:W60" si="53">C60/100</f>
        <v>0.96</v>
      </c>
      <c r="W60" s="187">
        <f t="shared" si="53"/>
        <v>2.15</v>
      </c>
      <c r="X60" s="187">
        <f t="shared" si="14"/>
        <v>2.15</v>
      </c>
      <c r="Y60" s="189">
        <f t="shared" si="15"/>
        <v>4.4376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81">
        <v>38.0</v>
      </c>
      <c r="B61" s="191" t="s">
        <v>55</v>
      </c>
      <c r="C61" s="191">
        <v>95.0</v>
      </c>
      <c r="D61" s="191">
        <v>215.0</v>
      </c>
      <c r="E61" s="191">
        <v>201.0</v>
      </c>
      <c r="F61" s="191">
        <f t="shared" si="5"/>
        <v>0</v>
      </c>
      <c r="G61" s="191">
        <f t="shared" si="6"/>
        <v>121.1100375</v>
      </c>
      <c r="H61" s="219">
        <f t="shared" si="7"/>
        <v>121.1100375</v>
      </c>
      <c r="I61" s="218">
        <v>9.0</v>
      </c>
      <c r="J61" s="194">
        <f t="shared" si="8"/>
        <v>1089.990338</v>
      </c>
      <c r="K61" s="139"/>
      <c r="L61" s="197"/>
      <c r="M61" s="198">
        <f t="shared" si="18"/>
        <v>9</v>
      </c>
      <c r="N61" s="198"/>
      <c r="O61" s="139"/>
      <c r="P61" s="139"/>
      <c r="Q61" s="188">
        <v>29.5</v>
      </c>
      <c r="R61" s="187">
        <f t="shared" si="9"/>
        <v>2.01</v>
      </c>
      <c r="S61" s="181">
        <f t="shared" si="10"/>
        <v>9</v>
      </c>
      <c r="T61" s="181">
        <f t="shared" si="11"/>
        <v>18.09</v>
      </c>
      <c r="U61" s="278">
        <f t="shared" si="12"/>
        <v>121.1100375</v>
      </c>
      <c r="V61" s="187">
        <f t="shared" ref="V61:W61" si="54">C61/100</f>
        <v>0.95</v>
      </c>
      <c r="W61" s="187">
        <f t="shared" si="54"/>
        <v>2.15</v>
      </c>
      <c r="X61" s="187">
        <f t="shared" si="14"/>
        <v>18.09</v>
      </c>
      <c r="Y61" s="189">
        <f t="shared" si="15"/>
        <v>36.948825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81">
        <v>39.0</v>
      </c>
      <c r="B62" s="191" t="s">
        <v>55</v>
      </c>
      <c r="C62" s="191">
        <v>96.0</v>
      </c>
      <c r="D62" s="191">
        <v>215.0</v>
      </c>
      <c r="E62" s="191">
        <v>204.0</v>
      </c>
      <c r="F62" s="191">
        <f t="shared" si="5"/>
        <v>0</v>
      </c>
      <c r="G62" s="191">
        <f t="shared" si="6"/>
        <v>124.21152</v>
      </c>
      <c r="H62" s="219">
        <f t="shared" si="7"/>
        <v>124.21152</v>
      </c>
      <c r="I62" s="218">
        <v>2.0</v>
      </c>
      <c r="J62" s="194">
        <f t="shared" si="8"/>
        <v>248.42304</v>
      </c>
      <c r="K62" s="139"/>
      <c r="L62" s="197"/>
      <c r="M62" s="198">
        <f t="shared" si="18"/>
        <v>2</v>
      </c>
      <c r="N62" s="198"/>
      <c r="O62" s="139"/>
      <c r="P62" s="139"/>
      <c r="Q62" s="188">
        <v>29.5</v>
      </c>
      <c r="R62" s="187">
        <f t="shared" si="9"/>
        <v>2.04</v>
      </c>
      <c r="S62" s="181">
        <f t="shared" si="10"/>
        <v>2</v>
      </c>
      <c r="T62" s="181">
        <f t="shared" si="11"/>
        <v>4.08</v>
      </c>
      <c r="U62" s="278">
        <f t="shared" si="12"/>
        <v>124.21152</v>
      </c>
      <c r="V62" s="187">
        <f t="shared" ref="V62:W62" si="55">C62/100</f>
        <v>0.96</v>
      </c>
      <c r="W62" s="187">
        <f t="shared" si="55"/>
        <v>2.15</v>
      </c>
      <c r="X62" s="187">
        <f t="shared" si="14"/>
        <v>4.08</v>
      </c>
      <c r="Y62" s="189">
        <f t="shared" si="15"/>
        <v>8.42112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27.0" customHeight="1">
      <c r="A63" s="181">
        <v>40.0</v>
      </c>
      <c r="B63" s="191" t="s">
        <v>55</v>
      </c>
      <c r="C63" s="191">
        <v>98.0</v>
      </c>
      <c r="D63" s="191">
        <v>215.0</v>
      </c>
      <c r="E63" s="191">
        <v>203.0</v>
      </c>
      <c r="F63" s="191">
        <f t="shared" si="5"/>
        <v>0</v>
      </c>
      <c r="G63" s="191">
        <f t="shared" si="6"/>
        <v>126.177695</v>
      </c>
      <c r="H63" s="219">
        <f t="shared" si="7"/>
        <v>126.177695</v>
      </c>
      <c r="I63" s="218">
        <v>1.0</v>
      </c>
      <c r="J63" s="194">
        <f t="shared" si="8"/>
        <v>126.177695</v>
      </c>
      <c r="K63" s="139"/>
      <c r="L63" s="197"/>
      <c r="M63" s="198">
        <f t="shared" si="18"/>
        <v>1</v>
      </c>
      <c r="N63" s="198"/>
      <c r="O63" s="139"/>
      <c r="P63" s="139"/>
      <c r="Q63" s="188">
        <v>29.5</v>
      </c>
      <c r="R63" s="187">
        <f t="shared" si="9"/>
        <v>2.03</v>
      </c>
      <c r="S63" s="181">
        <f t="shared" si="10"/>
        <v>1</v>
      </c>
      <c r="T63" s="181">
        <f t="shared" si="11"/>
        <v>2.03</v>
      </c>
      <c r="U63" s="278">
        <f t="shared" si="12"/>
        <v>126.177695</v>
      </c>
      <c r="V63" s="187">
        <f t="shared" ref="V63:W63" si="56">C63/100</f>
        <v>0.98</v>
      </c>
      <c r="W63" s="187">
        <f t="shared" si="56"/>
        <v>2.15</v>
      </c>
      <c r="X63" s="187">
        <f t="shared" si="14"/>
        <v>2.03</v>
      </c>
      <c r="Y63" s="189">
        <f t="shared" si="15"/>
        <v>4.27721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7.0" customHeight="1">
      <c r="A64" s="181">
        <v>41.0</v>
      </c>
      <c r="B64" s="191" t="s">
        <v>55</v>
      </c>
      <c r="C64" s="191">
        <v>95.0</v>
      </c>
      <c r="D64" s="191">
        <v>215.0</v>
      </c>
      <c r="E64" s="191">
        <v>216.0</v>
      </c>
      <c r="F64" s="191">
        <f t="shared" si="5"/>
        <v>0</v>
      </c>
      <c r="G64" s="191">
        <f t="shared" si="6"/>
        <v>130.1481</v>
      </c>
      <c r="H64" s="219">
        <f t="shared" si="7"/>
        <v>130.1481</v>
      </c>
      <c r="I64" s="218">
        <v>4.0</v>
      </c>
      <c r="J64" s="194">
        <f t="shared" si="8"/>
        <v>520.5924</v>
      </c>
      <c r="K64" s="139"/>
      <c r="L64" s="197"/>
      <c r="M64" s="198">
        <f t="shared" si="18"/>
        <v>4</v>
      </c>
      <c r="N64" s="198"/>
      <c r="O64" s="139"/>
      <c r="P64" s="139"/>
      <c r="Q64" s="188">
        <v>29.5</v>
      </c>
      <c r="R64" s="187">
        <f t="shared" si="9"/>
        <v>2.16</v>
      </c>
      <c r="S64" s="181">
        <f t="shared" si="10"/>
        <v>4</v>
      </c>
      <c r="T64" s="181">
        <f t="shared" si="11"/>
        <v>8.64</v>
      </c>
      <c r="U64" s="278">
        <f t="shared" si="12"/>
        <v>130.1481</v>
      </c>
      <c r="V64" s="187">
        <f t="shared" ref="V64:W64" si="57">C64/100</f>
        <v>0.95</v>
      </c>
      <c r="W64" s="187">
        <f t="shared" si="57"/>
        <v>2.15</v>
      </c>
      <c r="X64" s="187">
        <f t="shared" si="14"/>
        <v>8.64</v>
      </c>
      <c r="Y64" s="189">
        <f t="shared" si="15"/>
        <v>17.6472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7.0" customHeight="1">
      <c r="A65" s="181">
        <v>42.0</v>
      </c>
      <c r="B65" s="191" t="s">
        <v>55</v>
      </c>
      <c r="C65" s="191">
        <v>98.0</v>
      </c>
      <c r="D65" s="191">
        <v>215.0</v>
      </c>
      <c r="E65" s="191">
        <v>201.0</v>
      </c>
      <c r="F65" s="191">
        <f t="shared" si="5"/>
        <v>0</v>
      </c>
      <c r="G65" s="191">
        <f t="shared" si="6"/>
        <v>124.934565</v>
      </c>
      <c r="H65" s="219">
        <f t="shared" si="7"/>
        <v>124.934565</v>
      </c>
      <c r="I65" s="218">
        <v>4.0</v>
      </c>
      <c r="J65" s="194">
        <f t="shared" si="8"/>
        <v>499.73826</v>
      </c>
      <c r="K65" s="139"/>
      <c r="L65" s="197"/>
      <c r="M65" s="198">
        <f t="shared" si="18"/>
        <v>4</v>
      </c>
      <c r="N65" s="198"/>
      <c r="O65" s="139"/>
      <c r="P65" s="139"/>
      <c r="Q65" s="188">
        <v>29.5</v>
      </c>
      <c r="R65" s="187">
        <f t="shared" si="9"/>
        <v>2.01</v>
      </c>
      <c r="S65" s="181">
        <f t="shared" si="10"/>
        <v>4</v>
      </c>
      <c r="T65" s="181">
        <f t="shared" si="11"/>
        <v>8.04</v>
      </c>
      <c r="U65" s="278">
        <f t="shared" si="12"/>
        <v>124.934565</v>
      </c>
      <c r="V65" s="187">
        <f t="shared" ref="V65:W65" si="58">C65/100</f>
        <v>0.98</v>
      </c>
      <c r="W65" s="187">
        <f t="shared" si="58"/>
        <v>2.15</v>
      </c>
      <c r="X65" s="187">
        <f t="shared" si="14"/>
        <v>8.04</v>
      </c>
      <c r="Y65" s="189">
        <f t="shared" si="15"/>
        <v>16.94028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7.0" customHeight="1">
      <c r="A66" s="181">
        <v>43.0</v>
      </c>
      <c r="B66" s="191" t="s">
        <v>55</v>
      </c>
      <c r="C66" s="191">
        <v>93.0</v>
      </c>
      <c r="D66" s="191">
        <v>215.0</v>
      </c>
      <c r="E66" s="191">
        <v>200.0</v>
      </c>
      <c r="F66" s="191">
        <f t="shared" si="5"/>
        <v>0</v>
      </c>
      <c r="G66" s="191">
        <f t="shared" si="6"/>
        <v>117.9705</v>
      </c>
      <c r="H66" s="219">
        <f t="shared" si="7"/>
        <v>117.9705</v>
      </c>
      <c r="I66" s="218">
        <v>1.0</v>
      </c>
      <c r="J66" s="194">
        <f t="shared" si="8"/>
        <v>117.9705</v>
      </c>
      <c r="K66" s="139"/>
      <c r="L66" s="197"/>
      <c r="M66" s="198">
        <f t="shared" si="18"/>
        <v>1</v>
      </c>
      <c r="N66" s="198"/>
      <c r="O66" s="139"/>
      <c r="P66" s="139"/>
      <c r="Q66" s="188">
        <v>29.5</v>
      </c>
      <c r="R66" s="187">
        <f t="shared" si="9"/>
        <v>2</v>
      </c>
      <c r="S66" s="181">
        <f t="shared" si="10"/>
        <v>1</v>
      </c>
      <c r="T66" s="181">
        <f t="shared" si="11"/>
        <v>2</v>
      </c>
      <c r="U66" s="278">
        <f t="shared" si="12"/>
        <v>117.9705</v>
      </c>
      <c r="V66" s="187">
        <f t="shared" ref="V66:W66" si="59">C66/100</f>
        <v>0.93</v>
      </c>
      <c r="W66" s="187">
        <f t="shared" si="59"/>
        <v>2.15</v>
      </c>
      <c r="X66" s="187">
        <f t="shared" si="14"/>
        <v>2</v>
      </c>
      <c r="Y66" s="189">
        <f t="shared" si="15"/>
        <v>3.999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7.0" customHeight="1">
      <c r="A67" s="181">
        <v>44.0</v>
      </c>
      <c r="B67" s="191" t="s">
        <v>55</v>
      </c>
      <c r="C67" s="191">
        <v>96.0</v>
      </c>
      <c r="D67" s="191">
        <v>215.0</v>
      </c>
      <c r="E67" s="191">
        <v>201.0</v>
      </c>
      <c r="F67" s="191">
        <f t="shared" si="5"/>
        <v>0</v>
      </c>
      <c r="G67" s="191">
        <f t="shared" si="6"/>
        <v>122.38488</v>
      </c>
      <c r="H67" s="219">
        <f t="shared" si="7"/>
        <v>122.38488</v>
      </c>
      <c r="I67" s="218">
        <v>3.0</v>
      </c>
      <c r="J67" s="194">
        <f t="shared" si="8"/>
        <v>367.15464</v>
      </c>
      <c r="K67" s="139"/>
      <c r="L67" s="197"/>
      <c r="M67" s="198">
        <f t="shared" si="18"/>
        <v>3</v>
      </c>
      <c r="N67" s="198"/>
      <c r="O67" s="139"/>
      <c r="P67" s="139"/>
      <c r="Q67" s="188">
        <v>29.5</v>
      </c>
      <c r="R67" s="187">
        <f t="shared" si="9"/>
        <v>2.01</v>
      </c>
      <c r="S67" s="181">
        <f t="shared" si="10"/>
        <v>3</v>
      </c>
      <c r="T67" s="181">
        <f t="shared" si="11"/>
        <v>6.03</v>
      </c>
      <c r="U67" s="278">
        <f t="shared" si="12"/>
        <v>122.38488</v>
      </c>
      <c r="V67" s="187">
        <f t="shared" ref="V67:W67" si="60">C67/100</f>
        <v>0.96</v>
      </c>
      <c r="W67" s="187">
        <f t="shared" si="60"/>
        <v>2.15</v>
      </c>
      <c r="X67" s="187">
        <f t="shared" si="14"/>
        <v>6.03</v>
      </c>
      <c r="Y67" s="189">
        <f t="shared" si="15"/>
        <v>12.44592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7.0" customHeight="1">
      <c r="A68" s="181">
        <v>45.0</v>
      </c>
      <c r="B68" s="191" t="s">
        <v>55</v>
      </c>
      <c r="C68" s="191">
        <v>95.0</v>
      </c>
      <c r="D68" s="191">
        <v>215.0</v>
      </c>
      <c r="E68" s="191">
        <v>204.0</v>
      </c>
      <c r="F68" s="191">
        <f t="shared" si="5"/>
        <v>0</v>
      </c>
      <c r="G68" s="191">
        <f t="shared" si="6"/>
        <v>122.91765</v>
      </c>
      <c r="H68" s="219">
        <f t="shared" si="7"/>
        <v>122.91765</v>
      </c>
      <c r="I68" s="218">
        <v>1.0</v>
      </c>
      <c r="J68" s="194">
        <f t="shared" si="8"/>
        <v>122.91765</v>
      </c>
      <c r="K68" s="139"/>
      <c r="L68" s="197"/>
      <c r="M68" s="198">
        <f t="shared" si="18"/>
        <v>1</v>
      </c>
      <c r="N68" s="198"/>
      <c r="O68" s="139"/>
      <c r="P68" s="139"/>
      <c r="Q68" s="188">
        <v>29.5</v>
      </c>
      <c r="R68" s="187">
        <f t="shared" si="9"/>
        <v>2.04</v>
      </c>
      <c r="S68" s="181">
        <f t="shared" si="10"/>
        <v>1</v>
      </c>
      <c r="T68" s="181">
        <f t="shared" si="11"/>
        <v>2.04</v>
      </c>
      <c r="U68" s="278">
        <f t="shared" si="12"/>
        <v>122.91765</v>
      </c>
      <c r="V68" s="187">
        <f t="shared" ref="V68:W68" si="61">C68/100</f>
        <v>0.95</v>
      </c>
      <c r="W68" s="187">
        <f t="shared" si="61"/>
        <v>2.15</v>
      </c>
      <c r="X68" s="187">
        <f t="shared" si="14"/>
        <v>2.04</v>
      </c>
      <c r="Y68" s="189">
        <f t="shared" si="15"/>
        <v>4.1667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81">
        <v>46.0</v>
      </c>
      <c r="B69" s="191" t="s">
        <v>55</v>
      </c>
      <c r="C69" s="191">
        <v>91.0</v>
      </c>
      <c r="D69" s="191">
        <v>215.0</v>
      </c>
      <c r="E69" s="191">
        <v>203.0</v>
      </c>
      <c r="F69" s="191">
        <f t="shared" si="5"/>
        <v>0</v>
      </c>
      <c r="G69" s="191">
        <f t="shared" si="6"/>
        <v>117.1650025</v>
      </c>
      <c r="H69" s="219">
        <f t="shared" si="7"/>
        <v>117.1650025</v>
      </c>
      <c r="I69" s="218">
        <v>1.0</v>
      </c>
      <c r="J69" s="194">
        <f t="shared" si="8"/>
        <v>117.1650025</v>
      </c>
      <c r="K69" s="139"/>
      <c r="L69" s="197"/>
      <c r="M69" s="198">
        <f t="shared" si="18"/>
        <v>1</v>
      </c>
      <c r="N69" s="198"/>
      <c r="O69" s="139"/>
      <c r="P69" s="139"/>
      <c r="Q69" s="188">
        <v>29.5</v>
      </c>
      <c r="R69" s="187">
        <f t="shared" si="9"/>
        <v>2.03</v>
      </c>
      <c r="S69" s="181">
        <f t="shared" si="10"/>
        <v>1</v>
      </c>
      <c r="T69" s="181">
        <f t="shared" si="11"/>
        <v>2.03</v>
      </c>
      <c r="U69" s="278">
        <f t="shared" si="12"/>
        <v>117.1650025</v>
      </c>
      <c r="V69" s="187">
        <f t="shared" ref="V69:W69" si="62">C69/100</f>
        <v>0.91</v>
      </c>
      <c r="W69" s="187">
        <f t="shared" si="62"/>
        <v>2.15</v>
      </c>
      <c r="X69" s="187">
        <f t="shared" si="14"/>
        <v>2.03</v>
      </c>
      <c r="Y69" s="189">
        <f t="shared" si="15"/>
        <v>3.971695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81">
        <v>47.0</v>
      </c>
      <c r="B70" s="191" t="s">
        <v>55</v>
      </c>
      <c r="C70" s="191">
        <v>94.0</v>
      </c>
      <c r="D70" s="191">
        <v>215.0</v>
      </c>
      <c r="E70" s="191">
        <v>201.0</v>
      </c>
      <c r="F70" s="191">
        <f t="shared" si="5"/>
        <v>0</v>
      </c>
      <c r="G70" s="191">
        <f t="shared" si="6"/>
        <v>119.835195</v>
      </c>
      <c r="H70" s="219">
        <f t="shared" si="7"/>
        <v>119.835195</v>
      </c>
      <c r="I70" s="218">
        <v>3.0</v>
      </c>
      <c r="J70" s="194">
        <f t="shared" si="8"/>
        <v>359.505585</v>
      </c>
      <c r="K70" s="139"/>
      <c r="L70" s="197"/>
      <c r="M70" s="198"/>
      <c r="N70" s="198"/>
      <c r="O70" s="139"/>
      <c r="P70" s="139"/>
      <c r="Q70" s="188">
        <v>29.5</v>
      </c>
      <c r="R70" s="187">
        <f t="shared" si="9"/>
        <v>2.01</v>
      </c>
      <c r="S70" s="181">
        <f t="shared" si="10"/>
        <v>3</v>
      </c>
      <c r="T70" s="181">
        <f t="shared" si="11"/>
        <v>6.03</v>
      </c>
      <c r="U70" s="278">
        <f t="shared" si="12"/>
        <v>119.835195</v>
      </c>
      <c r="V70" s="187">
        <f t="shared" ref="V70:W70" si="63">C70/100</f>
        <v>0.94</v>
      </c>
      <c r="W70" s="187">
        <f t="shared" si="63"/>
        <v>2.15</v>
      </c>
      <c r="X70" s="187">
        <f t="shared" si="14"/>
        <v>6.03</v>
      </c>
      <c r="Y70" s="189">
        <f t="shared" si="15"/>
        <v>12.18663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81">
        <v>48.0</v>
      </c>
      <c r="B71" s="191" t="s">
        <v>55</v>
      </c>
      <c r="C71" s="191">
        <v>93.0</v>
      </c>
      <c r="D71" s="191">
        <v>215.0</v>
      </c>
      <c r="E71" s="191">
        <v>201.0</v>
      </c>
      <c r="F71" s="191">
        <f t="shared" si="5"/>
        <v>0</v>
      </c>
      <c r="G71" s="191">
        <f t="shared" si="6"/>
        <v>118.5603525</v>
      </c>
      <c r="H71" s="219">
        <f t="shared" si="7"/>
        <v>118.5603525</v>
      </c>
      <c r="I71" s="218">
        <v>1.0</v>
      </c>
      <c r="J71" s="194">
        <f t="shared" si="8"/>
        <v>118.5603525</v>
      </c>
      <c r="K71" s="139"/>
      <c r="L71" s="197"/>
      <c r="M71" s="198"/>
      <c r="N71" s="198"/>
      <c r="O71" s="139"/>
      <c r="P71" s="139"/>
      <c r="Q71" s="188">
        <v>29.5</v>
      </c>
      <c r="R71" s="187">
        <f t="shared" si="9"/>
        <v>2.01</v>
      </c>
      <c r="S71" s="181">
        <f t="shared" si="10"/>
        <v>1</v>
      </c>
      <c r="T71" s="181">
        <f t="shared" si="11"/>
        <v>2.01</v>
      </c>
      <c r="U71" s="278">
        <f t="shared" si="12"/>
        <v>118.5603525</v>
      </c>
      <c r="V71" s="187">
        <f t="shared" ref="V71:W71" si="64">C71/100</f>
        <v>0.93</v>
      </c>
      <c r="W71" s="187">
        <f t="shared" si="64"/>
        <v>2.15</v>
      </c>
      <c r="X71" s="187">
        <f t="shared" si="14"/>
        <v>2.01</v>
      </c>
      <c r="Y71" s="189">
        <f t="shared" si="15"/>
        <v>4.018995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81">
        <v>49.0</v>
      </c>
      <c r="B72" s="191" t="s">
        <v>55</v>
      </c>
      <c r="C72" s="191">
        <v>97.0</v>
      </c>
      <c r="D72" s="191">
        <v>215.0</v>
      </c>
      <c r="E72" s="191">
        <v>203.0</v>
      </c>
      <c r="F72" s="191">
        <f t="shared" si="5"/>
        <v>0</v>
      </c>
      <c r="G72" s="191">
        <f t="shared" si="6"/>
        <v>124.8901675</v>
      </c>
      <c r="H72" s="219">
        <f t="shared" si="7"/>
        <v>124.8901675</v>
      </c>
      <c r="I72" s="218">
        <v>1.0</v>
      </c>
      <c r="J72" s="194">
        <f t="shared" si="8"/>
        <v>124.8901675</v>
      </c>
      <c r="K72" s="139"/>
      <c r="L72" s="197"/>
      <c r="M72" s="198"/>
      <c r="N72" s="198"/>
      <c r="O72" s="139"/>
      <c r="P72" s="139"/>
      <c r="Q72" s="188">
        <v>29.5</v>
      </c>
      <c r="R72" s="187">
        <f t="shared" si="9"/>
        <v>2.03</v>
      </c>
      <c r="S72" s="181">
        <f t="shared" si="10"/>
        <v>1</v>
      </c>
      <c r="T72" s="181">
        <f t="shared" si="11"/>
        <v>2.03</v>
      </c>
      <c r="U72" s="278">
        <f t="shared" si="12"/>
        <v>124.8901675</v>
      </c>
      <c r="V72" s="187">
        <f t="shared" ref="V72:W72" si="65">C72/100</f>
        <v>0.97</v>
      </c>
      <c r="W72" s="187">
        <f t="shared" si="65"/>
        <v>2.15</v>
      </c>
      <c r="X72" s="187">
        <f t="shared" si="14"/>
        <v>2.03</v>
      </c>
      <c r="Y72" s="189">
        <f t="shared" si="15"/>
        <v>4.233565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81">
        <v>50.0</v>
      </c>
      <c r="B73" s="191" t="s">
        <v>55</v>
      </c>
      <c r="C73" s="191">
        <v>96.0</v>
      </c>
      <c r="D73" s="191">
        <v>215.0</v>
      </c>
      <c r="E73" s="191">
        <v>214.0</v>
      </c>
      <c r="F73" s="191">
        <f t="shared" si="5"/>
        <v>0</v>
      </c>
      <c r="G73" s="191">
        <f t="shared" si="6"/>
        <v>130.30032</v>
      </c>
      <c r="H73" s="219">
        <f t="shared" si="7"/>
        <v>130.30032</v>
      </c>
      <c r="I73" s="218">
        <v>2.0</v>
      </c>
      <c r="J73" s="194">
        <f t="shared" si="8"/>
        <v>260.60064</v>
      </c>
      <c r="K73" s="139"/>
      <c r="L73" s="197"/>
      <c r="M73" s="198"/>
      <c r="N73" s="198"/>
      <c r="O73" s="139"/>
      <c r="P73" s="139"/>
      <c r="Q73" s="188">
        <v>29.5</v>
      </c>
      <c r="R73" s="187">
        <f t="shared" si="9"/>
        <v>2.14</v>
      </c>
      <c r="S73" s="181">
        <f t="shared" si="10"/>
        <v>2</v>
      </c>
      <c r="T73" s="181">
        <f t="shared" si="11"/>
        <v>4.28</v>
      </c>
      <c r="U73" s="278">
        <f t="shared" si="12"/>
        <v>130.30032</v>
      </c>
      <c r="V73" s="187">
        <f t="shared" ref="V73:W73" si="66">C73/100</f>
        <v>0.96</v>
      </c>
      <c r="W73" s="187">
        <f t="shared" si="66"/>
        <v>2.15</v>
      </c>
      <c r="X73" s="187">
        <f t="shared" si="14"/>
        <v>4.28</v>
      </c>
      <c r="Y73" s="189">
        <f t="shared" si="15"/>
        <v>8.83392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7.0" customHeight="1">
      <c r="A74" s="181">
        <v>51.0</v>
      </c>
      <c r="B74" s="191" t="s">
        <v>55</v>
      </c>
      <c r="C74" s="191">
        <v>93.0</v>
      </c>
      <c r="D74" s="191">
        <v>215.0</v>
      </c>
      <c r="E74" s="191">
        <v>215.0</v>
      </c>
      <c r="F74" s="191">
        <f t="shared" si="5"/>
        <v>0</v>
      </c>
      <c r="G74" s="191">
        <f t="shared" si="6"/>
        <v>126.8182875</v>
      </c>
      <c r="H74" s="219">
        <f t="shared" si="7"/>
        <v>126.8182875</v>
      </c>
      <c r="I74" s="218">
        <v>1.0</v>
      </c>
      <c r="J74" s="194">
        <f t="shared" si="8"/>
        <v>126.8182875</v>
      </c>
      <c r="K74" s="139"/>
      <c r="L74" s="197"/>
      <c r="M74" s="198"/>
      <c r="N74" s="198"/>
      <c r="O74" s="139"/>
      <c r="P74" s="139"/>
      <c r="Q74" s="188">
        <v>29.5</v>
      </c>
      <c r="R74" s="187">
        <f t="shared" si="9"/>
        <v>2.15</v>
      </c>
      <c r="S74" s="181">
        <f t="shared" si="10"/>
        <v>1</v>
      </c>
      <c r="T74" s="181">
        <f t="shared" si="11"/>
        <v>2.15</v>
      </c>
      <c r="U74" s="278">
        <f t="shared" si="12"/>
        <v>126.8182875</v>
      </c>
      <c r="V74" s="187">
        <f t="shared" ref="V74:W74" si="67">C74/100</f>
        <v>0.93</v>
      </c>
      <c r="W74" s="187">
        <f t="shared" si="67"/>
        <v>2.15</v>
      </c>
      <c r="X74" s="187">
        <f t="shared" si="14"/>
        <v>2.15</v>
      </c>
      <c r="Y74" s="189">
        <f t="shared" si="15"/>
        <v>4.298925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27.0" customHeight="1">
      <c r="A75" s="181">
        <v>52.0</v>
      </c>
      <c r="B75" s="182" t="s">
        <v>64</v>
      </c>
      <c r="C75" s="183">
        <v>92.0</v>
      </c>
      <c r="D75" s="183">
        <v>203.0</v>
      </c>
      <c r="E75" s="183">
        <v>233.0</v>
      </c>
      <c r="F75" s="183">
        <f t="shared" si="5"/>
        <v>0.8</v>
      </c>
      <c r="G75" s="183">
        <f t="shared" si="6"/>
        <v>128.369486</v>
      </c>
      <c r="H75" s="184">
        <f t="shared" si="7"/>
        <v>102.6955888</v>
      </c>
      <c r="I75" s="183">
        <v>1.0</v>
      </c>
      <c r="J75" s="194">
        <f t="shared" si="8"/>
        <v>102.6955888</v>
      </c>
      <c r="K75" s="139"/>
      <c r="L75" s="197"/>
      <c r="M75" s="198"/>
      <c r="N75" s="198"/>
      <c r="O75" s="139"/>
      <c r="P75" s="139"/>
      <c r="Q75" s="188">
        <v>29.5</v>
      </c>
      <c r="R75" s="187">
        <f t="shared" si="9"/>
        <v>2.33</v>
      </c>
      <c r="S75" s="181">
        <f t="shared" si="10"/>
        <v>1</v>
      </c>
      <c r="T75" s="181">
        <f t="shared" si="11"/>
        <v>2.33</v>
      </c>
      <c r="U75" s="278">
        <f t="shared" si="12"/>
        <v>128.369486</v>
      </c>
      <c r="V75" s="187">
        <f t="shared" ref="V75:W75" si="68">C75/100</f>
        <v>0.92</v>
      </c>
      <c r="W75" s="187">
        <f t="shared" si="68"/>
        <v>2.03</v>
      </c>
      <c r="X75" s="187">
        <f t="shared" si="14"/>
        <v>2.33</v>
      </c>
      <c r="Y75" s="189">
        <f t="shared" si="15"/>
        <v>4.351508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27.0" customHeight="1">
      <c r="A76" s="181">
        <v>53.0</v>
      </c>
      <c r="B76" s="191" t="s">
        <v>55</v>
      </c>
      <c r="C76" s="191">
        <v>97.0</v>
      </c>
      <c r="D76" s="191">
        <v>203.0</v>
      </c>
      <c r="E76" s="191">
        <v>233.0</v>
      </c>
      <c r="F76" s="191">
        <f t="shared" si="5"/>
        <v>0</v>
      </c>
      <c r="G76" s="191">
        <f t="shared" si="6"/>
        <v>135.3460885</v>
      </c>
      <c r="H76" s="219">
        <f t="shared" si="7"/>
        <v>135.3460885</v>
      </c>
      <c r="I76" s="218">
        <v>3.0</v>
      </c>
      <c r="J76" s="194">
        <f t="shared" si="8"/>
        <v>406.0382655</v>
      </c>
      <c r="K76" s="139"/>
      <c r="L76" s="197"/>
      <c r="M76" s="198"/>
      <c r="N76" s="198"/>
      <c r="O76" s="139"/>
      <c r="P76" s="139"/>
      <c r="Q76" s="188">
        <v>29.5</v>
      </c>
      <c r="R76" s="187">
        <f t="shared" si="9"/>
        <v>2.33</v>
      </c>
      <c r="S76" s="181">
        <f t="shared" si="10"/>
        <v>3</v>
      </c>
      <c r="T76" s="181">
        <f t="shared" si="11"/>
        <v>6.99</v>
      </c>
      <c r="U76" s="278">
        <f t="shared" si="12"/>
        <v>135.3460885</v>
      </c>
      <c r="V76" s="187">
        <f t="shared" ref="V76:W76" si="69">C76/100</f>
        <v>0.97</v>
      </c>
      <c r="W76" s="187">
        <f t="shared" si="69"/>
        <v>2.03</v>
      </c>
      <c r="X76" s="187">
        <f t="shared" si="14"/>
        <v>6.99</v>
      </c>
      <c r="Y76" s="189">
        <f t="shared" si="15"/>
        <v>13.764009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27.0" customHeight="1">
      <c r="A77" s="181">
        <v>54.0</v>
      </c>
      <c r="B77" s="191" t="s">
        <v>55</v>
      </c>
      <c r="C77" s="191">
        <v>98.0</v>
      </c>
      <c r="D77" s="191">
        <v>203.0</v>
      </c>
      <c r="E77" s="191">
        <v>232.0</v>
      </c>
      <c r="F77" s="191">
        <f t="shared" si="5"/>
        <v>0</v>
      </c>
      <c r="G77" s="191">
        <f t="shared" si="6"/>
        <v>136.154536</v>
      </c>
      <c r="H77" s="219">
        <f t="shared" si="7"/>
        <v>136.154536</v>
      </c>
      <c r="I77" s="218">
        <v>4.0</v>
      </c>
      <c r="J77" s="194">
        <f t="shared" si="8"/>
        <v>544.618144</v>
      </c>
      <c r="K77" s="139"/>
      <c r="L77" s="197"/>
      <c r="M77" s="198"/>
      <c r="N77" s="198"/>
      <c r="O77" s="139"/>
      <c r="P77" s="139"/>
      <c r="Q77" s="188">
        <v>29.5</v>
      </c>
      <c r="R77" s="187">
        <f t="shared" si="9"/>
        <v>2.32</v>
      </c>
      <c r="S77" s="181">
        <f t="shared" si="10"/>
        <v>4</v>
      </c>
      <c r="T77" s="181">
        <f t="shared" si="11"/>
        <v>9.28</v>
      </c>
      <c r="U77" s="278">
        <f t="shared" si="12"/>
        <v>136.154536</v>
      </c>
      <c r="V77" s="187">
        <f t="shared" ref="V77:W77" si="70">C77/100</f>
        <v>0.98</v>
      </c>
      <c r="W77" s="187">
        <f t="shared" si="70"/>
        <v>2.03</v>
      </c>
      <c r="X77" s="187">
        <f t="shared" si="14"/>
        <v>9.28</v>
      </c>
      <c r="Y77" s="189">
        <f t="shared" si="15"/>
        <v>18.461632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27.0" customHeight="1">
      <c r="A78" s="181">
        <v>55.0</v>
      </c>
      <c r="B78" s="191" t="s">
        <v>55</v>
      </c>
      <c r="C78" s="191">
        <v>96.0</v>
      </c>
      <c r="D78" s="191">
        <v>203.0</v>
      </c>
      <c r="E78" s="191">
        <v>232.0</v>
      </c>
      <c r="F78" s="191">
        <f t="shared" si="5"/>
        <v>0</v>
      </c>
      <c r="G78" s="191">
        <f t="shared" si="6"/>
        <v>133.375872</v>
      </c>
      <c r="H78" s="219">
        <f t="shared" si="7"/>
        <v>133.375872</v>
      </c>
      <c r="I78" s="218">
        <v>6.0</v>
      </c>
      <c r="J78" s="194">
        <f t="shared" si="8"/>
        <v>800.255232</v>
      </c>
      <c r="K78" s="139"/>
      <c r="L78" s="197"/>
      <c r="M78" s="198"/>
      <c r="N78" s="198"/>
      <c r="O78" s="139"/>
      <c r="P78" s="139"/>
      <c r="Q78" s="188">
        <v>29.5</v>
      </c>
      <c r="R78" s="187">
        <f t="shared" si="9"/>
        <v>2.32</v>
      </c>
      <c r="S78" s="181">
        <f t="shared" si="10"/>
        <v>6</v>
      </c>
      <c r="T78" s="181">
        <f t="shared" si="11"/>
        <v>13.92</v>
      </c>
      <c r="U78" s="278">
        <f t="shared" si="12"/>
        <v>133.375872</v>
      </c>
      <c r="V78" s="187">
        <f t="shared" ref="V78:W78" si="71">C78/100</f>
        <v>0.96</v>
      </c>
      <c r="W78" s="187">
        <f t="shared" si="71"/>
        <v>2.03</v>
      </c>
      <c r="X78" s="187">
        <f t="shared" si="14"/>
        <v>13.92</v>
      </c>
      <c r="Y78" s="189">
        <f t="shared" si="15"/>
        <v>27.127296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7.0" customHeight="1">
      <c r="A79" s="181">
        <v>56.0</v>
      </c>
      <c r="B79" s="191" t="s">
        <v>55</v>
      </c>
      <c r="C79" s="191">
        <v>97.0</v>
      </c>
      <c r="D79" s="191">
        <v>203.0</v>
      </c>
      <c r="E79" s="191">
        <v>232.0</v>
      </c>
      <c r="F79" s="191">
        <f t="shared" si="5"/>
        <v>0</v>
      </c>
      <c r="G79" s="191">
        <f t="shared" si="6"/>
        <v>134.765204</v>
      </c>
      <c r="H79" s="219">
        <f t="shared" si="7"/>
        <v>134.765204</v>
      </c>
      <c r="I79" s="218">
        <v>2.0</v>
      </c>
      <c r="J79" s="194">
        <f t="shared" si="8"/>
        <v>269.530408</v>
      </c>
      <c r="K79" s="139"/>
      <c r="L79" s="197"/>
      <c r="M79" s="198"/>
      <c r="N79" s="198"/>
      <c r="O79" s="139"/>
      <c r="P79" s="139"/>
      <c r="Q79" s="188">
        <v>29.5</v>
      </c>
      <c r="R79" s="187">
        <f t="shared" si="9"/>
        <v>2.32</v>
      </c>
      <c r="S79" s="181">
        <f t="shared" si="10"/>
        <v>2</v>
      </c>
      <c r="T79" s="181">
        <f t="shared" si="11"/>
        <v>4.64</v>
      </c>
      <c r="U79" s="278">
        <f t="shared" si="12"/>
        <v>134.765204</v>
      </c>
      <c r="V79" s="187">
        <f t="shared" ref="V79:W79" si="72">C79/100</f>
        <v>0.97</v>
      </c>
      <c r="W79" s="187">
        <f t="shared" si="72"/>
        <v>2.03</v>
      </c>
      <c r="X79" s="187">
        <f t="shared" si="14"/>
        <v>4.64</v>
      </c>
      <c r="Y79" s="189">
        <f t="shared" si="15"/>
        <v>9.136624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7.0" customHeight="1">
      <c r="A80" s="181">
        <v>57.0</v>
      </c>
      <c r="B80" s="191" t="s">
        <v>55</v>
      </c>
      <c r="C80" s="191">
        <v>74.0</v>
      </c>
      <c r="D80" s="191">
        <v>203.0</v>
      </c>
      <c r="E80" s="191">
        <v>254.0</v>
      </c>
      <c r="F80" s="191">
        <f t="shared" si="5"/>
        <v>0</v>
      </c>
      <c r="G80" s="191">
        <f t="shared" si="6"/>
        <v>112.559846</v>
      </c>
      <c r="H80" s="219">
        <f t="shared" si="7"/>
        <v>112.559846</v>
      </c>
      <c r="I80" s="218">
        <v>1.0</v>
      </c>
      <c r="J80" s="194">
        <f t="shared" si="8"/>
        <v>112.559846</v>
      </c>
      <c r="K80" s="139"/>
      <c r="L80" s="197"/>
      <c r="M80" s="198"/>
      <c r="N80" s="198"/>
      <c r="O80" s="139"/>
      <c r="P80" s="139"/>
      <c r="Q80" s="188">
        <v>29.5</v>
      </c>
      <c r="R80" s="187">
        <f t="shared" si="9"/>
        <v>2.54</v>
      </c>
      <c r="S80" s="181">
        <f t="shared" si="10"/>
        <v>1</v>
      </c>
      <c r="T80" s="181">
        <f t="shared" si="11"/>
        <v>2.54</v>
      </c>
      <c r="U80" s="278">
        <f t="shared" si="12"/>
        <v>112.559846</v>
      </c>
      <c r="V80" s="187">
        <f t="shared" ref="V80:W80" si="73">C80/100</f>
        <v>0.74</v>
      </c>
      <c r="W80" s="187">
        <f t="shared" si="73"/>
        <v>2.03</v>
      </c>
      <c r="X80" s="187">
        <f t="shared" si="14"/>
        <v>2.54</v>
      </c>
      <c r="Y80" s="189">
        <f t="shared" si="15"/>
        <v>3.815588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7.0" customHeight="1">
      <c r="A81" s="181">
        <v>58.0</v>
      </c>
      <c r="B81" s="191" t="s">
        <v>55</v>
      </c>
      <c r="C81" s="191">
        <v>96.0</v>
      </c>
      <c r="D81" s="191">
        <v>203.0</v>
      </c>
      <c r="E81" s="191">
        <v>231.0</v>
      </c>
      <c r="F81" s="191">
        <f t="shared" si="5"/>
        <v>0</v>
      </c>
      <c r="G81" s="191">
        <f t="shared" si="6"/>
        <v>132.800976</v>
      </c>
      <c r="H81" s="219">
        <f t="shared" si="7"/>
        <v>132.800976</v>
      </c>
      <c r="I81" s="218">
        <v>1.0</v>
      </c>
      <c r="J81" s="194">
        <f t="shared" si="8"/>
        <v>132.800976</v>
      </c>
      <c r="K81" s="139"/>
      <c r="L81" s="197"/>
      <c r="M81" s="198"/>
      <c r="N81" s="198"/>
      <c r="O81" s="139"/>
      <c r="P81" s="139"/>
      <c r="Q81" s="188">
        <v>29.5</v>
      </c>
      <c r="R81" s="187">
        <f t="shared" si="9"/>
        <v>2.31</v>
      </c>
      <c r="S81" s="181">
        <f t="shared" si="10"/>
        <v>1</v>
      </c>
      <c r="T81" s="181">
        <f t="shared" si="11"/>
        <v>2.31</v>
      </c>
      <c r="U81" s="278">
        <f t="shared" si="12"/>
        <v>132.800976</v>
      </c>
      <c r="V81" s="187">
        <f t="shared" ref="V81:W81" si="74">C81/100</f>
        <v>0.96</v>
      </c>
      <c r="W81" s="187">
        <f t="shared" si="74"/>
        <v>2.03</v>
      </c>
      <c r="X81" s="187">
        <f t="shared" si="14"/>
        <v>2.31</v>
      </c>
      <c r="Y81" s="189">
        <f t="shared" si="15"/>
        <v>4.501728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27.0" customHeight="1">
      <c r="A82" s="181">
        <v>59.0</v>
      </c>
      <c r="B82" s="191" t="s">
        <v>55</v>
      </c>
      <c r="C82" s="191">
        <v>96.0</v>
      </c>
      <c r="D82" s="191">
        <v>203.0</v>
      </c>
      <c r="E82" s="191">
        <v>233.0</v>
      </c>
      <c r="F82" s="191">
        <f t="shared" si="5"/>
        <v>0</v>
      </c>
      <c r="G82" s="191">
        <f t="shared" si="6"/>
        <v>133.950768</v>
      </c>
      <c r="H82" s="219">
        <f t="shared" si="7"/>
        <v>133.950768</v>
      </c>
      <c r="I82" s="218">
        <v>2.0</v>
      </c>
      <c r="J82" s="194">
        <f t="shared" si="8"/>
        <v>267.901536</v>
      </c>
      <c r="K82" s="139"/>
      <c r="L82" s="197"/>
      <c r="M82" s="198"/>
      <c r="N82" s="198"/>
      <c r="O82" s="139"/>
      <c r="P82" s="139"/>
      <c r="Q82" s="188">
        <v>29.5</v>
      </c>
      <c r="R82" s="187">
        <f t="shared" si="9"/>
        <v>2.33</v>
      </c>
      <c r="S82" s="181">
        <f t="shared" si="10"/>
        <v>2</v>
      </c>
      <c r="T82" s="181">
        <f t="shared" si="11"/>
        <v>4.66</v>
      </c>
      <c r="U82" s="278">
        <f t="shared" si="12"/>
        <v>133.950768</v>
      </c>
      <c r="V82" s="187">
        <f t="shared" ref="V82:W82" si="75">C82/100</f>
        <v>0.96</v>
      </c>
      <c r="W82" s="187">
        <f t="shared" si="75"/>
        <v>2.03</v>
      </c>
      <c r="X82" s="187">
        <f t="shared" si="14"/>
        <v>4.66</v>
      </c>
      <c r="Y82" s="189">
        <f t="shared" si="15"/>
        <v>9.081408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7.0" customHeight="1">
      <c r="A83" s="181">
        <v>60.0</v>
      </c>
      <c r="B83" s="191" t="s">
        <v>55</v>
      </c>
      <c r="C83" s="191">
        <v>98.0</v>
      </c>
      <c r="D83" s="191">
        <v>203.0</v>
      </c>
      <c r="E83" s="191">
        <v>233.0</v>
      </c>
      <c r="F83" s="191">
        <f t="shared" si="5"/>
        <v>0</v>
      </c>
      <c r="G83" s="191">
        <f t="shared" si="6"/>
        <v>136.741409</v>
      </c>
      <c r="H83" s="219">
        <f t="shared" si="7"/>
        <v>136.741409</v>
      </c>
      <c r="I83" s="218">
        <v>1.0</v>
      </c>
      <c r="J83" s="194">
        <f t="shared" si="8"/>
        <v>136.741409</v>
      </c>
      <c r="K83" s="139"/>
      <c r="L83" s="197"/>
      <c r="M83" s="198"/>
      <c r="N83" s="198"/>
      <c r="O83" s="139"/>
      <c r="P83" s="139"/>
      <c r="Q83" s="188">
        <v>29.5</v>
      </c>
      <c r="R83" s="187">
        <f t="shared" si="9"/>
        <v>2.33</v>
      </c>
      <c r="S83" s="181">
        <f t="shared" si="10"/>
        <v>1</v>
      </c>
      <c r="T83" s="181">
        <f t="shared" si="11"/>
        <v>2.33</v>
      </c>
      <c r="U83" s="278">
        <f t="shared" si="12"/>
        <v>136.741409</v>
      </c>
      <c r="V83" s="187">
        <f t="shared" ref="V83:W83" si="76">C83/100</f>
        <v>0.98</v>
      </c>
      <c r="W83" s="187">
        <f t="shared" si="76"/>
        <v>2.03</v>
      </c>
      <c r="X83" s="187">
        <f t="shared" si="14"/>
        <v>2.33</v>
      </c>
      <c r="Y83" s="189">
        <f t="shared" si="15"/>
        <v>4.635302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7.0" customHeight="1">
      <c r="A84" s="181">
        <v>61.0</v>
      </c>
      <c r="B84" s="191" t="s">
        <v>55</v>
      </c>
      <c r="C84" s="191">
        <v>96.0</v>
      </c>
      <c r="D84" s="191">
        <v>203.0</v>
      </c>
      <c r="E84" s="191">
        <v>233.0</v>
      </c>
      <c r="F84" s="191">
        <f t="shared" si="5"/>
        <v>0</v>
      </c>
      <c r="G84" s="191">
        <f t="shared" si="6"/>
        <v>133.950768</v>
      </c>
      <c r="H84" s="219">
        <f t="shared" si="7"/>
        <v>133.950768</v>
      </c>
      <c r="I84" s="218">
        <v>5.0</v>
      </c>
      <c r="J84" s="194">
        <f t="shared" si="8"/>
        <v>669.75384</v>
      </c>
      <c r="K84" s="139"/>
      <c r="L84" s="197"/>
      <c r="M84" s="198"/>
      <c r="N84" s="198"/>
      <c r="O84" s="139"/>
      <c r="P84" s="139"/>
      <c r="Q84" s="188">
        <v>29.5</v>
      </c>
      <c r="R84" s="187">
        <f t="shared" si="9"/>
        <v>2.33</v>
      </c>
      <c r="S84" s="181">
        <f t="shared" si="10"/>
        <v>5</v>
      </c>
      <c r="T84" s="181">
        <f t="shared" si="11"/>
        <v>11.65</v>
      </c>
      <c r="U84" s="278">
        <f t="shared" si="12"/>
        <v>133.950768</v>
      </c>
      <c r="V84" s="187">
        <f t="shared" ref="V84:W84" si="77">C84/100</f>
        <v>0.96</v>
      </c>
      <c r="W84" s="187">
        <f t="shared" si="77"/>
        <v>2.03</v>
      </c>
      <c r="X84" s="187">
        <f t="shared" si="14"/>
        <v>11.65</v>
      </c>
      <c r="Y84" s="189">
        <f t="shared" si="15"/>
        <v>22.70352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7.0" customHeight="1">
      <c r="A85" s="181">
        <v>62.0</v>
      </c>
      <c r="B85" s="182" t="s">
        <v>64</v>
      </c>
      <c r="C85" s="183">
        <v>80.0</v>
      </c>
      <c r="D85" s="183">
        <v>195.0</v>
      </c>
      <c r="E85" s="183">
        <v>252.0</v>
      </c>
      <c r="F85" s="183">
        <f t="shared" si="5"/>
        <v>0.8</v>
      </c>
      <c r="G85" s="183">
        <f t="shared" si="6"/>
        <v>115.9704</v>
      </c>
      <c r="H85" s="184">
        <f t="shared" si="7"/>
        <v>92.77632</v>
      </c>
      <c r="I85" s="183">
        <v>1.0</v>
      </c>
      <c r="J85" s="194">
        <f t="shared" si="8"/>
        <v>92.77632</v>
      </c>
      <c r="K85" s="139"/>
      <c r="L85" s="197"/>
      <c r="M85" s="198"/>
      <c r="N85" s="198"/>
      <c r="O85" s="139"/>
      <c r="P85" s="139"/>
      <c r="Q85" s="188">
        <v>29.5</v>
      </c>
      <c r="R85" s="187">
        <f t="shared" si="9"/>
        <v>2.52</v>
      </c>
      <c r="S85" s="181">
        <f t="shared" si="10"/>
        <v>1</v>
      </c>
      <c r="T85" s="181">
        <f t="shared" si="11"/>
        <v>2.52</v>
      </c>
      <c r="U85" s="278">
        <f t="shared" si="12"/>
        <v>115.9704</v>
      </c>
      <c r="V85" s="187">
        <f t="shared" ref="V85:W85" si="78">C85/100</f>
        <v>0.8</v>
      </c>
      <c r="W85" s="187">
        <f t="shared" si="78"/>
        <v>1.95</v>
      </c>
      <c r="X85" s="187">
        <f t="shared" si="14"/>
        <v>2.52</v>
      </c>
      <c r="Y85" s="189">
        <f t="shared" si="15"/>
        <v>3.9312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7.0" customHeight="1">
      <c r="A86" s="181">
        <v>63.0</v>
      </c>
      <c r="B86" s="191" t="s">
        <v>55</v>
      </c>
      <c r="C86" s="191">
        <v>86.0</v>
      </c>
      <c r="D86" s="191">
        <v>195.0</v>
      </c>
      <c r="E86" s="191">
        <v>224.0</v>
      </c>
      <c r="F86" s="191">
        <f t="shared" si="5"/>
        <v>0</v>
      </c>
      <c r="G86" s="191">
        <f t="shared" si="6"/>
        <v>110.81616</v>
      </c>
      <c r="H86" s="219">
        <f t="shared" si="7"/>
        <v>110.81616</v>
      </c>
      <c r="I86" s="218">
        <v>1.0</v>
      </c>
      <c r="J86" s="194">
        <f t="shared" si="8"/>
        <v>110.81616</v>
      </c>
      <c r="K86" s="139"/>
      <c r="L86" s="197"/>
      <c r="M86" s="198"/>
      <c r="N86" s="198"/>
      <c r="O86" s="139"/>
      <c r="P86" s="139"/>
      <c r="Q86" s="188">
        <v>29.5</v>
      </c>
      <c r="R86" s="187">
        <f t="shared" si="9"/>
        <v>2.24</v>
      </c>
      <c r="S86" s="181">
        <f t="shared" si="10"/>
        <v>1</v>
      </c>
      <c r="T86" s="181">
        <f t="shared" si="11"/>
        <v>2.24</v>
      </c>
      <c r="U86" s="278">
        <f t="shared" si="12"/>
        <v>110.81616</v>
      </c>
      <c r="V86" s="187">
        <f t="shared" ref="V86:W86" si="79">C86/100</f>
        <v>0.86</v>
      </c>
      <c r="W86" s="187">
        <f t="shared" si="79"/>
        <v>1.95</v>
      </c>
      <c r="X86" s="187">
        <f t="shared" si="14"/>
        <v>2.24</v>
      </c>
      <c r="Y86" s="189">
        <f t="shared" si="15"/>
        <v>3.75648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7.0" customHeight="1">
      <c r="A87" s="181">
        <v>64.0</v>
      </c>
      <c r="B87" s="191" t="s">
        <v>55</v>
      </c>
      <c r="C87" s="191">
        <v>97.0</v>
      </c>
      <c r="D87" s="191">
        <v>195.0</v>
      </c>
      <c r="E87" s="191">
        <v>251.0</v>
      </c>
      <c r="F87" s="191">
        <f t="shared" si="5"/>
        <v>0</v>
      </c>
      <c r="G87" s="191">
        <f t="shared" si="6"/>
        <v>140.0561175</v>
      </c>
      <c r="H87" s="219">
        <f t="shared" si="7"/>
        <v>140.0561175</v>
      </c>
      <c r="I87" s="218">
        <v>1.0</v>
      </c>
      <c r="J87" s="194">
        <f t="shared" si="8"/>
        <v>140.0561175</v>
      </c>
      <c r="K87" s="139"/>
      <c r="L87" s="197"/>
      <c r="M87" s="198"/>
      <c r="N87" s="198"/>
      <c r="O87" s="139"/>
      <c r="P87" s="139"/>
      <c r="Q87" s="188">
        <v>29.5</v>
      </c>
      <c r="R87" s="187">
        <f t="shared" si="9"/>
        <v>2.51</v>
      </c>
      <c r="S87" s="181">
        <f t="shared" si="10"/>
        <v>1</v>
      </c>
      <c r="T87" s="181">
        <f t="shared" si="11"/>
        <v>2.51</v>
      </c>
      <c r="U87" s="278">
        <f t="shared" si="12"/>
        <v>140.0561175</v>
      </c>
      <c r="V87" s="187">
        <f t="shared" ref="V87:W87" si="80">C87/100</f>
        <v>0.97</v>
      </c>
      <c r="W87" s="187">
        <f t="shared" si="80"/>
        <v>1.95</v>
      </c>
      <c r="X87" s="187">
        <f t="shared" si="14"/>
        <v>2.51</v>
      </c>
      <c r="Y87" s="189">
        <f t="shared" si="15"/>
        <v>4.747665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27.0" customHeight="1">
      <c r="A88" s="181">
        <v>65.0</v>
      </c>
      <c r="B88" s="191" t="s">
        <v>55</v>
      </c>
      <c r="C88" s="191">
        <v>96.0</v>
      </c>
      <c r="D88" s="191">
        <v>195.0</v>
      </c>
      <c r="E88" s="191">
        <v>252.0</v>
      </c>
      <c r="F88" s="191">
        <f t="shared" si="5"/>
        <v>0</v>
      </c>
      <c r="G88" s="191">
        <f t="shared" si="6"/>
        <v>139.16448</v>
      </c>
      <c r="H88" s="219">
        <f t="shared" si="7"/>
        <v>139.16448</v>
      </c>
      <c r="I88" s="218">
        <v>1.0</v>
      </c>
      <c r="J88" s="194">
        <f t="shared" si="8"/>
        <v>139.16448</v>
      </c>
      <c r="K88" s="139"/>
      <c r="L88" s="197"/>
      <c r="M88" s="198"/>
      <c r="N88" s="198"/>
      <c r="O88" s="139"/>
      <c r="P88" s="139"/>
      <c r="Q88" s="188">
        <v>29.5</v>
      </c>
      <c r="R88" s="187">
        <f t="shared" si="9"/>
        <v>2.52</v>
      </c>
      <c r="S88" s="181">
        <f t="shared" si="10"/>
        <v>1</v>
      </c>
      <c r="T88" s="181">
        <f t="shared" si="11"/>
        <v>2.52</v>
      </c>
      <c r="U88" s="278">
        <f t="shared" si="12"/>
        <v>139.16448</v>
      </c>
      <c r="V88" s="187">
        <f t="shared" ref="V88:W88" si="81">C88/100</f>
        <v>0.96</v>
      </c>
      <c r="W88" s="187">
        <f t="shared" si="81"/>
        <v>1.95</v>
      </c>
      <c r="X88" s="187">
        <f t="shared" si="14"/>
        <v>2.52</v>
      </c>
      <c r="Y88" s="189">
        <f t="shared" si="15"/>
        <v>4.71744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27.0" customHeight="1">
      <c r="A89" s="181">
        <v>66.0</v>
      </c>
      <c r="B89" s="191" t="s">
        <v>55</v>
      </c>
      <c r="C89" s="191">
        <v>97.0</v>
      </c>
      <c r="D89" s="191">
        <v>195.0</v>
      </c>
      <c r="E89" s="191">
        <v>252.0</v>
      </c>
      <c r="F89" s="191">
        <f t="shared" si="5"/>
        <v>0</v>
      </c>
      <c r="G89" s="191">
        <f t="shared" si="6"/>
        <v>140.61411</v>
      </c>
      <c r="H89" s="219">
        <f t="shared" si="7"/>
        <v>140.61411</v>
      </c>
      <c r="I89" s="218">
        <v>1.0</v>
      </c>
      <c r="J89" s="194">
        <f t="shared" si="8"/>
        <v>140.61411</v>
      </c>
      <c r="K89" s="139"/>
      <c r="L89" s="197"/>
      <c r="M89" s="198"/>
      <c r="N89" s="198"/>
      <c r="O89" s="139"/>
      <c r="P89" s="139"/>
      <c r="Q89" s="188">
        <v>29.5</v>
      </c>
      <c r="R89" s="187">
        <f t="shared" si="9"/>
        <v>2.52</v>
      </c>
      <c r="S89" s="181">
        <f t="shared" si="10"/>
        <v>1</v>
      </c>
      <c r="T89" s="181">
        <f t="shared" si="11"/>
        <v>2.52</v>
      </c>
      <c r="U89" s="278">
        <f t="shared" si="12"/>
        <v>140.61411</v>
      </c>
      <c r="V89" s="187">
        <f t="shared" ref="V89:W89" si="82">C89/100</f>
        <v>0.97</v>
      </c>
      <c r="W89" s="187">
        <f t="shared" si="82"/>
        <v>1.95</v>
      </c>
      <c r="X89" s="187">
        <f t="shared" si="14"/>
        <v>2.52</v>
      </c>
      <c r="Y89" s="189">
        <f t="shared" si="15"/>
        <v>4.76658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27.0" customHeight="1">
      <c r="A90" s="181">
        <v>67.0</v>
      </c>
      <c r="B90" s="191" t="s">
        <v>55</v>
      </c>
      <c r="C90" s="191">
        <v>99.0</v>
      </c>
      <c r="D90" s="191">
        <v>195.0</v>
      </c>
      <c r="E90" s="191">
        <v>252.0</v>
      </c>
      <c r="F90" s="191">
        <f t="shared" si="5"/>
        <v>0</v>
      </c>
      <c r="G90" s="191">
        <f t="shared" si="6"/>
        <v>143.51337</v>
      </c>
      <c r="H90" s="219">
        <f t="shared" si="7"/>
        <v>143.51337</v>
      </c>
      <c r="I90" s="218">
        <v>2.0</v>
      </c>
      <c r="J90" s="194">
        <f t="shared" si="8"/>
        <v>287.02674</v>
      </c>
      <c r="K90" s="139"/>
      <c r="L90" s="197"/>
      <c r="M90" s="198"/>
      <c r="N90" s="198"/>
      <c r="O90" s="139"/>
      <c r="P90" s="139"/>
      <c r="Q90" s="188">
        <v>29.5</v>
      </c>
      <c r="R90" s="187">
        <f t="shared" si="9"/>
        <v>2.52</v>
      </c>
      <c r="S90" s="181">
        <f t="shared" si="10"/>
        <v>2</v>
      </c>
      <c r="T90" s="181">
        <f t="shared" si="11"/>
        <v>5.04</v>
      </c>
      <c r="U90" s="278">
        <f t="shared" si="12"/>
        <v>143.51337</v>
      </c>
      <c r="V90" s="187">
        <f t="shared" ref="V90:W90" si="83">C90/100</f>
        <v>0.99</v>
      </c>
      <c r="W90" s="187">
        <f t="shared" si="83"/>
        <v>1.95</v>
      </c>
      <c r="X90" s="187">
        <f t="shared" si="14"/>
        <v>5.04</v>
      </c>
      <c r="Y90" s="189">
        <f t="shared" si="15"/>
        <v>9.72972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27.0" customHeight="1">
      <c r="A91" s="181">
        <v>68.0</v>
      </c>
      <c r="B91" s="191" t="s">
        <v>55</v>
      </c>
      <c r="C91" s="191">
        <v>95.0</v>
      </c>
      <c r="D91" s="191">
        <v>195.0</v>
      </c>
      <c r="E91" s="191">
        <v>252.0</v>
      </c>
      <c r="F91" s="191">
        <f t="shared" si="5"/>
        <v>0</v>
      </c>
      <c r="G91" s="191">
        <f t="shared" si="6"/>
        <v>137.71485</v>
      </c>
      <c r="H91" s="219">
        <f t="shared" si="7"/>
        <v>137.71485</v>
      </c>
      <c r="I91" s="218">
        <v>2.0</v>
      </c>
      <c r="J91" s="194">
        <f t="shared" si="8"/>
        <v>275.4297</v>
      </c>
      <c r="K91" s="139"/>
      <c r="L91" s="197"/>
      <c r="M91" s="198"/>
      <c r="N91" s="198"/>
      <c r="O91" s="139"/>
      <c r="P91" s="139"/>
      <c r="Q91" s="188">
        <v>29.5</v>
      </c>
      <c r="R91" s="187">
        <f t="shared" si="9"/>
        <v>2.52</v>
      </c>
      <c r="S91" s="181">
        <f t="shared" si="10"/>
        <v>2</v>
      </c>
      <c r="T91" s="181">
        <f t="shared" si="11"/>
        <v>5.04</v>
      </c>
      <c r="U91" s="278">
        <f t="shared" si="12"/>
        <v>137.71485</v>
      </c>
      <c r="V91" s="187">
        <f t="shared" ref="V91:W91" si="84">C91/100</f>
        <v>0.95</v>
      </c>
      <c r="W91" s="187">
        <f t="shared" si="84"/>
        <v>1.95</v>
      </c>
      <c r="X91" s="187">
        <f t="shared" si="14"/>
        <v>5.04</v>
      </c>
      <c r="Y91" s="189">
        <f t="shared" si="15"/>
        <v>9.3366</v>
      </c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ht="27.0" customHeight="1">
      <c r="A92" s="181">
        <v>69.0</v>
      </c>
      <c r="B92" s="191" t="s">
        <v>55</v>
      </c>
      <c r="C92" s="191">
        <v>100.0</v>
      </c>
      <c r="D92" s="191">
        <v>195.0</v>
      </c>
      <c r="E92" s="191">
        <v>252.0</v>
      </c>
      <c r="F92" s="191">
        <f t="shared" si="5"/>
        <v>0</v>
      </c>
      <c r="G92" s="191">
        <f t="shared" si="6"/>
        <v>144.963</v>
      </c>
      <c r="H92" s="219">
        <f t="shared" si="7"/>
        <v>144.963</v>
      </c>
      <c r="I92" s="218">
        <v>1.0</v>
      </c>
      <c r="J92" s="194">
        <f t="shared" si="8"/>
        <v>144.963</v>
      </c>
      <c r="K92" s="139"/>
      <c r="L92" s="197"/>
      <c r="M92" s="198"/>
      <c r="N92" s="198"/>
      <c r="O92" s="139"/>
      <c r="P92" s="139"/>
      <c r="Q92" s="188">
        <v>29.5</v>
      </c>
      <c r="R92" s="187">
        <f t="shared" si="9"/>
        <v>2.52</v>
      </c>
      <c r="S92" s="181">
        <f t="shared" si="10"/>
        <v>1</v>
      </c>
      <c r="T92" s="181">
        <f t="shared" si="11"/>
        <v>2.52</v>
      </c>
      <c r="U92" s="278">
        <f t="shared" si="12"/>
        <v>144.963</v>
      </c>
      <c r="V92" s="187">
        <f t="shared" ref="V92:W92" si="85">C92/100</f>
        <v>1</v>
      </c>
      <c r="W92" s="187">
        <f t="shared" si="85"/>
        <v>1.95</v>
      </c>
      <c r="X92" s="187">
        <f t="shared" si="14"/>
        <v>2.52</v>
      </c>
      <c r="Y92" s="189">
        <f t="shared" si="15"/>
        <v>4.914</v>
      </c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27.0" customHeight="1">
      <c r="A93" s="181">
        <v>70.0</v>
      </c>
      <c r="B93" s="191" t="s">
        <v>55</v>
      </c>
      <c r="C93" s="191">
        <v>96.0</v>
      </c>
      <c r="D93" s="191">
        <v>195.0</v>
      </c>
      <c r="E93" s="191">
        <v>242.0</v>
      </c>
      <c r="F93" s="191">
        <f t="shared" si="5"/>
        <v>0</v>
      </c>
      <c r="G93" s="191">
        <f t="shared" si="6"/>
        <v>133.64208</v>
      </c>
      <c r="H93" s="219">
        <f t="shared" si="7"/>
        <v>133.64208</v>
      </c>
      <c r="I93" s="218">
        <v>1.0</v>
      </c>
      <c r="J93" s="194">
        <f t="shared" si="8"/>
        <v>133.64208</v>
      </c>
      <c r="K93" s="139"/>
      <c r="L93" s="197"/>
      <c r="M93" s="198"/>
      <c r="N93" s="198"/>
      <c r="O93" s="139"/>
      <c r="P93" s="139"/>
      <c r="Q93" s="188">
        <v>29.5</v>
      </c>
      <c r="R93" s="187">
        <f t="shared" si="9"/>
        <v>2.42</v>
      </c>
      <c r="S93" s="181">
        <f t="shared" si="10"/>
        <v>1</v>
      </c>
      <c r="T93" s="181">
        <f t="shared" si="11"/>
        <v>2.42</v>
      </c>
      <c r="U93" s="278">
        <f t="shared" si="12"/>
        <v>133.64208</v>
      </c>
      <c r="V93" s="187">
        <f t="shared" ref="V93:W93" si="86">C93/100</f>
        <v>0.96</v>
      </c>
      <c r="W93" s="187">
        <f t="shared" si="86"/>
        <v>1.95</v>
      </c>
      <c r="X93" s="187">
        <f t="shared" si="14"/>
        <v>2.42</v>
      </c>
      <c r="Y93" s="189">
        <f t="shared" si="15"/>
        <v>4.53024</v>
      </c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27.0" customHeight="1">
      <c r="A94" s="181">
        <v>71.0</v>
      </c>
      <c r="B94" s="191" t="s">
        <v>55</v>
      </c>
      <c r="C94" s="191">
        <v>90.0</v>
      </c>
      <c r="D94" s="191">
        <v>195.0</v>
      </c>
      <c r="E94" s="191">
        <v>251.0</v>
      </c>
      <c r="F94" s="191">
        <f t="shared" si="5"/>
        <v>0</v>
      </c>
      <c r="G94" s="191">
        <f t="shared" si="6"/>
        <v>129.948975</v>
      </c>
      <c r="H94" s="219">
        <f t="shared" si="7"/>
        <v>129.948975</v>
      </c>
      <c r="I94" s="218">
        <v>1.0</v>
      </c>
      <c r="J94" s="194">
        <f t="shared" si="8"/>
        <v>129.948975</v>
      </c>
      <c r="K94" s="139"/>
      <c r="L94" s="197"/>
      <c r="M94" s="198"/>
      <c r="N94" s="198"/>
      <c r="O94" s="139"/>
      <c r="P94" s="139"/>
      <c r="Q94" s="188">
        <v>29.5</v>
      </c>
      <c r="R94" s="187">
        <f t="shared" si="9"/>
        <v>2.51</v>
      </c>
      <c r="S94" s="181">
        <f t="shared" si="10"/>
        <v>1</v>
      </c>
      <c r="T94" s="181">
        <f t="shared" si="11"/>
        <v>2.51</v>
      </c>
      <c r="U94" s="278">
        <f t="shared" si="12"/>
        <v>129.948975</v>
      </c>
      <c r="V94" s="187">
        <f t="shared" ref="V94:W94" si="87">C94/100</f>
        <v>0.9</v>
      </c>
      <c r="W94" s="187">
        <f t="shared" si="87"/>
        <v>1.95</v>
      </c>
      <c r="X94" s="187">
        <f t="shared" si="14"/>
        <v>2.51</v>
      </c>
      <c r="Y94" s="189">
        <f t="shared" si="15"/>
        <v>4.40505</v>
      </c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27.0" customHeight="1">
      <c r="A95" s="181">
        <v>72.0</v>
      </c>
      <c r="B95" s="182" t="s">
        <v>92</v>
      </c>
      <c r="C95" s="183">
        <v>84.0</v>
      </c>
      <c r="D95" s="183">
        <v>208.0</v>
      </c>
      <c r="E95" s="183">
        <v>286.0</v>
      </c>
      <c r="F95" s="183">
        <f t="shared" si="5"/>
        <v>0.8</v>
      </c>
      <c r="G95" s="183">
        <f t="shared" si="6"/>
        <v>147.411264</v>
      </c>
      <c r="H95" s="184">
        <f t="shared" si="7"/>
        <v>117.9290112</v>
      </c>
      <c r="I95" s="183">
        <v>1.0</v>
      </c>
      <c r="J95" s="194">
        <f t="shared" si="8"/>
        <v>117.9290112</v>
      </c>
      <c r="K95" s="139"/>
      <c r="L95" s="197"/>
      <c r="M95" s="198"/>
      <c r="N95" s="198"/>
      <c r="O95" s="139"/>
      <c r="P95" s="139"/>
      <c r="Q95" s="188">
        <v>29.5</v>
      </c>
      <c r="R95" s="187">
        <f t="shared" si="9"/>
        <v>2.86</v>
      </c>
      <c r="S95" s="181">
        <f t="shared" si="10"/>
        <v>1</v>
      </c>
      <c r="T95" s="181">
        <f t="shared" si="11"/>
        <v>2.86</v>
      </c>
      <c r="U95" s="278">
        <f t="shared" si="12"/>
        <v>147.411264</v>
      </c>
      <c r="V95" s="187">
        <f t="shared" ref="V95:W95" si="88">C95/100</f>
        <v>0.84</v>
      </c>
      <c r="W95" s="187">
        <f t="shared" si="88"/>
        <v>2.08</v>
      </c>
      <c r="X95" s="187">
        <f t="shared" si="14"/>
        <v>2.86</v>
      </c>
      <c r="Y95" s="189">
        <f t="shared" si="15"/>
        <v>4.996992</v>
      </c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27.0" customHeight="1">
      <c r="A96" s="181">
        <v>73.0</v>
      </c>
      <c r="B96" s="191" t="s">
        <v>55</v>
      </c>
      <c r="C96" s="191">
        <v>94.0</v>
      </c>
      <c r="D96" s="191">
        <v>208.0</v>
      </c>
      <c r="E96" s="191">
        <v>288.0</v>
      </c>
      <c r="F96" s="191">
        <f t="shared" si="5"/>
        <v>0</v>
      </c>
      <c r="G96" s="191">
        <f t="shared" si="6"/>
        <v>166.113792</v>
      </c>
      <c r="H96" s="219">
        <f t="shared" si="7"/>
        <v>166.113792</v>
      </c>
      <c r="I96" s="218">
        <v>1.0</v>
      </c>
      <c r="J96" s="194">
        <f t="shared" si="8"/>
        <v>166.113792</v>
      </c>
      <c r="K96" s="139"/>
      <c r="L96" s="197"/>
      <c r="M96" s="198"/>
      <c r="N96" s="198"/>
      <c r="O96" s="139"/>
      <c r="P96" s="139"/>
      <c r="Q96" s="188">
        <v>29.5</v>
      </c>
      <c r="R96" s="187">
        <f t="shared" si="9"/>
        <v>2.88</v>
      </c>
      <c r="S96" s="181">
        <f t="shared" si="10"/>
        <v>1</v>
      </c>
      <c r="T96" s="181">
        <f t="shared" si="11"/>
        <v>2.88</v>
      </c>
      <c r="U96" s="278">
        <f t="shared" si="12"/>
        <v>166.113792</v>
      </c>
      <c r="V96" s="187">
        <f t="shared" ref="V96:W96" si="89">C96/100</f>
        <v>0.94</v>
      </c>
      <c r="W96" s="187">
        <f t="shared" si="89"/>
        <v>2.08</v>
      </c>
      <c r="X96" s="187">
        <f t="shared" si="14"/>
        <v>2.88</v>
      </c>
      <c r="Y96" s="189">
        <f t="shared" si="15"/>
        <v>5.630976</v>
      </c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27.0" customHeight="1">
      <c r="A97" s="181">
        <v>74.0</v>
      </c>
      <c r="B97" s="191" t="s">
        <v>55</v>
      </c>
      <c r="C97" s="191">
        <v>99.0</v>
      </c>
      <c r="D97" s="191">
        <v>208.0</v>
      </c>
      <c r="E97" s="191">
        <v>287.0</v>
      </c>
      <c r="F97" s="191">
        <f t="shared" si="5"/>
        <v>0</v>
      </c>
      <c r="G97" s="191">
        <f t="shared" si="6"/>
        <v>174.342168</v>
      </c>
      <c r="H97" s="219">
        <f t="shared" si="7"/>
        <v>174.342168</v>
      </c>
      <c r="I97" s="218">
        <v>1.0</v>
      </c>
      <c r="J97" s="194">
        <f t="shared" si="8"/>
        <v>174.342168</v>
      </c>
      <c r="K97" s="139"/>
      <c r="L97" s="197"/>
      <c r="M97" s="198"/>
      <c r="N97" s="198"/>
      <c r="O97" s="139"/>
      <c r="P97" s="139"/>
      <c r="Q97" s="188">
        <v>29.5</v>
      </c>
      <c r="R97" s="187">
        <f t="shared" si="9"/>
        <v>2.87</v>
      </c>
      <c r="S97" s="181">
        <f t="shared" si="10"/>
        <v>1</v>
      </c>
      <c r="T97" s="181">
        <f t="shared" si="11"/>
        <v>2.87</v>
      </c>
      <c r="U97" s="278">
        <f t="shared" si="12"/>
        <v>174.342168</v>
      </c>
      <c r="V97" s="187">
        <f t="shared" ref="V97:W97" si="90">C97/100</f>
        <v>0.99</v>
      </c>
      <c r="W97" s="187">
        <f t="shared" si="90"/>
        <v>2.08</v>
      </c>
      <c r="X97" s="187">
        <f t="shared" si="14"/>
        <v>2.87</v>
      </c>
      <c r="Y97" s="189">
        <f t="shared" si="15"/>
        <v>5.909904</v>
      </c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27.0" customHeight="1">
      <c r="A98" s="181">
        <v>75.0</v>
      </c>
      <c r="B98" s="191" t="s">
        <v>55</v>
      </c>
      <c r="C98" s="191">
        <v>100.0</v>
      </c>
      <c r="D98" s="191">
        <v>208.0</v>
      </c>
      <c r="E98" s="191">
        <v>286.0</v>
      </c>
      <c r="F98" s="191">
        <f t="shared" si="5"/>
        <v>0</v>
      </c>
      <c r="G98" s="191">
        <f t="shared" si="6"/>
        <v>175.4896</v>
      </c>
      <c r="H98" s="219">
        <f t="shared" si="7"/>
        <v>175.4896</v>
      </c>
      <c r="I98" s="218">
        <v>12.0</v>
      </c>
      <c r="J98" s="194">
        <f t="shared" si="8"/>
        <v>2105.8752</v>
      </c>
      <c r="K98" s="139"/>
      <c r="L98" s="197"/>
      <c r="M98" s="198"/>
      <c r="N98" s="198"/>
      <c r="O98" s="139"/>
      <c r="P98" s="139"/>
      <c r="Q98" s="188">
        <v>29.5</v>
      </c>
      <c r="R98" s="187">
        <f t="shared" si="9"/>
        <v>2.86</v>
      </c>
      <c r="S98" s="181">
        <f t="shared" si="10"/>
        <v>12</v>
      </c>
      <c r="T98" s="181">
        <f t="shared" si="11"/>
        <v>34.32</v>
      </c>
      <c r="U98" s="278">
        <f t="shared" si="12"/>
        <v>175.4896</v>
      </c>
      <c r="V98" s="187">
        <f t="shared" ref="V98:W98" si="91">C98/100</f>
        <v>1</v>
      </c>
      <c r="W98" s="187">
        <f t="shared" si="91"/>
        <v>2.08</v>
      </c>
      <c r="X98" s="187">
        <f t="shared" si="14"/>
        <v>34.32</v>
      </c>
      <c r="Y98" s="189">
        <f t="shared" si="15"/>
        <v>71.3856</v>
      </c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27.0" customHeight="1">
      <c r="A99" s="181">
        <v>76.0</v>
      </c>
      <c r="B99" s="191" t="s">
        <v>55</v>
      </c>
      <c r="C99" s="191">
        <v>95.0</v>
      </c>
      <c r="D99" s="191">
        <v>208.0</v>
      </c>
      <c r="E99" s="191">
        <v>286.0</v>
      </c>
      <c r="F99" s="191">
        <f t="shared" si="5"/>
        <v>0</v>
      </c>
      <c r="G99" s="191">
        <f t="shared" si="6"/>
        <v>166.71512</v>
      </c>
      <c r="H99" s="219">
        <f t="shared" si="7"/>
        <v>166.71512</v>
      </c>
      <c r="I99" s="218">
        <v>1.0</v>
      </c>
      <c r="J99" s="194">
        <f t="shared" si="8"/>
        <v>166.71512</v>
      </c>
      <c r="K99" s="139"/>
      <c r="L99" s="197"/>
      <c r="M99" s="198"/>
      <c r="N99" s="198"/>
      <c r="O99" s="139"/>
      <c r="P99" s="139"/>
      <c r="Q99" s="188">
        <v>29.5</v>
      </c>
      <c r="R99" s="187">
        <f t="shared" si="9"/>
        <v>2.86</v>
      </c>
      <c r="S99" s="181">
        <f t="shared" si="10"/>
        <v>1</v>
      </c>
      <c r="T99" s="181">
        <f t="shared" si="11"/>
        <v>2.86</v>
      </c>
      <c r="U99" s="278">
        <f t="shared" si="12"/>
        <v>166.71512</v>
      </c>
      <c r="V99" s="187">
        <f t="shared" ref="V99:W99" si="92">C99/100</f>
        <v>0.95</v>
      </c>
      <c r="W99" s="187">
        <f t="shared" si="92"/>
        <v>2.08</v>
      </c>
      <c r="X99" s="187">
        <f t="shared" si="14"/>
        <v>2.86</v>
      </c>
      <c r="Y99" s="189">
        <f t="shared" si="15"/>
        <v>5.65136</v>
      </c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27.0" customHeight="1">
      <c r="A100" s="181">
        <v>77.0</v>
      </c>
      <c r="B100" s="191" t="s">
        <v>55</v>
      </c>
      <c r="C100" s="191">
        <v>92.0</v>
      </c>
      <c r="D100" s="191">
        <v>208.0</v>
      </c>
      <c r="E100" s="191">
        <v>286.0</v>
      </c>
      <c r="F100" s="191">
        <f t="shared" si="5"/>
        <v>0</v>
      </c>
      <c r="G100" s="191">
        <f t="shared" si="6"/>
        <v>161.450432</v>
      </c>
      <c r="H100" s="219">
        <f t="shared" si="7"/>
        <v>161.450432</v>
      </c>
      <c r="I100" s="218">
        <v>1.0</v>
      </c>
      <c r="J100" s="194">
        <f t="shared" si="8"/>
        <v>161.450432</v>
      </c>
      <c r="K100" s="139"/>
      <c r="L100" s="197"/>
      <c r="M100" s="198"/>
      <c r="N100" s="198"/>
      <c r="O100" s="139"/>
      <c r="P100" s="139"/>
      <c r="Q100" s="188">
        <v>29.5</v>
      </c>
      <c r="R100" s="187">
        <f t="shared" si="9"/>
        <v>2.86</v>
      </c>
      <c r="S100" s="181">
        <f t="shared" si="10"/>
        <v>1</v>
      </c>
      <c r="T100" s="181">
        <f t="shared" si="11"/>
        <v>2.86</v>
      </c>
      <c r="U100" s="278">
        <f t="shared" si="12"/>
        <v>161.450432</v>
      </c>
      <c r="V100" s="187">
        <f t="shared" ref="V100:W100" si="93">C100/100</f>
        <v>0.92</v>
      </c>
      <c r="W100" s="187">
        <f t="shared" si="93"/>
        <v>2.08</v>
      </c>
      <c r="X100" s="187">
        <f t="shared" si="14"/>
        <v>2.86</v>
      </c>
      <c r="Y100" s="189">
        <f t="shared" si="15"/>
        <v>5.472896</v>
      </c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27.0" customHeight="1">
      <c r="A101" s="181">
        <v>78.0</v>
      </c>
      <c r="B101" s="191" t="s">
        <v>55</v>
      </c>
      <c r="C101" s="191">
        <v>99.0</v>
      </c>
      <c r="D101" s="191">
        <v>208.0</v>
      </c>
      <c r="E101" s="191">
        <v>286.0</v>
      </c>
      <c r="F101" s="191">
        <f t="shared" si="5"/>
        <v>0</v>
      </c>
      <c r="G101" s="191">
        <f t="shared" si="6"/>
        <v>173.734704</v>
      </c>
      <c r="H101" s="219">
        <f t="shared" si="7"/>
        <v>173.734704</v>
      </c>
      <c r="I101" s="218">
        <v>2.0</v>
      </c>
      <c r="J101" s="194">
        <f t="shared" si="8"/>
        <v>347.469408</v>
      </c>
      <c r="K101" s="139"/>
      <c r="L101" s="197"/>
      <c r="M101" s="198"/>
      <c r="N101" s="198"/>
      <c r="O101" s="139"/>
      <c r="P101" s="139"/>
      <c r="Q101" s="188">
        <v>29.5</v>
      </c>
      <c r="R101" s="187">
        <f t="shared" si="9"/>
        <v>2.86</v>
      </c>
      <c r="S101" s="181">
        <f t="shared" si="10"/>
        <v>2</v>
      </c>
      <c r="T101" s="181">
        <f t="shared" si="11"/>
        <v>5.72</v>
      </c>
      <c r="U101" s="278">
        <f t="shared" si="12"/>
        <v>173.734704</v>
      </c>
      <c r="V101" s="187">
        <f t="shared" ref="V101:W101" si="94">C101/100</f>
        <v>0.99</v>
      </c>
      <c r="W101" s="187">
        <f t="shared" si="94"/>
        <v>2.08</v>
      </c>
      <c r="X101" s="187">
        <f t="shared" si="14"/>
        <v>5.72</v>
      </c>
      <c r="Y101" s="189">
        <f t="shared" si="15"/>
        <v>11.778624</v>
      </c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27.0" customHeight="1">
      <c r="A102" s="181">
        <v>79.0</v>
      </c>
      <c r="B102" s="191" t="s">
        <v>55</v>
      </c>
      <c r="C102" s="191">
        <v>98.0</v>
      </c>
      <c r="D102" s="191">
        <v>208.0</v>
      </c>
      <c r="E102" s="191">
        <v>286.0</v>
      </c>
      <c r="F102" s="191">
        <f t="shared" si="5"/>
        <v>0</v>
      </c>
      <c r="G102" s="191">
        <f t="shared" si="6"/>
        <v>171.979808</v>
      </c>
      <c r="H102" s="219">
        <f t="shared" si="7"/>
        <v>171.979808</v>
      </c>
      <c r="I102" s="218">
        <v>3.0</v>
      </c>
      <c r="J102" s="194">
        <f t="shared" si="8"/>
        <v>515.939424</v>
      </c>
      <c r="K102" s="139"/>
      <c r="L102" s="197"/>
      <c r="M102" s="198"/>
      <c r="N102" s="198"/>
      <c r="O102" s="139"/>
      <c r="P102" s="139"/>
      <c r="Q102" s="188">
        <v>29.5</v>
      </c>
      <c r="R102" s="187">
        <f t="shared" si="9"/>
        <v>2.86</v>
      </c>
      <c r="S102" s="181">
        <f t="shared" si="10"/>
        <v>3</v>
      </c>
      <c r="T102" s="181">
        <f t="shared" si="11"/>
        <v>8.58</v>
      </c>
      <c r="U102" s="278">
        <f t="shared" si="12"/>
        <v>171.979808</v>
      </c>
      <c r="V102" s="187">
        <f t="shared" ref="V102:W102" si="95">C102/100</f>
        <v>0.98</v>
      </c>
      <c r="W102" s="187">
        <f t="shared" si="95"/>
        <v>2.08</v>
      </c>
      <c r="X102" s="187">
        <f t="shared" si="14"/>
        <v>8.58</v>
      </c>
      <c r="Y102" s="189">
        <f t="shared" si="15"/>
        <v>17.489472</v>
      </c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27.0" customHeight="1">
      <c r="A103" s="181">
        <v>80.0</v>
      </c>
      <c r="B103" s="191" t="s">
        <v>55</v>
      </c>
      <c r="C103" s="191">
        <v>88.0</v>
      </c>
      <c r="D103" s="191">
        <v>208.0</v>
      </c>
      <c r="E103" s="191">
        <v>286.0</v>
      </c>
      <c r="F103" s="191">
        <f t="shared" si="5"/>
        <v>0</v>
      </c>
      <c r="G103" s="191">
        <f t="shared" si="6"/>
        <v>154.430848</v>
      </c>
      <c r="H103" s="219">
        <f t="shared" si="7"/>
        <v>154.430848</v>
      </c>
      <c r="I103" s="218">
        <v>1.0</v>
      </c>
      <c r="J103" s="194">
        <f t="shared" si="8"/>
        <v>154.430848</v>
      </c>
      <c r="K103" s="139"/>
      <c r="L103" s="197"/>
      <c r="M103" s="198"/>
      <c r="N103" s="198"/>
      <c r="O103" s="139"/>
      <c r="P103" s="139"/>
      <c r="Q103" s="188">
        <v>29.5</v>
      </c>
      <c r="R103" s="187">
        <f t="shared" si="9"/>
        <v>2.86</v>
      </c>
      <c r="S103" s="181">
        <f t="shared" si="10"/>
        <v>1</v>
      </c>
      <c r="T103" s="181">
        <f t="shared" si="11"/>
        <v>2.86</v>
      </c>
      <c r="U103" s="278">
        <f t="shared" si="12"/>
        <v>154.430848</v>
      </c>
      <c r="V103" s="187">
        <f t="shared" ref="V103:W103" si="96">C103/100</f>
        <v>0.88</v>
      </c>
      <c r="W103" s="187">
        <f t="shared" si="96"/>
        <v>2.08</v>
      </c>
      <c r="X103" s="187">
        <f t="shared" si="14"/>
        <v>2.86</v>
      </c>
      <c r="Y103" s="189">
        <f t="shared" si="15"/>
        <v>5.234944</v>
      </c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27.0" customHeight="1">
      <c r="A104" s="181">
        <v>81.0</v>
      </c>
      <c r="B104" s="182" t="s">
        <v>124</v>
      </c>
      <c r="C104" s="191">
        <v>60.0</v>
      </c>
      <c r="D104" s="191">
        <v>200.0</v>
      </c>
      <c r="E104" s="191">
        <v>128.0</v>
      </c>
      <c r="F104" s="191">
        <f t="shared" si="5"/>
        <v>0.8</v>
      </c>
      <c r="G104" s="191">
        <f t="shared" si="6"/>
        <v>62.208</v>
      </c>
      <c r="H104" s="219">
        <f t="shared" si="7"/>
        <v>49.7664</v>
      </c>
      <c r="I104" s="218">
        <v>1.0</v>
      </c>
      <c r="J104" s="194">
        <f t="shared" si="8"/>
        <v>49.7664</v>
      </c>
      <c r="K104" s="139"/>
      <c r="L104" s="197"/>
      <c r="M104" s="198"/>
      <c r="N104" s="198"/>
      <c r="O104" s="139"/>
      <c r="P104" s="139"/>
      <c r="Q104" s="141">
        <v>40.5</v>
      </c>
      <c r="R104" s="187">
        <f t="shared" si="9"/>
        <v>1.28</v>
      </c>
      <c r="S104" s="181">
        <f t="shared" si="10"/>
        <v>1</v>
      </c>
      <c r="T104" s="181">
        <f t="shared" si="11"/>
        <v>1.28</v>
      </c>
      <c r="U104" s="278">
        <f t="shared" si="12"/>
        <v>62.208</v>
      </c>
      <c r="V104" s="187">
        <f t="shared" ref="V104:W104" si="97">C104/100</f>
        <v>0.6</v>
      </c>
      <c r="W104" s="187">
        <f t="shared" si="97"/>
        <v>2</v>
      </c>
      <c r="X104" s="187">
        <f t="shared" si="14"/>
        <v>1.28</v>
      </c>
      <c r="Y104" s="189">
        <f t="shared" si="15"/>
        <v>1.536</v>
      </c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27.0" customHeight="1">
      <c r="A105" s="181">
        <v>82.0</v>
      </c>
      <c r="B105" s="191" t="s">
        <v>122</v>
      </c>
      <c r="C105" s="191">
        <v>54.0</v>
      </c>
      <c r="D105" s="191">
        <v>200.0</v>
      </c>
      <c r="E105" s="191">
        <v>120.0</v>
      </c>
      <c r="F105" s="191">
        <f t="shared" si="5"/>
        <v>0</v>
      </c>
      <c r="G105" s="191">
        <f t="shared" si="6"/>
        <v>52.488</v>
      </c>
      <c r="H105" s="219">
        <f t="shared" si="7"/>
        <v>52.488</v>
      </c>
      <c r="I105" s="218">
        <v>1.0</v>
      </c>
      <c r="J105" s="194">
        <f t="shared" si="8"/>
        <v>52.488</v>
      </c>
      <c r="K105" s="139"/>
      <c r="L105" s="197"/>
      <c r="M105" s="198"/>
      <c r="N105" s="198"/>
      <c r="O105" s="139"/>
      <c r="P105" s="139"/>
      <c r="Q105" s="141">
        <v>40.5</v>
      </c>
      <c r="R105" s="187">
        <f t="shared" si="9"/>
        <v>1.2</v>
      </c>
      <c r="S105" s="181">
        <f t="shared" si="10"/>
        <v>1</v>
      </c>
      <c r="T105" s="181">
        <f t="shared" si="11"/>
        <v>1.2</v>
      </c>
      <c r="U105" s="278">
        <f t="shared" si="12"/>
        <v>52.488</v>
      </c>
      <c r="V105" s="187">
        <f t="shared" ref="V105:W105" si="98">C105/100</f>
        <v>0.54</v>
      </c>
      <c r="W105" s="187">
        <f t="shared" si="98"/>
        <v>2</v>
      </c>
      <c r="X105" s="187">
        <f t="shared" si="14"/>
        <v>1.2</v>
      </c>
      <c r="Y105" s="189">
        <f t="shared" si="15"/>
        <v>1.296</v>
      </c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27.0" customHeight="1">
      <c r="A106" s="181">
        <v>83.0</v>
      </c>
      <c r="B106" s="191" t="s">
        <v>122</v>
      </c>
      <c r="C106" s="191">
        <v>43.0</v>
      </c>
      <c r="D106" s="191">
        <v>200.0</v>
      </c>
      <c r="E106" s="191">
        <v>97.0</v>
      </c>
      <c r="F106" s="191">
        <f t="shared" si="5"/>
        <v>0</v>
      </c>
      <c r="G106" s="191">
        <f t="shared" si="6"/>
        <v>33.7851</v>
      </c>
      <c r="H106" s="219">
        <f t="shared" si="7"/>
        <v>33.7851</v>
      </c>
      <c r="I106" s="218">
        <v>1.0</v>
      </c>
      <c r="J106" s="194">
        <f t="shared" si="8"/>
        <v>33.7851</v>
      </c>
      <c r="K106" s="139"/>
      <c r="L106" s="197"/>
      <c r="M106" s="198"/>
      <c r="N106" s="198"/>
      <c r="O106" s="139"/>
      <c r="P106" s="139"/>
      <c r="Q106" s="141">
        <v>40.5</v>
      </c>
      <c r="R106" s="187">
        <f t="shared" si="9"/>
        <v>0.97</v>
      </c>
      <c r="S106" s="181">
        <f t="shared" si="10"/>
        <v>1</v>
      </c>
      <c r="T106" s="181">
        <f t="shared" si="11"/>
        <v>0.97</v>
      </c>
      <c r="U106" s="278">
        <f t="shared" si="12"/>
        <v>33.7851</v>
      </c>
      <c r="V106" s="187">
        <f t="shared" ref="V106:W106" si="99">C106/100</f>
        <v>0.43</v>
      </c>
      <c r="W106" s="187">
        <f t="shared" si="99"/>
        <v>2</v>
      </c>
      <c r="X106" s="187">
        <f t="shared" si="14"/>
        <v>0.97</v>
      </c>
      <c r="Y106" s="189">
        <f t="shared" si="15"/>
        <v>0.8342</v>
      </c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27.0" customHeight="1">
      <c r="A107" s="181">
        <v>84.0</v>
      </c>
      <c r="B107" s="182" t="s">
        <v>125</v>
      </c>
      <c r="C107" s="191">
        <v>65.0</v>
      </c>
      <c r="D107" s="191">
        <v>200.0</v>
      </c>
      <c r="E107" s="191">
        <v>123.0</v>
      </c>
      <c r="F107" s="191">
        <f t="shared" si="5"/>
        <v>0.8</v>
      </c>
      <c r="G107" s="191">
        <f t="shared" si="6"/>
        <v>64.7595</v>
      </c>
      <c r="H107" s="219">
        <f t="shared" si="7"/>
        <v>51.8076</v>
      </c>
      <c r="I107" s="218">
        <v>1.0</v>
      </c>
      <c r="J107" s="194">
        <f t="shared" si="8"/>
        <v>51.8076</v>
      </c>
      <c r="K107" s="139"/>
      <c r="L107" s="197"/>
      <c r="M107" s="198"/>
      <c r="N107" s="198"/>
      <c r="O107" s="139"/>
      <c r="P107" s="139"/>
      <c r="Q107" s="141">
        <v>40.5</v>
      </c>
      <c r="R107" s="187">
        <f t="shared" si="9"/>
        <v>1.23</v>
      </c>
      <c r="S107" s="181">
        <f t="shared" si="10"/>
        <v>1</v>
      </c>
      <c r="T107" s="181">
        <f t="shared" si="11"/>
        <v>1.23</v>
      </c>
      <c r="U107" s="278">
        <f t="shared" si="12"/>
        <v>64.7595</v>
      </c>
      <c r="V107" s="187">
        <f t="shared" ref="V107:W107" si="100">C107/100</f>
        <v>0.65</v>
      </c>
      <c r="W107" s="187">
        <f t="shared" si="100"/>
        <v>2</v>
      </c>
      <c r="X107" s="187">
        <f t="shared" si="14"/>
        <v>1.23</v>
      </c>
      <c r="Y107" s="189">
        <f t="shared" si="15"/>
        <v>1.599</v>
      </c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27.0" customHeight="1">
      <c r="A108" s="181">
        <v>85.0</v>
      </c>
      <c r="B108" s="191" t="s">
        <v>121</v>
      </c>
      <c r="C108" s="191">
        <v>63.0</v>
      </c>
      <c r="D108" s="191">
        <v>200.0</v>
      </c>
      <c r="E108" s="191">
        <v>123.0</v>
      </c>
      <c r="F108" s="191">
        <f t="shared" si="5"/>
        <v>0</v>
      </c>
      <c r="G108" s="191">
        <f t="shared" si="6"/>
        <v>62.7669</v>
      </c>
      <c r="H108" s="219">
        <f t="shared" si="7"/>
        <v>62.7669</v>
      </c>
      <c r="I108" s="218">
        <v>1.0</v>
      </c>
      <c r="J108" s="194">
        <f t="shared" si="8"/>
        <v>62.7669</v>
      </c>
      <c r="K108" s="139"/>
      <c r="L108" s="197"/>
      <c r="M108" s="198"/>
      <c r="N108" s="198"/>
      <c r="O108" s="139"/>
      <c r="P108" s="139"/>
      <c r="Q108" s="141">
        <v>40.5</v>
      </c>
      <c r="R108" s="187">
        <f t="shared" si="9"/>
        <v>1.23</v>
      </c>
      <c r="S108" s="181">
        <f t="shared" si="10"/>
        <v>1</v>
      </c>
      <c r="T108" s="181">
        <f t="shared" si="11"/>
        <v>1.23</v>
      </c>
      <c r="U108" s="278">
        <f t="shared" si="12"/>
        <v>62.7669</v>
      </c>
      <c r="V108" s="187">
        <f t="shared" ref="V108:W108" si="101">C108/100</f>
        <v>0.63</v>
      </c>
      <c r="W108" s="187">
        <f t="shared" si="101"/>
        <v>2</v>
      </c>
      <c r="X108" s="187">
        <f t="shared" si="14"/>
        <v>1.23</v>
      </c>
      <c r="Y108" s="189">
        <f t="shared" si="15"/>
        <v>1.5498</v>
      </c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</row>
    <row r="109" ht="27.0" customHeight="1">
      <c r="A109" s="181">
        <v>86.0</v>
      </c>
      <c r="B109" s="191" t="s">
        <v>121</v>
      </c>
      <c r="C109" s="191">
        <v>54.0</v>
      </c>
      <c r="D109" s="191">
        <v>200.0</v>
      </c>
      <c r="E109" s="191">
        <v>107.0</v>
      </c>
      <c r="F109" s="191">
        <f t="shared" si="5"/>
        <v>0</v>
      </c>
      <c r="G109" s="191">
        <f t="shared" si="6"/>
        <v>46.8018</v>
      </c>
      <c r="H109" s="219">
        <f t="shared" si="7"/>
        <v>46.8018</v>
      </c>
      <c r="I109" s="218">
        <v>1.0</v>
      </c>
      <c r="J109" s="194">
        <f t="shared" si="8"/>
        <v>46.8018</v>
      </c>
      <c r="K109" s="139"/>
      <c r="L109" s="197"/>
      <c r="M109" s="198"/>
      <c r="N109" s="198"/>
      <c r="O109" s="139"/>
      <c r="P109" s="139"/>
      <c r="Q109" s="141">
        <v>40.5</v>
      </c>
      <c r="R109" s="187">
        <f t="shared" si="9"/>
        <v>1.07</v>
      </c>
      <c r="S109" s="181">
        <f t="shared" si="10"/>
        <v>1</v>
      </c>
      <c r="T109" s="181">
        <f t="shared" si="11"/>
        <v>1.07</v>
      </c>
      <c r="U109" s="278">
        <f t="shared" si="12"/>
        <v>46.8018</v>
      </c>
      <c r="V109" s="187">
        <f t="shared" ref="V109:W109" si="102">C109/100</f>
        <v>0.54</v>
      </c>
      <c r="W109" s="187">
        <f t="shared" si="102"/>
        <v>2</v>
      </c>
      <c r="X109" s="187">
        <f t="shared" si="14"/>
        <v>1.07</v>
      </c>
      <c r="Y109" s="189">
        <f t="shared" si="15"/>
        <v>1.1556</v>
      </c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</row>
    <row r="110" ht="27.0" customHeight="1">
      <c r="A110" s="160"/>
      <c r="B110" s="176"/>
      <c r="C110" s="176"/>
      <c r="D110" s="176"/>
      <c r="E110" s="176"/>
      <c r="F110" s="176"/>
      <c r="G110" s="176"/>
      <c r="H110" s="179"/>
      <c r="I110" s="160"/>
      <c r="J110" s="203">
        <f>+Q153</f>
        <v>219.2</v>
      </c>
      <c r="K110" s="139"/>
      <c r="L110" s="139"/>
      <c r="M110" s="139"/>
      <c r="N110" s="139"/>
      <c r="O110" s="139"/>
      <c r="P110" s="139"/>
      <c r="Q110" s="204"/>
      <c r="R110" s="187">
        <f t="shared" si="9"/>
        <v>0</v>
      </c>
      <c r="S110" s="181" t="str">
        <f t="shared" si="10"/>
        <v/>
      </c>
      <c r="T110" s="181">
        <f t="shared" si="11"/>
        <v>0</v>
      </c>
      <c r="U110" s="186"/>
      <c r="V110" s="187">
        <f t="shared" ref="V110:W110" si="103">C110/100</f>
        <v>0</v>
      </c>
      <c r="W110" s="187">
        <f t="shared" si="103"/>
        <v>0</v>
      </c>
      <c r="X110" s="187">
        <f t="shared" si="14"/>
        <v>0</v>
      </c>
      <c r="Y110" s="189">
        <f t="shared" si="15"/>
        <v>0</v>
      </c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</row>
    <row r="111" ht="27.0" customHeight="1">
      <c r="A111" s="160"/>
      <c r="B111" s="205"/>
      <c r="C111" s="205"/>
      <c r="D111" s="205"/>
      <c r="E111" s="205"/>
      <c r="F111" s="205"/>
      <c r="G111" s="205"/>
      <c r="H111" s="206"/>
      <c r="I111" s="207">
        <f>SUM(I24:I109)</f>
        <v>181</v>
      </c>
      <c r="J111" s="208">
        <f>SUM(J24:J110)</f>
        <v>22499.51073</v>
      </c>
      <c r="K111" s="209"/>
      <c r="L111" s="209"/>
      <c r="M111" s="209"/>
      <c r="N111" s="209"/>
      <c r="O111" s="209"/>
      <c r="P111" s="209"/>
      <c r="Q111" s="141"/>
      <c r="R111" s="209">
        <f>SUMIFS($S$24:$S$109,$R$24:$R$109,"&gt;=3")</f>
        <v>0</v>
      </c>
      <c r="S111" s="209">
        <f t="shared" ref="S111:T111" si="104">SUM(S24:S109)</f>
        <v>181</v>
      </c>
      <c r="T111" s="209">
        <f t="shared" si="104"/>
        <v>426.05</v>
      </c>
      <c r="U111" s="209"/>
      <c r="V111" s="209"/>
      <c r="W111" s="209"/>
      <c r="X111" s="209"/>
      <c r="Y111" s="210">
        <f>SUM(Y24:Y110)</f>
        <v>847.728668</v>
      </c>
      <c r="Z111" s="209"/>
      <c r="AA111" s="209"/>
      <c r="AB111" s="209"/>
      <c r="AC111" s="209"/>
      <c r="AD111" s="209"/>
      <c r="AE111" s="209"/>
      <c r="AF111" s="209"/>
      <c r="AG111" s="209"/>
      <c r="AH111" s="209"/>
      <c r="AI111" s="209"/>
      <c r="AJ111" s="209"/>
      <c r="AK111" s="209"/>
      <c r="AL111" s="209"/>
      <c r="AM111" s="209"/>
      <c r="AN111" s="209"/>
      <c r="AO111" s="209"/>
      <c r="AP111" s="209"/>
      <c r="AQ111" s="209"/>
      <c r="AR111" s="209"/>
      <c r="AS111" s="209"/>
    </row>
    <row r="112" ht="29.25" customHeight="1">
      <c r="A112" s="139"/>
      <c r="B112" s="139"/>
      <c r="C112" s="139"/>
      <c r="D112" s="139"/>
      <c r="E112" s="139"/>
      <c r="F112" s="139"/>
      <c r="G112" s="139"/>
      <c r="H112" s="140"/>
      <c r="I112" s="139"/>
      <c r="J112" s="139"/>
      <c r="K112" s="139"/>
      <c r="L112" s="139"/>
      <c r="M112" s="139"/>
      <c r="N112" s="139"/>
      <c r="O112" s="139"/>
      <c r="P112" s="139"/>
      <c r="Q112" s="141"/>
      <c r="R112" s="186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</row>
    <row r="113" ht="29.25" customHeight="1">
      <c r="A113" s="139"/>
      <c r="B113" s="139"/>
      <c r="C113" s="139"/>
      <c r="D113" s="139"/>
      <c r="E113" s="139"/>
      <c r="F113" s="139"/>
      <c r="G113" s="139"/>
      <c r="H113" s="140"/>
      <c r="I113" s="139"/>
      <c r="J113" s="139"/>
      <c r="K113" s="139"/>
      <c r="L113" s="139"/>
      <c r="M113" s="139"/>
      <c r="N113" s="139"/>
      <c r="O113" s="139"/>
      <c r="P113" s="139"/>
      <c r="Q113" s="204"/>
      <c r="R113" s="139"/>
      <c r="S113" s="139" t="s">
        <v>48</v>
      </c>
      <c r="T113" s="139" t="s">
        <v>72</v>
      </c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</row>
    <row r="114" ht="29.25" customHeight="1">
      <c r="A114" s="139"/>
      <c r="B114" s="139"/>
      <c r="C114" s="139"/>
      <c r="D114" s="139"/>
      <c r="E114" s="139"/>
      <c r="F114" s="139"/>
      <c r="G114" s="139"/>
      <c r="H114" s="140"/>
      <c r="I114" s="139"/>
      <c r="J114" s="139"/>
      <c r="K114" s="139"/>
      <c r="L114" s="139"/>
      <c r="M114" s="139"/>
      <c r="N114" s="139"/>
      <c r="O114" s="139"/>
      <c r="P114" s="139"/>
      <c r="Q114" s="141"/>
      <c r="R114" s="139" t="s">
        <v>31</v>
      </c>
      <c r="S114" s="211">
        <f>SUMIFS($J$24:$J$109,$R$24:$R$109,"&gt;=3")</f>
        <v>0</v>
      </c>
      <c r="T114" s="212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</row>
    <row r="115" ht="29.25" customHeight="1">
      <c r="A115" s="139" t="s">
        <v>32</v>
      </c>
      <c r="B115" s="139"/>
      <c r="C115" s="139"/>
      <c r="D115" s="139" t="s">
        <v>33</v>
      </c>
      <c r="E115" s="139"/>
      <c r="F115" s="139"/>
      <c r="G115" s="139"/>
      <c r="H115" s="140"/>
      <c r="I115" s="139"/>
      <c r="J115" s="139"/>
      <c r="K115" s="139"/>
      <c r="L115" s="139"/>
      <c r="M115" s="139"/>
      <c r="N115" s="139"/>
      <c r="O115" s="139"/>
      <c r="P115" s="139"/>
      <c r="Q115" s="141"/>
      <c r="R115" s="139" t="s">
        <v>34</v>
      </c>
      <c r="S115" s="213">
        <f>J111-S114</f>
        <v>22499.51073</v>
      </c>
      <c r="T115" s="212">
        <f>+SUMIFS($T$24:$T$109,$R$24:$R$109,"&gt;=3")</f>
        <v>0</v>
      </c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</row>
    <row r="116" ht="29.25" customHeight="1">
      <c r="A116" s="139"/>
      <c r="B116" s="139"/>
      <c r="C116" s="139"/>
      <c r="D116" s="139"/>
      <c r="E116" s="139"/>
      <c r="F116" s="139"/>
      <c r="G116" s="139"/>
      <c r="H116" s="140"/>
      <c r="I116" s="139"/>
      <c r="J116" s="139"/>
      <c r="K116" s="139"/>
      <c r="L116" s="139"/>
      <c r="M116" s="139"/>
      <c r="N116" s="139"/>
      <c r="O116" s="139"/>
      <c r="P116" s="139"/>
      <c r="Q116" s="204"/>
      <c r="R116" s="139"/>
      <c r="S116" s="214">
        <f>+I111</f>
        <v>181</v>
      </c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ht="39.0" customHeight="1">
      <c r="A117" s="176"/>
      <c r="B117" s="160" t="s">
        <v>12</v>
      </c>
      <c r="C117" s="177" t="s">
        <v>73</v>
      </c>
      <c r="D117" s="52"/>
      <c r="E117" s="53"/>
      <c r="F117" s="228"/>
      <c r="G117" s="228"/>
      <c r="H117" s="179" t="s">
        <v>14</v>
      </c>
      <c r="I117" s="160" t="s">
        <v>15</v>
      </c>
      <c r="J117" s="160" t="s">
        <v>16</v>
      </c>
      <c r="K117" s="139"/>
      <c r="L117" s="139"/>
      <c r="M117" s="139"/>
      <c r="N117" s="139"/>
      <c r="O117" s="139"/>
      <c r="P117" s="139"/>
      <c r="Q117" s="141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</row>
    <row r="118" ht="27.0" customHeight="1">
      <c r="A118" s="154">
        <v>1.0</v>
      </c>
      <c r="B118" s="215" t="s">
        <v>80</v>
      </c>
      <c r="C118" s="215">
        <v>78.0</v>
      </c>
      <c r="D118" s="215">
        <v>205.0</v>
      </c>
      <c r="E118" s="215">
        <v>226.0</v>
      </c>
      <c r="F118" s="215">
        <f t="shared" ref="F118:F126" si="105">1-VALUE(IF(RIGHT(B118, 1)="%", RIGHT(B118, 3), 0))</f>
        <v>0.2</v>
      </c>
      <c r="G118" s="215">
        <f t="shared" ref="G118:G126" si="106">+Q118*C118/100*D118/100*E118/100</f>
        <v>0</v>
      </c>
      <c r="H118" s="216">
        <f t="shared" ref="H118:H126" si="107">IF(F118=0, G118, F118*G118)</f>
        <v>0</v>
      </c>
      <c r="I118" s="215">
        <v>1.0</v>
      </c>
      <c r="J118" s="217">
        <f t="shared" ref="J118:J126" si="108">+I118*H118</f>
        <v>0</v>
      </c>
      <c r="K118" s="139"/>
      <c r="L118" s="176">
        <f t="shared" ref="L118:L121" si="109">D118*25.4/1000</f>
        <v>5.207</v>
      </c>
      <c r="M118" s="160">
        <f t="shared" ref="M118:M121" si="110">+I118</f>
        <v>1</v>
      </c>
      <c r="N118" s="160">
        <f t="shared" ref="N118:N121" si="111">M118*L118</f>
        <v>5.207</v>
      </c>
      <c r="O118" s="139"/>
      <c r="P118" s="139"/>
      <c r="Q118" s="141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</row>
    <row r="119" ht="27.0" customHeight="1">
      <c r="A119" s="160">
        <v>2.0</v>
      </c>
      <c r="B119" s="218" t="s">
        <v>79</v>
      </c>
      <c r="C119" s="218">
        <v>90.0</v>
      </c>
      <c r="D119" s="218">
        <v>207.0</v>
      </c>
      <c r="E119" s="218">
        <v>286.0</v>
      </c>
      <c r="F119" s="218">
        <f t="shared" si="105"/>
        <v>0.2</v>
      </c>
      <c r="G119" s="218">
        <f t="shared" si="106"/>
        <v>0</v>
      </c>
      <c r="H119" s="219">
        <f t="shared" si="107"/>
        <v>0</v>
      </c>
      <c r="I119" s="218">
        <v>1.0</v>
      </c>
      <c r="J119" s="194">
        <f t="shared" si="108"/>
        <v>0</v>
      </c>
      <c r="K119" s="139"/>
      <c r="L119" s="176">
        <f t="shared" si="109"/>
        <v>5.2578</v>
      </c>
      <c r="M119" s="160">
        <f t="shared" si="110"/>
        <v>1</v>
      </c>
      <c r="N119" s="160">
        <f t="shared" si="111"/>
        <v>5.2578</v>
      </c>
      <c r="O119" s="139"/>
      <c r="P119" s="139"/>
      <c r="Q119" s="141"/>
      <c r="R119" s="139"/>
      <c r="S119" s="220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</row>
    <row r="120" ht="27.0" customHeight="1">
      <c r="A120" s="160">
        <v>3.0</v>
      </c>
      <c r="B120" s="218" t="s">
        <v>64</v>
      </c>
      <c r="C120" s="218">
        <v>96.0</v>
      </c>
      <c r="D120" s="218">
        <v>215.0</v>
      </c>
      <c r="E120" s="218">
        <v>286.0</v>
      </c>
      <c r="F120" s="218">
        <f t="shared" si="105"/>
        <v>0.2</v>
      </c>
      <c r="G120" s="218">
        <f t="shared" si="106"/>
        <v>0</v>
      </c>
      <c r="H120" s="219">
        <f t="shared" si="107"/>
        <v>0</v>
      </c>
      <c r="I120" s="218">
        <v>1.0</v>
      </c>
      <c r="J120" s="194">
        <f t="shared" si="108"/>
        <v>0</v>
      </c>
      <c r="K120" s="139"/>
      <c r="L120" s="176">
        <f t="shared" si="109"/>
        <v>5.461</v>
      </c>
      <c r="M120" s="160">
        <f t="shared" si="110"/>
        <v>1</v>
      </c>
      <c r="N120" s="160">
        <f t="shared" si="111"/>
        <v>5.461</v>
      </c>
      <c r="O120" s="139"/>
      <c r="P120" s="139"/>
      <c r="Q120" s="141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</row>
    <row r="121" ht="27.0" customHeight="1">
      <c r="A121" s="160">
        <v>4.0</v>
      </c>
      <c r="B121" s="218" t="s">
        <v>64</v>
      </c>
      <c r="C121" s="218">
        <v>90.0</v>
      </c>
      <c r="D121" s="218">
        <v>215.0</v>
      </c>
      <c r="E121" s="218">
        <v>200.0</v>
      </c>
      <c r="F121" s="218">
        <f t="shared" si="105"/>
        <v>0.2</v>
      </c>
      <c r="G121" s="218">
        <f t="shared" si="106"/>
        <v>0</v>
      </c>
      <c r="H121" s="219">
        <f t="shared" si="107"/>
        <v>0</v>
      </c>
      <c r="I121" s="218">
        <v>1.0</v>
      </c>
      <c r="J121" s="194">
        <f t="shared" si="108"/>
        <v>0</v>
      </c>
      <c r="K121" s="139"/>
      <c r="L121" s="176">
        <f t="shared" si="109"/>
        <v>5.461</v>
      </c>
      <c r="M121" s="160">
        <f t="shared" si="110"/>
        <v>1</v>
      </c>
      <c r="N121" s="160">
        <f t="shared" si="111"/>
        <v>5.461</v>
      </c>
      <c r="O121" s="139"/>
      <c r="P121" s="139"/>
      <c r="Q121" s="141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</row>
    <row r="122" ht="27.0" customHeight="1">
      <c r="A122" s="160"/>
      <c r="B122" s="218" t="s">
        <v>64</v>
      </c>
      <c r="C122" s="218">
        <v>92.0</v>
      </c>
      <c r="D122" s="218">
        <v>203.0</v>
      </c>
      <c r="E122" s="218">
        <v>233.0</v>
      </c>
      <c r="F122" s="218">
        <f t="shared" si="105"/>
        <v>0.2</v>
      </c>
      <c r="G122" s="218">
        <f t="shared" si="106"/>
        <v>0</v>
      </c>
      <c r="H122" s="219">
        <f t="shared" si="107"/>
        <v>0</v>
      </c>
      <c r="I122" s="218">
        <v>1.0</v>
      </c>
      <c r="J122" s="194">
        <f t="shared" si="108"/>
        <v>0</v>
      </c>
      <c r="K122" s="139"/>
      <c r="L122" s="139"/>
      <c r="M122" s="221"/>
      <c r="N122" s="221"/>
      <c r="O122" s="139"/>
      <c r="P122" s="139"/>
      <c r="Q122" s="141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</row>
    <row r="123" ht="27.0" customHeight="1">
      <c r="A123" s="160"/>
      <c r="B123" s="218" t="s">
        <v>64</v>
      </c>
      <c r="C123" s="218">
        <v>80.0</v>
      </c>
      <c r="D123" s="218">
        <v>195.0</v>
      </c>
      <c r="E123" s="218">
        <v>252.0</v>
      </c>
      <c r="F123" s="218">
        <f t="shared" si="105"/>
        <v>0.2</v>
      </c>
      <c r="G123" s="218">
        <f t="shared" si="106"/>
        <v>0</v>
      </c>
      <c r="H123" s="219">
        <f t="shared" si="107"/>
        <v>0</v>
      </c>
      <c r="I123" s="218">
        <v>1.0</v>
      </c>
      <c r="J123" s="194">
        <f t="shared" si="108"/>
        <v>0</v>
      </c>
      <c r="K123" s="139"/>
      <c r="L123" s="139"/>
      <c r="M123" s="221"/>
      <c r="N123" s="221"/>
      <c r="O123" s="139"/>
      <c r="P123" s="139"/>
      <c r="Q123" s="141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</row>
    <row r="124" ht="27.0" customHeight="1">
      <c r="A124" s="160">
        <v>5.0</v>
      </c>
      <c r="B124" s="218" t="s">
        <v>92</v>
      </c>
      <c r="C124" s="218">
        <v>84.0</v>
      </c>
      <c r="D124" s="218">
        <v>208.0</v>
      </c>
      <c r="E124" s="218">
        <v>286.0</v>
      </c>
      <c r="F124" s="218">
        <f t="shared" si="105"/>
        <v>0.2</v>
      </c>
      <c r="G124" s="218">
        <f t="shared" si="106"/>
        <v>0</v>
      </c>
      <c r="H124" s="219">
        <f t="shared" si="107"/>
        <v>0</v>
      </c>
      <c r="I124" s="218">
        <v>1.0</v>
      </c>
      <c r="J124" s="194">
        <f t="shared" si="108"/>
        <v>0</v>
      </c>
      <c r="K124" s="139"/>
      <c r="L124" s="139">
        <f t="shared" ref="L124:L126" si="112">D124*25.4/1000</f>
        <v>5.2832</v>
      </c>
      <c r="M124" s="221"/>
      <c r="N124" s="221"/>
      <c r="O124" s="139"/>
      <c r="P124" s="139"/>
      <c r="Q124" s="141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</row>
    <row r="125" ht="27.0" customHeight="1">
      <c r="A125" s="160">
        <v>6.0</v>
      </c>
      <c r="B125" s="218" t="s">
        <v>124</v>
      </c>
      <c r="C125" s="218">
        <v>60.0</v>
      </c>
      <c r="D125" s="218">
        <v>200.0</v>
      </c>
      <c r="E125" s="218">
        <v>128.0</v>
      </c>
      <c r="F125" s="218">
        <f t="shared" si="105"/>
        <v>0.2</v>
      </c>
      <c r="G125" s="218">
        <f t="shared" si="106"/>
        <v>0</v>
      </c>
      <c r="H125" s="219">
        <f t="shared" si="107"/>
        <v>0</v>
      </c>
      <c r="I125" s="218">
        <v>1.0</v>
      </c>
      <c r="J125" s="194">
        <f t="shared" si="108"/>
        <v>0</v>
      </c>
      <c r="K125" s="139"/>
      <c r="L125" s="139">
        <f t="shared" si="112"/>
        <v>5.08</v>
      </c>
      <c r="M125" s="221"/>
      <c r="N125" s="221"/>
      <c r="O125" s="139"/>
      <c r="P125" s="139"/>
      <c r="Q125" s="141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</row>
    <row r="126" ht="27.0" customHeight="1">
      <c r="A126" s="160">
        <v>7.0</v>
      </c>
      <c r="B126" s="218" t="s">
        <v>125</v>
      </c>
      <c r="C126" s="218">
        <v>65.0</v>
      </c>
      <c r="D126" s="218">
        <v>200.0</v>
      </c>
      <c r="E126" s="218">
        <v>123.0</v>
      </c>
      <c r="F126" s="218">
        <f t="shared" si="105"/>
        <v>0.2</v>
      </c>
      <c r="G126" s="218">
        <f t="shared" si="106"/>
        <v>0</v>
      </c>
      <c r="H126" s="219">
        <f t="shared" si="107"/>
        <v>0</v>
      </c>
      <c r="I126" s="218">
        <v>1.0</v>
      </c>
      <c r="J126" s="194">
        <f t="shared" si="108"/>
        <v>0</v>
      </c>
      <c r="K126" s="139"/>
      <c r="L126" s="139">
        <f t="shared" si="112"/>
        <v>5.08</v>
      </c>
      <c r="M126" s="221"/>
      <c r="N126" s="221"/>
      <c r="O126" s="139"/>
      <c r="P126" s="139"/>
      <c r="Q126" s="141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</row>
    <row r="127" ht="24.75" customHeight="1">
      <c r="A127" s="160"/>
      <c r="B127" s="197"/>
      <c r="C127" s="197"/>
      <c r="D127" s="197"/>
      <c r="E127" s="197"/>
      <c r="F127" s="197"/>
      <c r="G127" s="197"/>
      <c r="H127" s="269" t="s">
        <v>38</v>
      </c>
      <c r="I127" s="197"/>
      <c r="J127" s="226">
        <f>SUM(J118:J126)</f>
        <v>0</v>
      </c>
      <c r="K127" s="139"/>
      <c r="L127" s="139"/>
      <c r="M127" s="139"/>
      <c r="N127" s="139"/>
      <c r="O127" s="139"/>
      <c r="P127" s="139"/>
      <c r="Q127" s="141"/>
      <c r="R127" s="227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</row>
    <row r="128" ht="18.75" customHeight="1">
      <c r="A128" s="174"/>
      <c r="B128" s="144"/>
      <c r="C128" s="144"/>
      <c r="D128" s="144"/>
      <c r="E128" s="144"/>
      <c r="F128" s="144"/>
      <c r="G128" s="144"/>
      <c r="H128" s="145"/>
      <c r="I128" s="144"/>
      <c r="J128" s="175"/>
      <c r="K128" s="139"/>
      <c r="L128" s="139"/>
      <c r="M128" s="139"/>
      <c r="N128" s="139"/>
      <c r="O128" s="139"/>
      <c r="P128" s="139"/>
      <c r="Q128" s="141"/>
      <c r="R128" s="227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</row>
    <row r="129" ht="18.75" customHeight="1">
      <c r="A129" s="139"/>
      <c r="B129" s="139"/>
      <c r="C129" s="139"/>
      <c r="D129" s="139"/>
      <c r="E129" s="139"/>
      <c r="F129" s="139"/>
      <c r="G129" s="139"/>
      <c r="H129" s="140"/>
      <c r="I129" s="139"/>
      <c r="J129" s="139"/>
      <c r="K129" s="139"/>
      <c r="L129" s="139"/>
      <c r="M129" s="139"/>
      <c r="N129" s="139"/>
      <c r="O129" s="139"/>
      <c r="P129" s="139"/>
      <c r="Q129" s="141"/>
      <c r="R129" s="227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</row>
    <row r="130" ht="18.75" customHeight="1">
      <c r="A130" s="139"/>
      <c r="B130" s="139"/>
      <c r="C130" s="139"/>
      <c r="D130" s="139"/>
      <c r="E130" s="139"/>
      <c r="F130" s="139"/>
      <c r="G130" s="139"/>
      <c r="H130" s="140"/>
      <c r="I130" s="139"/>
      <c r="J130" s="139"/>
      <c r="K130" s="139"/>
      <c r="L130" s="139"/>
      <c r="M130" s="139"/>
      <c r="N130" s="139"/>
      <c r="O130" s="139"/>
      <c r="P130" s="139"/>
      <c r="Q130" s="141"/>
      <c r="R130" s="227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</row>
    <row r="131" ht="18.75" customHeight="1">
      <c r="A131" s="139" t="s">
        <v>39</v>
      </c>
      <c r="B131" s="139"/>
      <c r="C131" s="139"/>
      <c r="D131" s="139"/>
      <c r="E131" s="139"/>
      <c r="F131" s="139"/>
      <c r="G131" s="139"/>
      <c r="H131" s="140"/>
      <c r="I131" s="139"/>
      <c r="J131" s="139"/>
      <c r="K131" s="139"/>
      <c r="L131" s="139"/>
      <c r="M131" s="139"/>
      <c r="N131" s="139"/>
      <c r="O131" s="139"/>
      <c r="P131" s="139"/>
      <c r="Q131" s="141"/>
      <c r="R131" s="227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</row>
    <row r="132" ht="18.75" customHeight="1">
      <c r="A132" s="139"/>
      <c r="B132" s="139"/>
      <c r="C132" s="139"/>
      <c r="D132" s="139"/>
      <c r="E132" s="139"/>
      <c r="F132" s="139"/>
      <c r="G132" s="139"/>
      <c r="H132" s="140"/>
      <c r="I132" s="139"/>
      <c r="J132" s="139"/>
      <c r="K132" s="139"/>
      <c r="L132" s="139"/>
      <c r="M132" s="139"/>
      <c r="N132" s="139"/>
      <c r="O132" s="139"/>
      <c r="P132" s="139"/>
      <c r="Q132" s="141"/>
      <c r="R132" s="227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</row>
    <row r="133" ht="42.0" customHeight="1">
      <c r="A133" s="176"/>
      <c r="B133" s="160" t="s">
        <v>12</v>
      </c>
      <c r="C133" s="177" t="s">
        <v>74</v>
      </c>
      <c r="D133" s="52"/>
      <c r="E133" s="53"/>
      <c r="F133" s="228"/>
      <c r="G133" s="228"/>
      <c r="H133" s="179" t="s">
        <v>14</v>
      </c>
      <c r="I133" s="224" t="s">
        <v>15</v>
      </c>
      <c r="J133" s="160" t="s">
        <v>16</v>
      </c>
      <c r="K133" s="139"/>
      <c r="L133" s="139"/>
      <c r="M133" s="139"/>
      <c r="N133" s="139"/>
      <c r="O133" s="139"/>
      <c r="P133" s="139"/>
      <c r="Q133" s="141"/>
      <c r="R133" s="227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</row>
    <row r="134" ht="24.75" customHeight="1">
      <c r="A134" s="160">
        <v>1.0</v>
      </c>
      <c r="B134" s="229" t="s">
        <v>77</v>
      </c>
      <c r="C134" s="181"/>
      <c r="D134" s="181"/>
      <c r="E134" s="181"/>
      <c r="F134" s="181"/>
      <c r="G134" s="181"/>
      <c r="H134" s="232">
        <v>33.0</v>
      </c>
      <c r="I134" s="181">
        <v>1.0</v>
      </c>
      <c r="J134" s="194">
        <f t="shared" ref="J134:J151" si="113">+I134*H134</f>
        <v>33</v>
      </c>
      <c r="K134" s="176"/>
      <c r="L134" s="176"/>
      <c r="M134" s="176"/>
      <c r="N134" s="176"/>
      <c r="O134" s="176"/>
      <c r="P134" s="176"/>
      <c r="Q134" s="231"/>
      <c r="R134" s="227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</row>
    <row r="135" ht="24.75" customHeight="1">
      <c r="A135" s="160">
        <v>2.0</v>
      </c>
      <c r="B135" s="215" t="s">
        <v>77</v>
      </c>
      <c r="C135" s="181"/>
      <c r="D135" s="181"/>
      <c r="E135" s="181"/>
      <c r="F135" s="181"/>
      <c r="G135" s="181"/>
      <c r="H135" s="232">
        <v>12.0</v>
      </c>
      <c r="I135" s="181">
        <v>1.0</v>
      </c>
      <c r="J135" s="194">
        <f t="shared" si="113"/>
        <v>12</v>
      </c>
      <c r="K135" s="176"/>
      <c r="L135" s="176"/>
      <c r="M135" s="176"/>
      <c r="N135" s="176"/>
      <c r="O135" s="176"/>
      <c r="P135" s="176"/>
      <c r="Q135" s="231"/>
      <c r="R135" s="227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</row>
    <row r="136" ht="24.75" customHeight="1">
      <c r="A136" s="160">
        <v>3.0</v>
      </c>
      <c r="B136" s="182" t="s">
        <v>76</v>
      </c>
      <c r="C136" s="181"/>
      <c r="D136" s="181"/>
      <c r="E136" s="181"/>
      <c r="F136" s="181"/>
      <c r="G136" s="181"/>
      <c r="H136" s="232">
        <v>50.0</v>
      </c>
      <c r="I136" s="181">
        <v>1.0</v>
      </c>
      <c r="J136" s="194">
        <f t="shared" si="113"/>
        <v>50</v>
      </c>
      <c r="K136" s="176"/>
      <c r="L136" s="176"/>
      <c r="M136" s="176"/>
      <c r="N136" s="176"/>
      <c r="O136" s="176"/>
      <c r="P136" s="176"/>
      <c r="Q136" s="231"/>
      <c r="R136" s="227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</row>
    <row r="137" ht="24.75" customHeight="1">
      <c r="A137" s="160">
        <v>4.0</v>
      </c>
      <c r="B137" s="218" t="s">
        <v>76</v>
      </c>
      <c r="C137" s="181"/>
      <c r="D137" s="181"/>
      <c r="E137" s="181"/>
      <c r="F137" s="181"/>
      <c r="G137" s="181"/>
      <c r="H137" s="232">
        <v>10.0</v>
      </c>
      <c r="I137" s="181">
        <v>1.0</v>
      </c>
      <c r="J137" s="194">
        <f t="shared" si="113"/>
        <v>10</v>
      </c>
      <c r="K137" s="176"/>
      <c r="L137" s="176"/>
      <c r="M137" s="176"/>
      <c r="N137" s="176"/>
      <c r="O137" s="176"/>
      <c r="P137" s="176"/>
      <c r="Q137" s="231"/>
      <c r="R137" s="227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</row>
    <row r="138" ht="24.75" customHeight="1">
      <c r="A138" s="160">
        <v>5.0</v>
      </c>
      <c r="B138" s="182" t="s">
        <v>55</v>
      </c>
      <c r="C138" s="181"/>
      <c r="D138" s="181"/>
      <c r="E138" s="181"/>
      <c r="F138" s="181"/>
      <c r="G138" s="181"/>
      <c r="H138" s="232">
        <v>67.0</v>
      </c>
      <c r="I138" s="181">
        <v>1.0</v>
      </c>
      <c r="J138" s="194">
        <f t="shared" si="113"/>
        <v>67</v>
      </c>
      <c r="K138" s="176"/>
      <c r="L138" s="176"/>
      <c r="M138" s="176"/>
      <c r="N138" s="176"/>
      <c r="O138" s="176"/>
      <c r="P138" s="176"/>
      <c r="Q138" s="231"/>
      <c r="R138" s="227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</row>
    <row r="139" ht="24.75" customHeight="1">
      <c r="A139" s="160">
        <v>6.0</v>
      </c>
      <c r="B139" s="218" t="s">
        <v>55</v>
      </c>
      <c r="C139" s="181"/>
      <c r="D139" s="181"/>
      <c r="E139" s="181"/>
      <c r="F139" s="181"/>
      <c r="G139" s="181"/>
      <c r="H139" s="232">
        <v>18.0</v>
      </c>
      <c r="I139" s="181">
        <v>1.0</v>
      </c>
      <c r="J139" s="194">
        <f t="shared" si="113"/>
        <v>18</v>
      </c>
      <c r="K139" s="176"/>
      <c r="L139" s="176"/>
      <c r="M139" s="176"/>
      <c r="N139" s="176"/>
      <c r="O139" s="176"/>
      <c r="P139" s="176"/>
      <c r="Q139" s="231"/>
      <c r="R139" s="227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</row>
    <row r="140" ht="24.75" customHeight="1">
      <c r="A140" s="160">
        <v>7.0</v>
      </c>
      <c r="B140" s="182" t="s">
        <v>55</v>
      </c>
      <c r="C140" s="181"/>
      <c r="D140" s="181"/>
      <c r="E140" s="181"/>
      <c r="F140" s="181"/>
      <c r="G140" s="181"/>
      <c r="H140" s="232">
        <v>55.0</v>
      </c>
      <c r="I140" s="181">
        <v>1.0</v>
      </c>
      <c r="J140" s="194">
        <f t="shared" si="113"/>
        <v>55</v>
      </c>
      <c r="K140" s="176"/>
      <c r="L140" s="176"/>
      <c r="M140" s="176"/>
      <c r="N140" s="176"/>
      <c r="O140" s="176"/>
      <c r="P140" s="176"/>
      <c r="Q140" s="231"/>
      <c r="R140" s="227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</row>
    <row r="141" ht="24.75" customHeight="1">
      <c r="A141" s="160">
        <v>8.0</v>
      </c>
      <c r="B141" s="218" t="s">
        <v>55</v>
      </c>
      <c r="C141" s="181"/>
      <c r="D141" s="181"/>
      <c r="E141" s="181"/>
      <c r="F141" s="181"/>
      <c r="G141" s="181"/>
      <c r="H141" s="232">
        <v>20.0</v>
      </c>
      <c r="I141" s="181">
        <v>1.0</v>
      </c>
      <c r="J141" s="194">
        <f t="shared" si="113"/>
        <v>20</v>
      </c>
      <c r="K141" s="176"/>
      <c r="L141" s="176"/>
      <c r="M141" s="176"/>
      <c r="N141" s="176"/>
      <c r="O141" s="176"/>
      <c r="P141" s="176"/>
      <c r="Q141" s="231"/>
      <c r="R141" s="227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</row>
    <row r="142" ht="24.75" customHeight="1">
      <c r="A142" s="160">
        <v>9.0</v>
      </c>
      <c r="B142" s="182" t="s">
        <v>55</v>
      </c>
      <c r="C142" s="181"/>
      <c r="D142" s="181"/>
      <c r="E142" s="181"/>
      <c r="F142" s="181"/>
      <c r="G142" s="181"/>
      <c r="H142" s="232">
        <v>67.0</v>
      </c>
      <c r="I142" s="181">
        <v>1.0</v>
      </c>
      <c r="J142" s="194">
        <f t="shared" si="113"/>
        <v>67</v>
      </c>
      <c r="K142" s="176"/>
      <c r="L142" s="176"/>
      <c r="M142" s="176"/>
      <c r="N142" s="176"/>
      <c r="O142" s="176"/>
      <c r="P142" s="176"/>
      <c r="Q142" s="231"/>
      <c r="R142" s="227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</row>
    <row r="143" ht="24.75" customHeight="1">
      <c r="A143" s="160">
        <v>10.0</v>
      </c>
      <c r="B143" s="218" t="s">
        <v>55</v>
      </c>
      <c r="C143" s="181"/>
      <c r="D143" s="181"/>
      <c r="E143" s="181"/>
      <c r="F143" s="181"/>
      <c r="G143" s="181"/>
      <c r="H143" s="232">
        <v>19.0</v>
      </c>
      <c r="I143" s="181">
        <v>1.0</v>
      </c>
      <c r="J143" s="194">
        <f t="shared" si="113"/>
        <v>19</v>
      </c>
      <c r="K143" s="176"/>
      <c r="L143" s="176"/>
      <c r="M143" s="176"/>
      <c r="N143" s="176"/>
      <c r="O143" s="176"/>
      <c r="P143" s="176"/>
      <c r="Q143" s="231"/>
      <c r="R143" s="227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</row>
    <row r="144" ht="24.75" customHeight="1">
      <c r="A144" s="160">
        <v>11.0</v>
      </c>
      <c r="B144" s="182" t="s">
        <v>55</v>
      </c>
      <c r="C144" s="181"/>
      <c r="D144" s="181"/>
      <c r="E144" s="181"/>
      <c r="F144" s="181"/>
      <c r="G144" s="181"/>
      <c r="H144" s="232">
        <v>35.0</v>
      </c>
      <c r="I144" s="181">
        <v>1.0</v>
      </c>
      <c r="J144" s="194">
        <f t="shared" si="113"/>
        <v>35</v>
      </c>
      <c r="K144" s="176"/>
      <c r="L144" s="176"/>
      <c r="M144" s="176"/>
      <c r="N144" s="176"/>
      <c r="O144" s="176"/>
      <c r="P144" s="176"/>
      <c r="Q144" s="231"/>
      <c r="R144" s="227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</row>
    <row r="145" ht="24.75" customHeight="1">
      <c r="A145" s="160">
        <v>12.0</v>
      </c>
      <c r="B145" s="218" t="s">
        <v>55</v>
      </c>
      <c r="C145" s="181"/>
      <c r="D145" s="181"/>
      <c r="E145" s="181"/>
      <c r="F145" s="181"/>
      <c r="G145" s="181"/>
      <c r="H145" s="232">
        <v>14.0</v>
      </c>
      <c r="I145" s="181">
        <v>1.0</v>
      </c>
      <c r="J145" s="194">
        <f t="shared" si="113"/>
        <v>14</v>
      </c>
      <c r="K145" s="176"/>
      <c r="L145" s="176"/>
      <c r="M145" s="176"/>
      <c r="N145" s="176"/>
      <c r="O145" s="176"/>
      <c r="P145" s="176"/>
      <c r="Q145" s="231"/>
      <c r="R145" s="227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</row>
    <row r="146" ht="24.75" customHeight="1">
      <c r="A146" s="160">
        <v>13.0</v>
      </c>
      <c r="B146" s="182" t="s">
        <v>84</v>
      </c>
      <c r="C146" s="181"/>
      <c r="D146" s="181"/>
      <c r="E146" s="181"/>
      <c r="F146" s="181"/>
      <c r="G146" s="181"/>
      <c r="H146" s="232">
        <v>50.0</v>
      </c>
      <c r="I146" s="181">
        <v>1.0</v>
      </c>
      <c r="J146" s="194">
        <f t="shared" si="113"/>
        <v>50</v>
      </c>
      <c r="K146" s="176"/>
      <c r="L146" s="176"/>
      <c r="M146" s="176"/>
      <c r="N146" s="176"/>
      <c r="O146" s="176"/>
      <c r="P146" s="176"/>
      <c r="Q146" s="231"/>
      <c r="R146" s="227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</row>
    <row r="147" ht="24.75" customHeight="1">
      <c r="A147" s="160">
        <v>14.0</v>
      </c>
      <c r="B147" s="218" t="s">
        <v>84</v>
      </c>
      <c r="C147" s="181"/>
      <c r="D147" s="181"/>
      <c r="E147" s="181"/>
      <c r="F147" s="181"/>
      <c r="G147" s="181"/>
      <c r="H147" s="232">
        <v>12.0</v>
      </c>
      <c r="I147" s="181">
        <v>1.0</v>
      </c>
      <c r="J147" s="194">
        <f t="shared" si="113"/>
        <v>12</v>
      </c>
      <c r="K147" s="176"/>
      <c r="L147" s="176"/>
      <c r="M147" s="176"/>
      <c r="N147" s="176"/>
      <c r="O147" s="176"/>
      <c r="P147" s="176"/>
      <c r="Q147" s="231"/>
      <c r="R147" s="227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</row>
    <row r="148" ht="24.75" customHeight="1">
      <c r="A148" s="160">
        <v>15.0</v>
      </c>
      <c r="B148" s="182" t="s">
        <v>122</v>
      </c>
      <c r="C148" s="181"/>
      <c r="D148" s="181"/>
      <c r="E148" s="181"/>
      <c r="F148" s="181"/>
      <c r="G148" s="181"/>
      <c r="H148" s="232">
        <v>26.0</v>
      </c>
      <c r="I148" s="181">
        <v>1.0</v>
      </c>
      <c r="J148" s="194">
        <f t="shared" si="113"/>
        <v>26</v>
      </c>
      <c r="K148" s="176"/>
      <c r="L148" s="176"/>
      <c r="M148" s="176"/>
      <c r="N148" s="176"/>
      <c r="O148" s="176"/>
      <c r="P148" s="176"/>
      <c r="Q148" s="231"/>
      <c r="R148" s="227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</row>
    <row r="149" ht="24.75" customHeight="1">
      <c r="A149" s="160">
        <v>16.0</v>
      </c>
      <c r="B149" s="191" t="s">
        <v>122</v>
      </c>
      <c r="C149" s="181"/>
      <c r="D149" s="181"/>
      <c r="E149" s="181"/>
      <c r="F149" s="181"/>
      <c r="G149" s="181"/>
      <c r="H149" s="232">
        <v>12.0</v>
      </c>
      <c r="I149" s="181">
        <v>1.0</v>
      </c>
      <c r="J149" s="194">
        <f t="shared" si="113"/>
        <v>12</v>
      </c>
      <c r="K149" s="176"/>
      <c r="L149" s="176"/>
      <c r="M149" s="176"/>
      <c r="N149" s="176"/>
      <c r="O149" s="176"/>
      <c r="P149" s="176"/>
      <c r="Q149" s="231"/>
      <c r="R149" s="227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</row>
    <row r="150" ht="24.75" customHeight="1">
      <c r="A150" s="160">
        <v>17.0</v>
      </c>
      <c r="B150" s="182" t="s">
        <v>121</v>
      </c>
      <c r="C150" s="181"/>
      <c r="D150" s="181"/>
      <c r="E150" s="181"/>
      <c r="F150" s="181"/>
      <c r="G150" s="181"/>
      <c r="H150" s="232">
        <v>34.0</v>
      </c>
      <c r="I150" s="181">
        <v>1.0</v>
      </c>
      <c r="J150" s="194">
        <f t="shared" si="113"/>
        <v>34</v>
      </c>
      <c r="K150" s="176"/>
      <c r="L150" s="176"/>
      <c r="M150" s="176"/>
      <c r="N150" s="176"/>
      <c r="O150" s="176"/>
      <c r="P150" s="176"/>
      <c r="Q150" s="231"/>
      <c r="R150" s="227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</row>
    <row r="151" ht="24.75" customHeight="1">
      <c r="A151" s="160">
        <v>18.0</v>
      </c>
      <c r="B151" s="191" t="s">
        <v>121</v>
      </c>
      <c r="C151" s="181"/>
      <c r="D151" s="181"/>
      <c r="E151" s="181"/>
      <c r="F151" s="181"/>
      <c r="G151" s="181"/>
      <c r="H151" s="232">
        <v>14.0</v>
      </c>
      <c r="I151" s="181">
        <v>1.0</v>
      </c>
      <c r="J151" s="194">
        <f t="shared" si="113"/>
        <v>14</v>
      </c>
      <c r="K151" s="176"/>
      <c r="L151" s="176"/>
      <c r="M151" s="176"/>
      <c r="N151" s="176"/>
      <c r="O151" s="176"/>
      <c r="P151" s="176"/>
      <c r="Q151" s="231"/>
      <c r="R151" s="140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</row>
    <row r="152" ht="18.75" customHeight="1">
      <c r="A152" s="139"/>
      <c r="B152" s="139"/>
      <c r="C152" s="139"/>
      <c r="D152" s="139"/>
      <c r="E152" s="139"/>
      <c r="F152" s="139"/>
      <c r="G152" s="139"/>
      <c r="H152" s="140" t="s">
        <v>38</v>
      </c>
      <c r="I152" s="139"/>
      <c r="J152" s="235">
        <f>SUM(J134:J151)</f>
        <v>548</v>
      </c>
      <c r="K152" s="236"/>
      <c r="L152" s="236"/>
      <c r="M152" s="236"/>
      <c r="N152" s="236"/>
      <c r="O152" s="236"/>
      <c r="P152" s="236"/>
      <c r="Q152" s="237"/>
      <c r="R152" s="227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</row>
    <row r="153" ht="18.75" customHeight="1">
      <c r="A153" s="144"/>
      <c r="B153" s="144"/>
      <c r="C153" s="144"/>
      <c r="D153" s="144"/>
      <c r="E153" s="144"/>
      <c r="F153" s="144"/>
      <c r="G153" s="144"/>
      <c r="H153" s="145"/>
      <c r="I153" s="173"/>
      <c r="J153" s="205">
        <f>+J152*60%</f>
        <v>328.8</v>
      </c>
      <c r="K153" s="205"/>
      <c r="L153" s="205"/>
      <c r="M153" s="205"/>
      <c r="N153" s="205"/>
      <c r="O153" s="205"/>
      <c r="P153" s="205"/>
      <c r="Q153" s="207">
        <f>+J152*40%</f>
        <v>219.2</v>
      </c>
      <c r="R153" s="227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</row>
    <row r="154" ht="18.75" customHeight="1">
      <c r="A154" s="139"/>
      <c r="B154" s="139"/>
      <c r="C154" s="139"/>
      <c r="D154" s="139"/>
      <c r="E154" s="139"/>
      <c r="F154" s="139"/>
      <c r="G154" s="139"/>
      <c r="H154" s="140"/>
      <c r="I154" s="139"/>
      <c r="J154" s="139"/>
      <c r="K154" s="139"/>
      <c r="L154" s="139"/>
      <c r="M154" s="139"/>
      <c r="N154" s="139"/>
      <c r="O154" s="139"/>
      <c r="P154" s="139"/>
      <c r="Q154" s="141"/>
      <c r="R154" s="227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</row>
    <row r="155" ht="18.75" customHeight="1">
      <c r="A155" s="139"/>
      <c r="B155" s="139"/>
      <c r="C155" s="139"/>
      <c r="D155" s="139"/>
      <c r="E155" s="139"/>
      <c r="F155" s="139"/>
      <c r="G155" s="139"/>
      <c r="H155" s="140"/>
      <c r="I155" s="139"/>
      <c r="J155" s="139"/>
      <c r="K155" s="139"/>
      <c r="L155" s="139"/>
      <c r="M155" s="139"/>
      <c r="N155" s="139"/>
      <c r="O155" s="139"/>
      <c r="P155" s="139"/>
      <c r="Q155" s="141"/>
      <c r="R155" s="227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</row>
    <row r="156" ht="19.5" customHeight="1">
      <c r="A156" s="238" t="s">
        <v>41</v>
      </c>
      <c r="B156" s="139"/>
      <c r="C156" s="139"/>
      <c r="D156" s="139"/>
      <c r="E156" s="139"/>
      <c r="F156" s="139"/>
      <c r="G156" s="139"/>
      <c r="H156" s="140"/>
      <c r="I156" s="139"/>
      <c r="J156" s="139"/>
      <c r="K156" s="139"/>
      <c r="L156" s="139"/>
      <c r="M156" s="139"/>
      <c r="N156" s="139"/>
      <c r="O156" s="139"/>
      <c r="P156" s="139"/>
      <c r="Q156" s="141"/>
      <c r="R156" s="227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</row>
    <row r="157" ht="57.0" customHeight="1">
      <c r="A157" s="239"/>
      <c r="B157" s="240" t="s">
        <v>42</v>
      </c>
      <c r="C157" s="240" t="s">
        <v>43</v>
      </c>
      <c r="D157" s="240" t="s">
        <v>44</v>
      </c>
      <c r="E157" s="240" t="s">
        <v>45</v>
      </c>
      <c r="F157" s="240"/>
      <c r="G157" s="240"/>
      <c r="H157" s="241" t="s">
        <v>46</v>
      </c>
      <c r="I157" s="242" t="s">
        <v>47</v>
      </c>
      <c r="J157" s="139"/>
      <c r="K157" s="139"/>
      <c r="L157" s="139"/>
      <c r="M157" s="139"/>
      <c r="N157" s="139"/>
      <c r="O157" s="139"/>
      <c r="P157" s="139"/>
      <c r="Q157" s="141"/>
      <c r="R157" s="227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</row>
    <row r="158" ht="18.75" customHeight="1">
      <c r="A158" s="243" t="s">
        <v>48</v>
      </c>
      <c r="B158" s="244">
        <f>+E17</f>
        <v>26302.63816</v>
      </c>
      <c r="C158" s="245">
        <f>+J111</f>
        <v>22499.51073</v>
      </c>
      <c r="D158" s="245">
        <f>+J127</f>
        <v>0</v>
      </c>
      <c r="E158" s="246">
        <f>J153</f>
        <v>328.8</v>
      </c>
      <c r="F158" s="246"/>
      <c r="G158" s="246"/>
      <c r="H158" s="247">
        <f>+I17</f>
        <v>985.5691144</v>
      </c>
      <c r="I158" s="248">
        <f>+B158-C158-D158-E158-H158</f>
        <v>2488.758319</v>
      </c>
      <c r="J158" s="139"/>
      <c r="K158" s="139"/>
      <c r="L158" s="139"/>
      <c r="M158" s="139"/>
      <c r="N158" s="139"/>
      <c r="O158" s="139"/>
      <c r="P158" s="139"/>
      <c r="Q158" s="141"/>
      <c r="R158" s="227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</row>
    <row r="159" ht="19.5" customHeight="1">
      <c r="A159" s="249" t="s">
        <v>49</v>
      </c>
      <c r="B159" s="250"/>
      <c r="C159" s="251">
        <f>+C158/B158</f>
        <v>0.8554088982</v>
      </c>
      <c r="D159" s="251">
        <f>+D158/B158</f>
        <v>0</v>
      </c>
      <c r="E159" s="251">
        <f>+E158/B158</f>
        <v>0.0125006472</v>
      </c>
      <c r="F159" s="251"/>
      <c r="G159" s="251"/>
      <c r="H159" s="252">
        <f>+H158/B158</f>
        <v>0.03747035215</v>
      </c>
      <c r="I159" s="253">
        <f>+I158/B158</f>
        <v>0.09462010249</v>
      </c>
      <c r="J159" s="139"/>
      <c r="K159" s="139"/>
      <c r="L159" s="139"/>
      <c r="M159" s="139"/>
      <c r="N159" s="139"/>
      <c r="O159" s="139"/>
      <c r="P159" s="139"/>
      <c r="Q159" s="141"/>
      <c r="R159" s="227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</row>
    <row r="160" ht="19.5" customHeight="1">
      <c r="A160" s="163"/>
      <c r="B160" s="221"/>
      <c r="C160" s="254"/>
      <c r="D160" s="254"/>
      <c r="E160" s="254"/>
      <c r="F160" s="254"/>
      <c r="G160" s="254"/>
      <c r="H160" s="255"/>
      <c r="I160" s="256"/>
      <c r="J160" s="139"/>
      <c r="K160" s="139"/>
      <c r="L160" s="139"/>
      <c r="M160" s="139"/>
      <c r="N160" s="139"/>
      <c r="O160" s="139"/>
      <c r="P160" s="139"/>
      <c r="Q160" s="141"/>
      <c r="R160" s="227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</row>
    <row r="161" ht="18.75" customHeight="1">
      <c r="A161" s="257"/>
      <c r="B161" s="258"/>
      <c r="C161" s="258"/>
      <c r="D161" s="258" t="s">
        <v>50</v>
      </c>
      <c r="E161" s="258" t="s">
        <v>48</v>
      </c>
      <c r="F161" s="258"/>
      <c r="G161" s="258"/>
      <c r="H161" s="259">
        <f>+D158+E158+H158+I158</f>
        <v>3803.127433</v>
      </c>
      <c r="I161" s="260"/>
      <c r="J161" s="139"/>
      <c r="K161" s="139"/>
      <c r="L161" s="139"/>
      <c r="M161" s="139"/>
      <c r="N161" s="139"/>
      <c r="O161" s="139"/>
      <c r="P161" s="139"/>
      <c r="Q161" s="141"/>
      <c r="R161" s="140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</row>
    <row r="162" ht="18.75" customHeight="1">
      <c r="A162" s="261"/>
      <c r="B162" s="139"/>
      <c r="C162" s="139"/>
      <c r="D162" s="139"/>
      <c r="E162" s="139" t="s">
        <v>49</v>
      </c>
      <c r="F162" s="139"/>
      <c r="G162" s="139"/>
      <c r="H162" s="255">
        <f>+H161/B158</f>
        <v>0.1445911018</v>
      </c>
      <c r="I162" s="262"/>
      <c r="J162" s="139"/>
      <c r="K162" s="139"/>
      <c r="L162" s="139"/>
      <c r="M162" s="139"/>
      <c r="N162" s="139"/>
      <c r="O162" s="139"/>
      <c r="P162" s="139"/>
      <c r="Q162" s="141"/>
      <c r="R162" s="140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</row>
    <row r="163" ht="18.75" customHeight="1">
      <c r="A163" s="261"/>
      <c r="B163" s="139"/>
      <c r="C163" s="139" t="s">
        <v>51</v>
      </c>
      <c r="D163" s="139"/>
      <c r="E163" s="139"/>
      <c r="F163" s="139"/>
      <c r="G163" s="139"/>
      <c r="H163" s="140"/>
      <c r="I163" s="262"/>
      <c r="J163" s="139"/>
      <c r="K163" s="139"/>
      <c r="L163" s="139"/>
      <c r="M163" s="139"/>
      <c r="N163" s="139"/>
      <c r="O163" s="139"/>
      <c r="P163" s="139"/>
      <c r="Q163" s="141"/>
      <c r="R163" s="140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</row>
    <row r="164" ht="18.75" customHeight="1">
      <c r="A164" s="261"/>
      <c r="B164" s="139"/>
      <c r="C164" s="139"/>
      <c r="D164" s="139" t="s">
        <v>52</v>
      </c>
      <c r="E164" s="139"/>
      <c r="F164" s="139"/>
      <c r="G164" s="139"/>
      <c r="H164" s="140">
        <f>+H163*(H161-H158)</f>
        <v>0</v>
      </c>
      <c r="I164" s="262"/>
      <c r="J164" s="139"/>
      <c r="K164" s="139"/>
      <c r="L164" s="139"/>
      <c r="M164" s="139"/>
      <c r="N164" s="139"/>
      <c r="O164" s="139"/>
      <c r="P164" s="139"/>
      <c r="Q164" s="141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</row>
    <row r="165" ht="19.5" customHeight="1">
      <c r="A165" s="263"/>
      <c r="B165" s="264"/>
      <c r="C165" s="264"/>
      <c r="D165" s="264"/>
      <c r="E165" s="264"/>
      <c r="F165" s="264"/>
      <c r="G165" s="264"/>
      <c r="H165" s="265"/>
      <c r="I165" s="266"/>
      <c r="J165" s="139"/>
      <c r="K165" s="139"/>
      <c r="L165" s="139"/>
      <c r="M165" s="139"/>
      <c r="N165" s="139"/>
      <c r="O165" s="139"/>
      <c r="P165" s="139"/>
      <c r="Q165" s="141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</row>
    <row r="166" ht="18.75" customHeight="1">
      <c r="A166" s="139"/>
      <c r="B166" s="139"/>
      <c r="C166" s="139"/>
      <c r="D166" s="139"/>
      <c r="E166" s="139"/>
      <c r="F166" s="139"/>
      <c r="G166" s="139"/>
      <c r="H166" s="140"/>
      <c r="I166" s="139"/>
      <c r="J166" s="139"/>
      <c r="K166" s="139"/>
      <c r="L166" s="139"/>
      <c r="M166" s="139"/>
      <c r="N166" s="139"/>
      <c r="O166" s="139"/>
      <c r="P166" s="139"/>
      <c r="Q166" s="141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</row>
    <row r="167" ht="18.75" customHeight="1">
      <c r="A167" s="139"/>
      <c r="B167" s="139"/>
      <c r="C167" s="139"/>
      <c r="D167" s="139"/>
      <c r="E167" s="139"/>
      <c r="F167" s="139"/>
      <c r="G167" s="139"/>
      <c r="H167" s="140"/>
      <c r="I167" s="139"/>
      <c r="J167" s="139"/>
      <c r="K167" s="139"/>
      <c r="L167" s="139"/>
      <c r="M167" s="139"/>
      <c r="N167" s="139"/>
      <c r="O167" s="139"/>
      <c r="P167" s="139"/>
      <c r="Q167" s="141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</row>
    <row r="168" ht="18.75" customHeight="1">
      <c r="A168" s="139"/>
      <c r="B168" s="139"/>
      <c r="C168" s="139"/>
      <c r="D168" s="139"/>
      <c r="E168" s="139"/>
      <c r="F168" s="139"/>
      <c r="G168" s="139"/>
      <c r="H168" s="140"/>
      <c r="I168" s="139"/>
      <c r="J168" s="139"/>
      <c r="K168" s="139"/>
      <c r="L168" s="139"/>
      <c r="M168" s="139"/>
      <c r="N168" s="139"/>
      <c r="O168" s="139"/>
      <c r="P168" s="139"/>
      <c r="Q168" s="141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7:D17"/>
    <mergeCell ref="E18:H18"/>
    <mergeCell ref="C23:E23"/>
    <mergeCell ref="C117:E117"/>
    <mergeCell ref="C133:E133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44356.0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</row>
    <row r="7" ht="36.0" customHeight="1">
      <c r="A7" s="146" t="s">
        <v>6</v>
      </c>
      <c r="B7" s="147"/>
      <c r="C7" s="148" t="s">
        <v>126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</row>
    <row r="8" ht="26.25" customHeight="1">
      <c r="A8" s="153">
        <v>1.0</v>
      </c>
      <c r="B8" s="154" t="s">
        <v>56</v>
      </c>
      <c r="C8" s="154">
        <v>29.5</v>
      </c>
      <c r="D8" s="155">
        <v>0.0146</v>
      </c>
      <c r="E8" s="156">
        <f>253.18*21.104</f>
        <v>5343.11072</v>
      </c>
      <c r="F8" s="156"/>
      <c r="G8" s="156"/>
      <c r="H8" s="157">
        <v>21.104</v>
      </c>
      <c r="I8" s="158">
        <f t="shared" ref="I8:I11" si="1">+D8*E8</f>
        <v>78.00941651</v>
      </c>
      <c r="J8" s="159">
        <f t="shared" ref="J8:J11" si="2">E8-I8</f>
        <v>5265.101303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</row>
    <row r="9" ht="26.25" customHeight="1">
      <c r="A9" s="153">
        <v>2.0</v>
      </c>
      <c r="B9" s="160" t="s">
        <v>76</v>
      </c>
      <c r="C9" s="160">
        <v>22.5</v>
      </c>
      <c r="D9" s="161">
        <v>0.1086</v>
      </c>
      <c r="E9" s="162">
        <f>216.328*21.969</f>
        <v>4752.509832</v>
      </c>
      <c r="F9" s="162"/>
      <c r="G9" s="162"/>
      <c r="H9" s="157">
        <v>21.969</v>
      </c>
      <c r="I9" s="158">
        <f t="shared" si="1"/>
        <v>516.1225678</v>
      </c>
      <c r="J9" s="159">
        <f t="shared" si="2"/>
        <v>4236.387264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</row>
    <row r="10" ht="26.25" customHeight="1">
      <c r="A10" s="153">
        <v>3.0</v>
      </c>
      <c r="B10" s="160" t="s">
        <v>55</v>
      </c>
      <c r="C10" s="154">
        <v>29.5</v>
      </c>
      <c r="D10" s="155">
        <v>0.0155</v>
      </c>
      <c r="E10" s="156">
        <f>231.448*27.104</f>
        <v>6273.166592</v>
      </c>
      <c r="F10" s="156"/>
      <c r="G10" s="156"/>
      <c r="H10" s="157">
        <v>27.104</v>
      </c>
      <c r="I10" s="158">
        <f t="shared" si="1"/>
        <v>97.23408218</v>
      </c>
      <c r="J10" s="159">
        <f t="shared" si="2"/>
        <v>6175.93251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</row>
    <row r="11" ht="26.25" customHeight="1">
      <c r="A11" s="153">
        <v>4.0</v>
      </c>
      <c r="B11" s="160" t="s">
        <v>56</v>
      </c>
      <c r="C11" s="160">
        <v>29.5</v>
      </c>
      <c r="D11" s="161">
        <v>0.0146</v>
      </c>
      <c r="E11" s="162">
        <f>253.192*39.479</f>
        <v>9995.766968</v>
      </c>
      <c r="F11" s="162"/>
      <c r="G11" s="162"/>
      <c r="H11" s="157">
        <v>39.479</v>
      </c>
      <c r="I11" s="158">
        <f t="shared" si="1"/>
        <v>145.9381977</v>
      </c>
      <c r="J11" s="159">
        <f t="shared" si="2"/>
        <v>9849.82877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</row>
    <row r="12" ht="18.75" customHeight="1">
      <c r="A12" s="163"/>
      <c r="B12" s="164"/>
      <c r="C12" s="165"/>
      <c r="D12" s="166"/>
      <c r="E12" s="167">
        <f>SUM(E8:E11)</f>
        <v>26364.55411</v>
      </c>
      <c r="F12" s="168"/>
      <c r="G12" s="168"/>
      <c r="H12" s="169"/>
      <c r="I12" s="170">
        <f t="shared" ref="I12:J12" si="3">SUM(I8:I11)</f>
        <v>837.3042642</v>
      </c>
      <c r="J12" s="171">
        <f t="shared" si="3"/>
        <v>25527.24985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</row>
    <row r="13" ht="18.75" customHeight="1">
      <c r="A13" s="172"/>
      <c r="B13" s="144"/>
      <c r="C13" s="144"/>
      <c r="D13" s="173"/>
      <c r="E13" s="174"/>
      <c r="F13" s="151"/>
      <c r="G13" s="151"/>
      <c r="H13" s="147"/>
      <c r="I13" s="175"/>
      <c r="J13" s="139"/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</row>
    <row r="15" ht="18.75" customHeight="1">
      <c r="A15" s="139"/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</row>
    <row r="16" ht="18.75" customHeight="1">
      <c r="A16" s="139" t="s">
        <v>11</v>
      </c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</row>
    <row r="18" ht="40.5" customHeight="1">
      <c r="A18" s="176"/>
      <c r="B18" s="160" t="s">
        <v>12</v>
      </c>
      <c r="C18" s="177" t="s">
        <v>62</v>
      </c>
      <c r="D18" s="52"/>
      <c r="E18" s="53"/>
      <c r="F18" s="178"/>
      <c r="G18" s="178"/>
      <c r="H18" s="179" t="s">
        <v>14</v>
      </c>
      <c r="I18" s="160" t="s">
        <v>15</v>
      </c>
      <c r="J18" s="160" t="s">
        <v>16</v>
      </c>
      <c r="K18" s="139"/>
      <c r="L18" s="160" t="s">
        <v>17</v>
      </c>
      <c r="M18" s="160" t="s">
        <v>15</v>
      </c>
      <c r="N18" s="176" t="s">
        <v>18</v>
      </c>
      <c r="O18" s="139"/>
      <c r="P18" s="139"/>
      <c r="Q18" s="180"/>
      <c r="R18" s="160" t="s">
        <v>17</v>
      </c>
      <c r="S18" s="160" t="s">
        <v>15</v>
      </c>
      <c r="T18" s="176" t="s">
        <v>18</v>
      </c>
      <c r="U18" s="139"/>
      <c r="V18" s="176" t="s">
        <v>19</v>
      </c>
      <c r="W18" s="176" t="s">
        <v>20</v>
      </c>
      <c r="X18" s="176" t="s">
        <v>21</v>
      </c>
      <c r="Y18" s="176" t="s">
        <v>127</v>
      </c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</row>
    <row r="19" ht="27.0" customHeight="1">
      <c r="A19" s="181">
        <v>1.0</v>
      </c>
      <c r="B19" s="182" t="s">
        <v>65</v>
      </c>
      <c r="C19" s="183">
        <v>94.0</v>
      </c>
      <c r="D19" s="183">
        <v>195.0</v>
      </c>
      <c r="E19" s="183">
        <v>251.0</v>
      </c>
      <c r="F19" s="183">
        <f t="shared" ref="F19:F75" si="5">VALUE(IF(RIGHT(B19, 1)="%", RIGHT(B19, 3), 0))</f>
        <v>0.8</v>
      </c>
      <c r="G19" s="183">
        <f t="shared" ref="G19:G75" si="6">+Q19*C19/100*D19/100*E19/100</f>
        <v>135.724485</v>
      </c>
      <c r="H19" s="184">
        <f t="shared" ref="H19:H75" si="7">IF(F19=0, G19, F19*G19)</f>
        <v>108.579588</v>
      </c>
      <c r="I19" s="183">
        <v>1.0</v>
      </c>
      <c r="J19" s="193">
        <f t="shared" ref="J19:J74" si="8">+I19*H19</f>
        <v>108.579588</v>
      </c>
      <c r="K19" s="186"/>
      <c r="L19" s="187">
        <f>D19*25.4/1000</f>
        <v>4.953</v>
      </c>
      <c r="M19" s="181">
        <f>+I19</f>
        <v>1</v>
      </c>
      <c r="N19" s="181">
        <f>M19*L19</f>
        <v>4.953</v>
      </c>
      <c r="O19" s="186"/>
      <c r="P19" s="186"/>
      <c r="Q19" s="188">
        <v>29.5</v>
      </c>
      <c r="R19" s="187">
        <f t="shared" ref="R19:R75" si="9">E19/100</f>
        <v>2.51</v>
      </c>
      <c r="S19" s="181">
        <f t="shared" ref="S19:S75" si="10">I19</f>
        <v>1</v>
      </c>
      <c r="T19" s="181">
        <f t="shared" ref="T19:T75" si="11">S19*R19</f>
        <v>2.51</v>
      </c>
      <c r="U19" s="278">
        <f t="shared" ref="U19:U74" si="12">Q19*C19/100*D19/100*E19/100</f>
        <v>135.724485</v>
      </c>
      <c r="V19" s="187">
        <f t="shared" ref="V19:W19" si="4">C19/100</f>
        <v>0.94</v>
      </c>
      <c r="W19" s="187">
        <f t="shared" si="4"/>
        <v>1.95</v>
      </c>
      <c r="X19" s="187">
        <f t="shared" ref="X19:X75" si="14">T19</f>
        <v>2.51</v>
      </c>
      <c r="Y19" s="189">
        <f t="shared" ref="Y19:Y75" si="15">V19*W19*X19</f>
        <v>4.60083</v>
      </c>
      <c r="Z19" s="186"/>
      <c r="AA19" s="186"/>
      <c r="AB19" s="186"/>
      <c r="AC19" s="186"/>
      <c r="AD19" s="186"/>
      <c r="AE19" s="186"/>
      <c r="AF19" s="186"/>
      <c r="AG19" s="186"/>
      <c r="AH19" s="186"/>
      <c r="AI19" s="186"/>
      <c r="AJ19" s="186"/>
      <c r="AK19" s="186"/>
      <c r="AL19" s="186"/>
      <c r="AM19" s="186"/>
      <c r="AN19" s="186"/>
      <c r="AO19" s="186"/>
      <c r="AP19" s="186"/>
      <c r="AQ19" s="186"/>
      <c r="AR19" s="186"/>
      <c r="AS19" s="186"/>
    </row>
    <row r="20" ht="27.0" customHeight="1">
      <c r="A20" s="181">
        <v>2.0</v>
      </c>
      <c r="B20" s="191" t="s">
        <v>56</v>
      </c>
      <c r="C20" s="191">
        <v>77.0</v>
      </c>
      <c r="D20" s="191">
        <v>195.0</v>
      </c>
      <c r="E20" s="191">
        <v>120.0</v>
      </c>
      <c r="F20" s="191">
        <f t="shared" si="5"/>
        <v>0</v>
      </c>
      <c r="G20" s="191">
        <f t="shared" si="6"/>
        <v>53.1531</v>
      </c>
      <c r="H20" s="219">
        <f t="shared" si="7"/>
        <v>53.1531</v>
      </c>
      <c r="I20" s="218">
        <v>1.0</v>
      </c>
      <c r="J20" s="193">
        <f t="shared" si="8"/>
        <v>53.1531</v>
      </c>
      <c r="K20" s="186"/>
      <c r="L20" s="187"/>
      <c r="M20" s="181"/>
      <c r="N20" s="181"/>
      <c r="O20" s="186"/>
      <c r="P20" s="186"/>
      <c r="Q20" s="188">
        <v>29.5</v>
      </c>
      <c r="R20" s="187">
        <f t="shared" si="9"/>
        <v>1.2</v>
      </c>
      <c r="S20" s="181">
        <f t="shared" si="10"/>
        <v>1</v>
      </c>
      <c r="T20" s="181">
        <f t="shared" si="11"/>
        <v>1.2</v>
      </c>
      <c r="U20" s="278">
        <f t="shared" si="12"/>
        <v>53.1531</v>
      </c>
      <c r="V20" s="187">
        <f t="shared" ref="V20:W20" si="13">C20/100</f>
        <v>0.77</v>
      </c>
      <c r="W20" s="187">
        <f t="shared" si="13"/>
        <v>1.95</v>
      </c>
      <c r="X20" s="187">
        <f t="shared" si="14"/>
        <v>1.2</v>
      </c>
      <c r="Y20" s="189">
        <f t="shared" si="15"/>
        <v>1.8018</v>
      </c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6"/>
    </row>
    <row r="21" ht="27.0" customHeight="1">
      <c r="A21" s="181">
        <v>3.0</v>
      </c>
      <c r="B21" s="191" t="s">
        <v>56</v>
      </c>
      <c r="C21" s="191">
        <v>100.0</v>
      </c>
      <c r="D21" s="191">
        <v>195.0</v>
      </c>
      <c r="E21" s="191">
        <v>252.0</v>
      </c>
      <c r="F21" s="191">
        <f t="shared" si="5"/>
        <v>0</v>
      </c>
      <c r="G21" s="191">
        <f t="shared" si="6"/>
        <v>144.963</v>
      </c>
      <c r="H21" s="219">
        <f t="shared" si="7"/>
        <v>144.963</v>
      </c>
      <c r="I21" s="218">
        <v>3.0</v>
      </c>
      <c r="J21" s="193">
        <f t="shared" si="8"/>
        <v>434.889</v>
      </c>
      <c r="K21" s="186"/>
      <c r="L21" s="187">
        <f t="shared" ref="L21:L36" si="17">D21*25.4/1000</f>
        <v>4.953</v>
      </c>
      <c r="M21" s="181">
        <f t="shared" ref="M21:M44" si="18">+I21</f>
        <v>3</v>
      </c>
      <c r="N21" s="181">
        <f t="shared" ref="N21:N36" si="19">M21*L21</f>
        <v>14.859</v>
      </c>
      <c r="O21" s="186"/>
      <c r="P21" s="186"/>
      <c r="Q21" s="188">
        <v>29.5</v>
      </c>
      <c r="R21" s="187">
        <f t="shared" si="9"/>
        <v>2.52</v>
      </c>
      <c r="S21" s="181">
        <f t="shared" si="10"/>
        <v>3</v>
      </c>
      <c r="T21" s="181">
        <f t="shared" si="11"/>
        <v>7.56</v>
      </c>
      <c r="U21" s="278">
        <f t="shared" si="12"/>
        <v>144.963</v>
      </c>
      <c r="V21" s="187">
        <f t="shared" ref="V21:W21" si="16">C21/100</f>
        <v>1</v>
      </c>
      <c r="W21" s="187">
        <f t="shared" si="16"/>
        <v>1.95</v>
      </c>
      <c r="X21" s="187">
        <f t="shared" si="14"/>
        <v>7.56</v>
      </c>
      <c r="Y21" s="189">
        <f t="shared" si="15"/>
        <v>14.742</v>
      </c>
      <c r="Z21" s="186"/>
      <c r="AA21" s="186"/>
      <c r="AB21" s="186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</row>
    <row r="22" ht="27.0" customHeight="1">
      <c r="A22" s="181">
        <v>4.0</v>
      </c>
      <c r="B22" s="191" t="s">
        <v>56</v>
      </c>
      <c r="C22" s="191">
        <v>100.0</v>
      </c>
      <c r="D22" s="191">
        <v>195.0</v>
      </c>
      <c r="E22" s="191">
        <v>250.0</v>
      </c>
      <c r="F22" s="191">
        <f t="shared" si="5"/>
        <v>0</v>
      </c>
      <c r="G22" s="191">
        <f t="shared" si="6"/>
        <v>143.8125</v>
      </c>
      <c r="H22" s="219">
        <f t="shared" si="7"/>
        <v>143.8125</v>
      </c>
      <c r="I22" s="218">
        <v>3.0</v>
      </c>
      <c r="J22" s="193">
        <f t="shared" si="8"/>
        <v>431.4375</v>
      </c>
      <c r="K22" s="186"/>
      <c r="L22" s="187">
        <f t="shared" si="17"/>
        <v>4.953</v>
      </c>
      <c r="M22" s="181">
        <f t="shared" si="18"/>
        <v>3</v>
      </c>
      <c r="N22" s="181">
        <f t="shared" si="19"/>
        <v>14.859</v>
      </c>
      <c r="O22" s="186"/>
      <c r="P22" s="186"/>
      <c r="Q22" s="188">
        <v>29.5</v>
      </c>
      <c r="R22" s="187">
        <f t="shared" si="9"/>
        <v>2.5</v>
      </c>
      <c r="S22" s="181">
        <f t="shared" si="10"/>
        <v>3</v>
      </c>
      <c r="T22" s="181">
        <f t="shared" si="11"/>
        <v>7.5</v>
      </c>
      <c r="U22" s="278">
        <f t="shared" si="12"/>
        <v>143.8125</v>
      </c>
      <c r="V22" s="187">
        <f t="shared" ref="V22:W22" si="20">C22/100</f>
        <v>1</v>
      </c>
      <c r="W22" s="187">
        <f t="shared" si="20"/>
        <v>1.95</v>
      </c>
      <c r="X22" s="187">
        <f t="shared" si="14"/>
        <v>7.5</v>
      </c>
      <c r="Y22" s="189">
        <f t="shared" si="15"/>
        <v>14.625</v>
      </c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</row>
    <row r="23" ht="27.0" customHeight="1">
      <c r="A23" s="181">
        <v>5.0</v>
      </c>
      <c r="B23" s="191" t="s">
        <v>56</v>
      </c>
      <c r="C23" s="191">
        <v>100.0</v>
      </c>
      <c r="D23" s="191">
        <v>195.0</v>
      </c>
      <c r="E23" s="191">
        <v>220.0</v>
      </c>
      <c r="F23" s="191">
        <f t="shared" si="5"/>
        <v>0</v>
      </c>
      <c r="G23" s="191">
        <f t="shared" si="6"/>
        <v>126.555</v>
      </c>
      <c r="H23" s="219">
        <f t="shared" si="7"/>
        <v>126.555</v>
      </c>
      <c r="I23" s="218">
        <v>3.0</v>
      </c>
      <c r="J23" s="193">
        <f t="shared" si="8"/>
        <v>379.665</v>
      </c>
      <c r="K23" s="186"/>
      <c r="L23" s="187">
        <f t="shared" si="17"/>
        <v>4.953</v>
      </c>
      <c r="M23" s="181">
        <f t="shared" si="18"/>
        <v>3</v>
      </c>
      <c r="N23" s="181">
        <f t="shared" si="19"/>
        <v>14.859</v>
      </c>
      <c r="O23" s="186"/>
      <c r="P23" s="186"/>
      <c r="Q23" s="188">
        <v>29.5</v>
      </c>
      <c r="R23" s="187">
        <f t="shared" si="9"/>
        <v>2.2</v>
      </c>
      <c r="S23" s="181">
        <f t="shared" si="10"/>
        <v>3</v>
      </c>
      <c r="T23" s="181">
        <f t="shared" si="11"/>
        <v>6.6</v>
      </c>
      <c r="U23" s="278">
        <f t="shared" si="12"/>
        <v>126.555</v>
      </c>
      <c r="V23" s="187">
        <f t="shared" ref="V23:W23" si="21">C23/100</f>
        <v>1</v>
      </c>
      <c r="W23" s="187">
        <f t="shared" si="21"/>
        <v>1.95</v>
      </c>
      <c r="X23" s="187">
        <f t="shared" si="14"/>
        <v>6.6</v>
      </c>
      <c r="Y23" s="189">
        <f t="shared" si="15"/>
        <v>12.87</v>
      </c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</row>
    <row r="24" ht="27.0" customHeight="1">
      <c r="A24" s="181">
        <v>6.0</v>
      </c>
      <c r="B24" s="191" t="s">
        <v>56</v>
      </c>
      <c r="C24" s="191">
        <v>101.0</v>
      </c>
      <c r="D24" s="191">
        <v>195.0</v>
      </c>
      <c r="E24" s="191">
        <v>222.0</v>
      </c>
      <c r="F24" s="191">
        <f t="shared" si="5"/>
        <v>0</v>
      </c>
      <c r="G24" s="191">
        <f t="shared" si="6"/>
        <v>128.982555</v>
      </c>
      <c r="H24" s="219">
        <f t="shared" si="7"/>
        <v>128.982555</v>
      </c>
      <c r="I24" s="218">
        <v>3.0</v>
      </c>
      <c r="J24" s="193">
        <f t="shared" si="8"/>
        <v>386.947665</v>
      </c>
      <c r="K24" s="186"/>
      <c r="L24" s="187">
        <f t="shared" si="17"/>
        <v>4.953</v>
      </c>
      <c r="M24" s="181">
        <f t="shared" si="18"/>
        <v>3</v>
      </c>
      <c r="N24" s="181">
        <f t="shared" si="19"/>
        <v>14.859</v>
      </c>
      <c r="O24" s="186"/>
      <c r="P24" s="186"/>
      <c r="Q24" s="188">
        <v>29.5</v>
      </c>
      <c r="R24" s="187">
        <f t="shared" si="9"/>
        <v>2.22</v>
      </c>
      <c r="S24" s="181">
        <f t="shared" si="10"/>
        <v>3</v>
      </c>
      <c r="T24" s="181">
        <f t="shared" si="11"/>
        <v>6.66</v>
      </c>
      <c r="U24" s="278">
        <f t="shared" si="12"/>
        <v>128.982555</v>
      </c>
      <c r="V24" s="187">
        <f t="shared" ref="V24:W24" si="22">C24/100</f>
        <v>1.01</v>
      </c>
      <c r="W24" s="187">
        <f t="shared" si="22"/>
        <v>1.95</v>
      </c>
      <c r="X24" s="187">
        <f t="shared" si="14"/>
        <v>6.66</v>
      </c>
      <c r="Y24" s="189">
        <f t="shared" si="15"/>
        <v>13.11687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</row>
    <row r="25" ht="27.0" customHeight="1">
      <c r="A25" s="181">
        <v>7.0</v>
      </c>
      <c r="B25" s="191" t="s">
        <v>56</v>
      </c>
      <c r="C25" s="191">
        <v>102.0</v>
      </c>
      <c r="D25" s="191">
        <v>195.0</v>
      </c>
      <c r="E25" s="191">
        <v>252.0</v>
      </c>
      <c r="F25" s="191">
        <f t="shared" si="5"/>
        <v>0</v>
      </c>
      <c r="G25" s="191">
        <f t="shared" si="6"/>
        <v>147.86226</v>
      </c>
      <c r="H25" s="219">
        <f t="shared" si="7"/>
        <v>147.86226</v>
      </c>
      <c r="I25" s="218">
        <v>2.0</v>
      </c>
      <c r="J25" s="193">
        <f t="shared" si="8"/>
        <v>295.72452</v>
      </c>
      <c r="K25" s="186"/>
      <c r="L25" s="187">
        <f t="shared" si="17"/>
        <v>4.953</v>
      </c>
      <c r="M25" s="181">
        <f t="shared" si="18"/>
        <v>2</v>
      </c>
      <c r="N25" s="181">
        <f t="shared" si="19"/>
        <v>9.906</v>
      </c>
      <c r="O25" s="186"/>
      <c r="P25" s="186"/>
      <c r="Q25" s="188">
        <v>29.5</v>
      </c>
      <c r="R25" s="187">
        <f t="shared" si="9"/>
        <v>2.52</v>
      </c>
      <c r="S25" s="181">
        <f t="shared" si="10"/>
        <v>2</v>
      </c>
      <c r="T25" s="181">
        <f t="shared" si="11"/>
        <v>5.04</v>
      </c>
      <c r="U25" s="278">
        <f t="shared" si="12"/>
        <v>147.86226</v>
      </c>
      <c r="V25" s="187">
        <f t="shared" ref="V25:W25" si="23">C25/100</f>
        <v>1.02</v>
      </c>
      <c r="W25" s="187">
        <f t="shared" si="23"/>
        <v>1.95</v>
      </c>
      <c r="X25" s="187">
        <f t="shared" si="14"/>
        <v>5.04</v>
      </c>
      <c r="Y25" s="189">
        <f t="shared" si="15"/>
        <v>10.02456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</row>
    <row r="26" ht="27.0" customHeight="1">
      <c r="A26" s="181">
        <v>8.0</v>
      </c>
      <c r="B26" s="191" t="s">
        <v>56</v>
      </c>
      <c r="C26" s="191">
        <v>101.0</v>
      </c>
      <c r="D26" s="191">
        <v>195.0</v>
      </c>
      <c r="E26" s="191">
        <v>151.0</v>
      </c>
      <c r="F26" s="191">
        <f t="shared" si="5"/>
        <v>0</v>
      </c>
      <c r="G26" s="191">
        <f t="shared" si="6"/>
        <v>87.7313775</v>
      </c>
      <c r="H26" s="219">
        <f t="shared" si="7"/>
        <v>87.7313775</v>
      </c>
      <c r="I26" s="218">
        <v>2.0</v>
      </c>
      <c r="J26" s="193">
        <f t="shared" si="8"/>
        <v>175.462755</v>
      </c>
      <c r="K26" s="186"/>
      <c r="L26" s="187">
        <f t="shared" si="17"/>
        <v>4.953</v>
      </c>
      <c r="M26" s="181">
        <f t="shared" si="18"/>
        <v>2</v>
      </c>
      <c r="N26" s="181">
        <f t="shared" si="19"/>
        <v>9.906</v>
      </c>
      <c r="O26" s="186"/>
      <c r="P26" s="186"/>
      <c r="Q26" s="188">
        <v>29.5</v>
      </c>
      <c r="R26" s="187">
        <f t="shared" si="9"/>
        <v>1.51</v>
      </c>
      <c r="S26" s="181">
        <f t="shared" si="10"/>
        <v>2</v>
      </c>
      <c r="T26" s="181">
        <f t="shared" si="11"/>
        <v>3.02</v>
      </c>
      <c r="U26" s="278">
        <f t="shared" si="12"/>
        <v>87.7313775</v>
      </c>
      <c r="V26" s="187">
        <f t="shared" ref="V26:W26" si="24">C26/100</f>
        <v>1.01</v>
      </c>
      <c r="W26" s="187">
        <f t="shared" si="24"/>
        <v>1.95</v>
      </c>
      <c r="X26" s="187">
        <f t="shared" si="14"/>
        <v>3.02</v>
      </c>
      <c r="Y26" s="189">
        <f t="shared" si="15"/>
        <v>5.94789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</row>
    <row r="27" ht="27.0" customHeight="1">
      <c r="A27" s="181">
        <v>9.0</v>
      </c>
      <c r="B27" s="191" t="s">
        <v>56</v>
      </c>
      <c r="C27" s="191">
        <v>100.0</v>
      </c>
      <c r="D27" s="191">
        <v>195.0</v>
      </c>
      <c r="E27" s="191">
        <v>152.0</v>
      </c>
      <c r="F27" s="191">
        <f t="shared" si="5"/>
        <v>0</v>
      </c>
      <c r="G27" s="191">
        <f t="shared" si="6"/>
        <v>87.438</v>
      </c>
      <c r="H27" s="219">
        <f t="shared" si="7"/>
        <v>87.438</v>
      </c>
      <c r="I27" s="218">
        <v>4.0</v>
      </c>
      <c r="J27" s="193">
        <f t="shared" si="8"/>
        <v>349.752</v>
      </c>
      <c r="K27" s="186"/>
      <c r="L27" s="187">
        <f t="shared" si="17"/>
        <v>4.953</v>
      </c>
      <c r="M27" s="181">
        <f t="shared" si="18"/>
        <v>4</v>
      </c>
      <c r="N27" s="181">
        <f t="shared" si="19"/>
        <v>19.812</v>
      </c>
      <c r="O27" s="186"/>
      <c r="P27" s="186"/>
      <c r="Q27" s="188">
        <v>29.5</v>
      </c>
      <c r="R27" s="187">
        <f t="shared" si="9"/>
        <v>1.52</v>
      </c>
      <c r="S27" s="181">
        <f t="shared" si="10"/>
        <v>4</v>
      </c>
      <c r="T27" s="181">
        <f t="shared" si="11"/>
        <v>6.08</v>
      </c>
      <c r="U27" s="278">
        <f t="shared" si="12"/>
        <v>87.438</v>
      </c>
      <c r="V27" s="187">
        <f t="shared" ref="V27:W27" si="25">C27/100</f>
        <v>1</v>
      </c>
      <c r="W27" s="187">
        <f t="shared" si="25"/>
        <v>1.95</v>
      </c>
      <c r="X27" s="187">
        <f t="shared" si="14"/>
        <v>6.08</v>
      </c>
      <c r="Y27" s="189">
        <f t="shared" si="15"/>
        <v>11.856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</row>
    <row r="28" ht="27.0" customHeight="1">
      <c r="A28" s="181">
        <v>10.0</v>
      </c>
      <c r="B28" s="191" t="s">
        <v>56</v>
      </c>
      <c r="C28" s="191">
        <v>100.0</v>
      </c>
      <c r="D28" s="191">
        <v>195.0</v>
      </c>
      <c r="E28" s="191">
        <v>153.0</v>
      </c>
      <c r="F28" s="191">
        <f t="shared" si="5"/>
        <v>0</v>
      </c>
      <c r="G28" s="191">
        <f t="shared" si="6"/>
        <v>88.01325</v>
      </c>
      <c r="H28" s="219">
        <f t="shared" si="7"/>
        <v>88.01325</v>
      </c>
      <c r="I28" s="218">
        <v>1.0</v>
      </c>
      <c r="J28" s="193">
        <f t="shared" si="8"/>
        <v>88.01325</v>
      </c>
      <c r="K28" s="186"/>
      <c r="L28" s="187">
        <f t="shared" si="17"/>
        <v>4.953</v>
      </c>
      <c r="M28" s="181">
        <f t="shared" si="18"/>
        <v>1</v>
      </c>
      <c r="N28" s="181">
        <f t="shared" si="19"/>
        <v>4.953</v>
      </c>
      <c r="O28" s="186"/>
      <c r="P28" s="186"/>
      <c r="Q28" s="188">
        <v>29.5</v>
      </c>
      <c r="R28" s="187">
        <f t="shared" si="9"/>
        <v>1.53</v>
      </c>
      <c r="S28" s="181">
        <f t="shared" si="10"/>
        <v>1</v>
      </c>
      <c r="T28" s="181">
        <f t="shared" si="11"/>
        <v>1.53</v>
      </c>
      <c r="U28" s="278">
        <f t="shared" si="12"/>
        <v>88.01325</v>
      </c>
      <c r="V28" s="187">
        <f t="shared" ref="V28:W28" si="26">C28/100</f>
        <v>1</v>
      </c>
      <c r="W28" s="187">
        <f t="shared" si="26"/>
        <v>1.95</v>
      </c>
      <c r="X28" s="187">
        <f t="shared" si="14"/>
        <v>1.53</v>
      </c>
      <c r="Y28" s="189">
        <f t="shared" si="15"/>
        <v>2.9835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11.0</v>
      </c>
      <c r="B29" s="191" t="s">
        <v>56</v>
      </c>
      <c r="C29" s="191">
        <v>100.0</v>
      </c>
      <c r="D29" s="191">
        <v>195.0</v>
      </c>
      <c r="E29" s="191">
        <v>151.0</v>
      </c>
      <c r="F29" s="191">
        <f t="shared" si="5"/>
        <v>0</v>
      </c>
      <c r="G29" s="191">
        <f t="shared" si="6"/>
        <v>86.86275</v>
      </c>
      <c r="H29" s="219">
        <f t="shared" si="7"/>
        <v>86.86275</v>
      </c>
      <c r="I29" s="218">
        <v>3.0</v>
      </c>
      <c r="J29" s="193">
        <f t="shared" si="8"/>
        <v>260.58825</v>
      </c>
      <c r="K29" s="186"/>
      <c r="L29" s="187">
        <f t="shared" si="17"/>
        <v>4.953</v>
      </c>
      <c r="M29" s="181">
        <f t="shared" si="18"/>
        <v>3</v>
      </c>
      <c r="N29" s="181">
        <f t="shared" si="19"/>
        <v>14.859</v>
      </c>
      <c r="O29" s="186"/>
      <c r="P29" s="186"/>
      <c r="Q29" s="188">
        <v>29.5</v>
      </c>
      <c r="R29" s="187">
        <f t="shared" si="9"/>
        <v>1.51</v>
      </c>
      <c r="S29" s="181">
        <f t="shared" si="10"/>
        <v>3</v>
      </c>
      <c r="T29" s="181">
        <f t="shared" si="11"/>
        <v>4.53</v>
      </c>
      <c r="U29" s="278">
        <f t="shared" si="12"/>
        <v>86.86275</v>
      </c>
      <c r="V29" s="187">
        <f t="shared" ref="V29:W29" si="27">C29/100</f>
        <v>1</v>
      </c>
      <c r="W29" s="187">
        <f t="shared" si="27"/>
        <v>1.95</v>
      </c>
      <c r="X29" s="187">
        <f t="shared" si="14"/>
        <v>4.53</v>
      </c>
      <c r="Y29" s="189">
        <f t="shared" si="15"/>
        <v>8.8335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12.0</v>
      </c>
      <c r="B30" s="191" t="s">
        <v>56</v>
      </c>
      <c r="C30" s="191">
        <v>100.0</v>
      </c>
      <c r="D30" s="191">
        <v>195.0</v>
      </c>
      <c r="E30" s="191">
        <v>221.0</v>
      </c>
      <c r="F30" s="191">
        <f t="shared" si="5"/>
        <v>0</v>
      </c>
      <c r="G30" s="191">
        <f t="shared" si="6"/>
        <v>127.13025</v>
      </c>
      <c r="H30" s="219">
        <f t="shared" si="7"/>
        <v>127.13025</v>
      </c>
      <c r="I30" s="218">
        <v>1.0</v>
      </c>
      <c r="J30" s="193">
        <f t="shared" si="8"/>
        <v>127.13025</v>
      </c>
      <c r="K30" s="186"/>
      <c r="L30" s="187">
        <f t="shared" si="17"/>
        <v>4.953</v>
      </c>
      <c r="M30" s="181">
        <f t="shared" si="18"/>
        <v>1</v>
      </c>
      <c r="N30" s="181">
        <f t="shared" si="19"/>
        <v>4.953</v>
      </c>
      <c r="O30" s="186"/>
      <c r="P30" s="186"/>
      <c r="Q30" s="188">
        <v>29.5</v>
      </c>
      <c r="R30" s="187">
        <f t="shared" si="9"/>
        <v>2.21</v>
      </c>
      <c r="S30" s="181">
        <f t="shared" si="10"/>
        <v>1</v>
      </c>
      <c r="T30" s="181">
        <f t="shared" si="11"/>
        <v>2.21</v>
      </c>
      <c r="U30" s="278">
        <f t="shared" si="12"/>
        <v>127.13025</v>
      </c>
      <c r="V30" s="187">
        <f t="shared" ref="V30:W30" si="28">C30/100</f>
        <v>1</v>
      </c>
      <c r="W30" s="187">
        <f t="shared" si="28"/>
        <v>1.95</v>
      </c>
      <c r="X30" s="187">
        <f t="shared" si="14"/>
        <v>2.21</v>
      </c>
      <c r="Y30" s="189">
        <f t="shared" si="15"/>
        <v>4.3095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13.0</v>
      </c>
      <c r="B31" s="191" t="s">
        <v>56</v>
      </c>
      <c r="C31" s="191">
        <v>95.0</v>
      </c>
      <c r="D31" s="191">
        <v>195.0</v>
      </c>
      <c r="E31" s="191">
        <v>151.0</v>
      </c>
      <c r="F31" s="191">
        <f t="shared" si="5"/>
        <v>0</v>
      </c>
      <c r="G31" s="191">
        <f t="shared" si="6"/>
        <v>82.5196125</v>
      </c>
      <c r="H31" s="219">
        <f t="shared" si="7"/>
        <v>82.5196125</v>
      </c>
      <c r="I31" s="218">
        <v>1.0</v>
      </c>
      <c r="J31" s="193">
        <f t="shared" si="8"/>
        <v>82.5196125</v>
      </c>
      <c r="K31" s="186"/>
      <c r="L31" s="187">
        <f t="shared" si="17"/>
        <v>4.953</v>
      </c>
      <c r="M31" s="181">
        <f t="shared" si="18"/>
        <v>1</v>
      </c>
      <c r="N31" s="181">
        <f t="shared" si="19"/>
        <v>4.953</v>
      </c>
      <c r="O31" s="186"/>
      <c r="P31" s="186"/>
      <c r="Q31" s="188">
        <v>29.5</v>
      </c>
      <c r="R31" s="187">
        <f t="shared" si="9"/>
        <v>1.51</v>
      </c>
      <c r="S31" s="181">
        <f t="shared" si="10"/>
        <v>1</v>
      </c>
      <c r="T31" s="181">
        <f t="shared" si="11"/>
        <v>1.51</v>
      </c>
      <c r="U31" s="278">
        <f t="shared" si="12"/>
        <v>82.5196125</v>
      </c>
      <c r="V31" s="187">
        <f t="shared" ref="V31:W31" si="29">C31/100</f>
        <v>0.95</v>
      </c>
      <c r="W31" s="187">
        <f t="shared" si="29"/>
        <v>1.95</v>
      </c>
      <c r="X31" s="187">
        <f t="shared" si="14"/>
        <v>1.51</v>
      </c>
      <c r="Y31" s="189">
        <f t="shared" si="15"/>
        <v>2.797275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14.0</v>
      </c>
      <c r="B32" s="191" t="s">
        <v>56</v>
      </c>
      <c r="C32" s="191">
        <v>89.0</v>
      </c>
      <c r="D32" s="191">
        <v>195.0</v>
      </c>
      <c r="E32" s="191">
        <v>155.0</v>
      </c>
      <c r="F32" s="191">
        <f t="shared" si="5"/>
        <v>0</v>
      </c>
      <c r="G32" s="191">
        <f t="shared" si="6"/>
        <v>79.3557375</v>
      </c>
      <c r="H32" s="219">
        <f t="shared" si="7"/>
        <v>79.3557375</v>
      </c>
      <c r="I32" s="218">
        <v>1.0</v>
      </c>
      <c r="J32" s="193">
        <f t="shared" si="8"/>
        <v>79.3557375</v>
      </c>
      <c r="K32" s="186"/>
      <c r="L32" s="187">
        <f t="shared" si="17"/>
        <v>4.953</v>
      </c>
      <c r="M32" s="181">
        <f t="shared" si="18"/>
        <v>1</v>
      </c>
      <c r="N32" s="181">
        <f t="shared" si="19"/>
        <v>4.953</v>
      </c>
      <c r="O32" s="186"/>
      <c r="P32" s="186"/>
      <c r="Q32" s="188">
        <v>29.5</v>
      </c>
      <c r="R32" s="187">
        <f t="shared" si="9"/>
        <v>1.55</v>
      </c>
      <c r="S32" s="181">
        <f t="shared" si="10"/>
        <v>1</v>
      </c>
      <c r="T32" s="181">
        <f t="shared" si="11"/>
        <v>1.55</v>
      </c>
      <c r="U32" s="278">
        <f t="shared" si="12"/>
        <v>79.3557375</v>
      </c>
      <c r="V32" s="187">
        <f t="shared" ref="V32:W32" si="30">C32/100</f>
        <v>0.89</v>
      </c>
      <c r="W32" s="187">
        <f t="shared" si="30"/>
        <v>1.95</v>
      </c>
      <c r="X32" s="187">
        <f t="shared" si="14"/>
        <v>1.55</v>
      </c>
      <c r="Y32" s="189">
        <f t="shared" si="15"/>
        <v>2.690025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15.0</v>
      </c>
      <c r="B33" s="191" t="s">
        <v>56</v>
      </c>
      <c r="C33" s="191">
        <v>100.0</v>
      </c>
      <c r="D33" s="191">
        <v>195.0</v>
      </c>
      <c r="E33" s="191">
        <v>251.0</v>
      </c>
      <c r="F33" s="191">
        <f t="shared" si="5"/>
        <v>0</v>
      </c>
      <c r="G33" s="191">
        <f t="shared" si="6"/>
        <v>144.38775</v>
      </c>
      <c r="H33" s="219">
        <f t="shared" si="7"/>
        <v>144.38775</v>
      </c>
      <c r="I33" s="218">
        <v>6.0</v>
      </c>
      <c r="J33" s="193">
        <f t="shared" si="8"/>
        <v>866.3265</v>
      </c>
      <c r="K33" s="186"/>
      <c r="L33" s="187">
        <f t="shared" si="17"/>
        <v>4.953</v>
      </c>
      <c r="M33" s="181">
        <f t="shared" si="18"/>
        <v>6</v>
      </c>
      <c r="N33" s="181">
        <f t="shared" si="19"/>
        <v>29.718</v>
      </c>
      <c r="O33" s="186"/>
      <c r="P33" s="186"/>
      <c r="Q33" s="188">
        <v>29.5</v>
      </c>
      <c r="R33" s="187">
        <f t="shared" si="9"/>
        <v>2.51</v>
      </c>
      <c r="S33" s="181">
        <f t="shared" si="10"/>
        <v>6</v>
      </c>
      <c r="T33" s="181">
        <f t="shared" si="11"/>
        <v>15.06</v>
      </c>
      <c r="U33" s="278">
        <f t="shared" si="12"/>
        <v>144.38775</v>
      </c>
      <c r="V33" s="187">
        <f t="shared" ref="V33:W33" si="31">C33/100</f>
        <v>1</v>
      </c>
      <c r="W33" s="187">
        <f t="shared" si="31"/>
        <v>1.95</v>
      </c>
      <c r="X33" s="187">
        <f t="shared" si="14"/>
        <v>15.06</v>
      </c>
      <c r="Y33" s="189">
        <f t="shared" si="15"/>
        <v>29.367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16.0</v>
      </c>
      <c r="B34" s="191" t="s">
        <v>56</v>
      </c>
      <c r="C34" s="191">
        <v>101.0</v>
      </c>
      <c r="D34" s="191">
        <v>195.0</v>
      </c>
      <c r="E34" s="191">
        <v>251.0</v>
      </c>
      <c r="F34" s="191">
        <f t="shared" si="5"/>
        <v>0</v>
      </c>
      <c r="G34" s="191">
        <f t="shared" si="6"/>
        <v>145.8316275</v>
      </c>
      <c r="H34" s="219">
        <f t="shared" si="7"/>
        <v>145.8316275</v>
      </c>
      <c r="I34" s="218">
        <v>3.0</v>
      </c>
      <c r="J34" s="193">
        <f t="shared" si="8"/>
        <v>437.4948825</v>
      </c>
      <c r="K34" s="186"/>
      <c r="L34" s="187">
        <f t="shared" si="17"/>
        <v>4.953</v>
      </c>
      <c r="M34" s="181">
        <f t="shared" si="18"/>
        <v>3</v>
      </c>
      <c r="N34" s="181">
        <f t="shared" si="19"/>
        <v>14.859</v>
      </c>
      <c r="O34" s="186"/>
      <c r="P34" s="186"/>
      <c r="Q34" s="188">
        <v>29.5</v>
      </c>
      <c r="R34" s="187">
        <f t="shared" si="9"/>
        <v>2.51</v>
      </c>
      <c r="S34" s="181">
        <f t="shared" si="10"/>
        <v>3</v>
      </c>
      <c r="T34" s="181">
        <f t="shared" si="11"/>
        <v>7.53</v>
      </c>
      <c r="U34" s="278">
        <f t="shared" si="12"/>
        <v>145.8316275</v>
      </c>
      <c r="V34" s="187">
        <f t="shared" ref="V34:W34" si="32">C34/100</f>
        <v>1.01</v>
      </c>
      <c r="W34" s="187">
        <f t="shared" si="32"/>
        <v>1.95</v>
      </c>
      <c r="X34" s="187">
        <f t="shared" si="14"/>
        <v>7.53</v>
      </c>
      <c r="Y34" s="189">
        <f t="shared" si="15"/>
        <v>14.830335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17.0</v>
      </c>
      <c r="B35" s="182" t="s">
        <v>79</v>
      </c>
      <c r="C35" s="183">
        <v>87.0</v>
      </c>
      <c r="D35" s="183">
        <v>207.0</v>
      </c>
      <c r="E35" s="183">
        <v>289.0</v>
      </c>
      <c r="F35" s="183">
        <f t="shared" si="5"/>
        <v>0.8</v>
      </c>
      <c r="G35" s="183">
        <f t="shared" si="6"/>
        <v>117.1035225</v>
      </c>
      <c r="H35" s="184">
        <f t="shared" si="7"/>
        <v>93.682818</v>
      </c>
      <c r="I35" s="183">
        <v>1.0</v>
      </c>
      <c r="J35" s="193">
        <f t="shared" si="8"/>
        <v>93.682818</v>
      </c>
      <c r="K35" s="186"/>
      <c r="L35" s="187">
        <f t="shared" si="17"/>
        <v>5.2578</v>
      </c>
      <c r="M35" s="181">
        <f t="shared" si="18"/>
        <v>1</v>
      </c>
      <c r="N35" s="181">
        <f t="shared" si="19"/>
        <v>5.2578</v>
      </c>
      <c r="O35" s="186"/>
      <c r="P35" s="186"/>
      <c r="Q35" s="188">
        <v>22.5</v>
      </c>
      <c r="R35" s="187">
        <f t="shared" si="9"/>
        <v>2.89</v>
      </c>
      <c r="S35" s="181">
        <f t="shared" si="10"/>
        <v>1</v>
      </c>
      <c r="T35" s="181">
        <f t="shared" si="11"/>
        <v>2.89</v>
      </c>
      <c r="U35" s="278">
        <f t="shared" si="12"/>
        <v>117.1035225</v>
      </c>
      <c r="V35" s="187">
        <f t="shared" ref="V35:W35" si="33">C35/100</f>
        <v>0.87</v>
      </c>
      <c r="W35" s="187">
        <f t="shared" si="33"/>
        <v>2.07</v>
      </c>
      <c r="X35" s="187">
        <f t="shared" si="14"/>
        <v>2.89</v>
      </c>
      <c r="Y35" s="189">
        <f t="shared" si="15"/>
        <v>5.204601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18.0</v>
      </c>
      <c r="B36" s="191" t="s">
        <v>76</v>
      </c>
      <c r="C36" s="191">
        <v>105.0</v>
      </c>
      <c r="D36" s="191">
        <v>207.0</v>
      </c>
      <c r="E36" s="191">
        <v>289.0</v>
      </c>
      <c r="F36" s="191">
        <f t="shared" si="5"/>
        <v>0</v>
      </c>
      <c r="G36" s="191">
        <f t="shared" si="6"/>
        <v>141.3318375</v>
      </c>
      <c r="H36" s="219">
        <f t="shared" si="7"/>
        <v>141.3318375</v>
      </c>
      <c r="I36" s="218">
        <v>9.0</v>
      </c>
      <c r="J36" s="193">
        <f t="shared" si="8"/>
        <v>1271.986538</v>
      </c>
      <c r="K36" s="186"/>
      <c r="L36" s="164">
        <f t="shared" si="17"/>
        <v>5.2578</v>
      </c>
      <c r="M36" s="195">
        <f t="shared" si="18"/>
        <v>9</v>
      </c>
      <c r="N36" s="195">
        <f t="shared" si="19"/>
        <v>47.3202</v>
      </c>
      <c r="O36" s="186"/>
      <c r="P36" s="186"/>
      <c r="Q36" s="188">
        <v>22.5</v>
      </c>
      <c r="R36" s="187">
        <f t="shared" si="9"/>
        <v>2.89</v>
      </c>
      <c r="S36" s="181">
        <f t="shared" si="10"/>
        <v>9</v>
      </c>
      <c r="T36" s="181">
        <f t="shared" si="11"/>
        <v>26.01</v>
      </c>
      <c r="U36" s="278">
        <f t="shared" si="12"/>
        <v>141.3318375</v>
      </c>
      <c r="V36" s="187">
        <f t="shared" ref="V36:W36" si="34">C36/100</f>
        <v>1.05</v>
      </c>
      <c r="W36" s="187">
        <f t="shared" si="34"/>
        <v>2.07</v>
      </c>
      <c r="X36" s="187">
        <f t="shared" si="14"/>
        <v>26.01</v>
      </c>
      <c r="Y36" s="189">
        <f t="shared" si="15"/>
        <v>56.532735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19.0</v>
      </c>
      <c r="B37" s="191" t="s">
        <v>76</v>
      </c>
      <c r="C37" s="191">
        <v>107.0</v>
      </c>
      <c r="D37" s="191">
        <v>207.0</v>
      </c>
      <c r="E37" s="191">
        <v>289.0</v>
      </c>
      <c r="F37" s="191">
        <f t="shared" si="5"/>
        <v>0</v>
      </c>
      <c r="G37" s="191">
        <f t="shared" si="6"/>
        <v>144.0238725</v>
      </c>
      <c r="H37" s="219">
        <f t="shared" si="7"/>
        <v>144.0238725</v>
      </c>
      <c r="I37" s="218">
        <v>4.0</v>
      </c>
      <c r="J37" s="193">
        <f t="shared" si="8"/>
        <v>576.09549</v>
      </c>
      <c r="K37" s="186"/>
      <c r="L37" s="164"/>
      <c r="M37" s="195">
        <f t="shared" si="18"/>
        <v>4</v>
      </c>
      <c r="N37" s="195"/>
      <c r="O37" s="186"/>
      <c r="P37" s="186"/>
      <c r="Q37" s="188">
        <v>22.5</v>
      </c>
      <c r="R37" s="187">
        <f t="shared" si="9"/>
        <v>2.89</v>
      </c>
      <c r="S37" s="181">
        <f t="shared" si="10"/>
        <v>4</v>
      </c>
      <c r="T37" s="181">
        <f t="shared" si="11"/>
        <v>11.56</v>
      </c>
      <c r="U37" s="278">
        <f t="shared" si="12"/>
        <v>144.0238725</v>
      </c>
      <c r="V37" s="187">
        <f t="shared" ref="V37:W37" si="35">C37/100</f>
        <v>1.07</v>
      </c>
      <c r="W37" s="187">
        <f t="shared" si="35"/>
        <v>2.07</v>
      </c>
      <c r="X37" s="187">
        <f t="shared" si="14"/>
        <v>11.56</v>
      </c>
      <c r="Y37" s="189">
        <f t="shared" si="15"/>
        <v>25.604244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20.0</v>
      </c>
      <c r="B38" s="191" t="s">
        <v>76</v>
      </c>
      <c r="C38" s="191">
        <v>104.0</v>
      </c>
      <c r="D38" s="191">
        <v>207.0</v>
      </c>
      <c r="E38" s="191">
        <v>289.0</v>
      </c>
      <c r="F38" s="191">
        <f t="shared" si="5"/>
        <v>0</v>
      </c>
      <c r="G38" s="191">
        <f t="shared" si="6"/>
        <v>139.98582</v>
      </c>
      <c r="H38" s="219">
        <f t="shared" si="7"/>
        <v>139.98582</v>
      </c>
      <c r="I38" s="218">
        <v>4.0</v>
      </c>
      <c r="J38" s="193">
        <f t="shared" si="8"/>
        <v>559.94328</v>
      </c>
      <c r="K38" s="186"/>
      <c r="L38" s="164"/>
      <c r="M38" s="195">
        <f t="shared" si="18"/>
        <v>4</v>
      </c>
      <c r="N38" s="195"/>
      <c r="O38" s="186"/>
      <c r="P38" s="186"/>
      <c r="Q38" s="188">
        <v>22.5</v>
      </c>
      <c r="R38" s="187">
        <f t="shared" si="9"/>
        <v>2.89</v>
      </c>
      <c r="S38" s="181">
        <f t="shared" si="10"/>
        <v>4</v>
      </c>
      <c r="T38" s="181">
        <f t="shared" si="11"/>
        <v>11.56</v>
      </c>
      <c r="U38" s="278">
        <f t="shared" si="12"/>
        <v>139.98582</v>
      </c>
      <c r="V38" s="187">
        <f t="shared" ref="V38:W38" si="36">C38/100</f>
        <v>1.04</v>
      </c>
      <c r="W38" s="187">
        <f t="shared" si="36"/>
        <v>2.07</v>
      </c>
      <c r="X38" s="187">
        <f t="shared" si="14"/>
        <v>11.56</v>
      </c>
      <c r="Y38" s="189">
        <f t="shared" si="15"/>
        <v>24.886368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21.0</v>
      </c>
      <c r="B39" s="191" t="s">
        <v>76</v>
      </c>
      <c r="C39" s="191">
        <v>104.0</v>
      </c>
      <c r="D39" s="191">
        <v>207.0</v>
      </c>
      <c r="E39" s="191">
        <v>288.0</v>
      </c>
      <c r="F39" s="191">
        <f t="shared" si="5"/>
        <v>0</v>
      </c>
      <c r="G39" s="191">
        <f t="shared" si="6"/>
        <v>139.50144</v>
      </c>
      <c r="H39" s="219">
        <f t="shared" si="7"/>
        <v>139.50144</v>
      </c>
      <c r="I39" s="218">
        <v>1.0</v>
      </c>
      <c r="J39" s="193">
        <f t="shared" si="8"/>
        <v>139.50144</v>
      </c>
      <c r="K39" s="186"/>
      <c r="L39" s="164"/>
      <c r="M39" s="195">
        <f t="shared" si="18"/>
        <v>1</v>
      </c>
      <c r="N39" s="195"/>
      <c r="O39" s="186"/>
      <c r="P39" s="186"/>
      <c r="Q39" s="188">
        <v>22.5</v>
      </c>
      <c r="R39" s="187">
        <f t="shared" si="9"/>
        <v>2.88</v>
      </c>
      <c r="S39" s="181">
        <f t="shared" si="10"/>
        <v>1</v>
      </c>
      <c r="T39" s="181">
        <f t="shared" si="11"/>
        <v>2.88</v>
      </c>
      <c r="U39" s="278">
        <f t="shared" si="12"/>
        <v>139.50144</v>
      </c>
      <c r="V39" s="187">
        <f t="shared" ref="V39:W39" si="37">C39/100</f>
        <v>1.04</v>
      </c>
      <c r="W39" s="187">
        <f t="shared" si="37"/>
        <v>2.07</v>
      </c>
      <c r="X39" s="187">
        <f t="shared" si="14"/>
        <v>2.88</v>
      </c>
      <c r="Y39" s="189">
        <f t="shared" si="15"/>
        <v>6.200064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22.0</v>
      </c>
      <c r="B40" s="191" t="s">
        <v>76</v>
      </c>
      <c r="C40" s="191">
        <v>106.0</v>
      </c>
      <c r="D40" s="191">
        <v>207.0</v>
      </c>
      <c r="E40" s="191">
        <v>289.0</v>
      </c>
      <c r="F40" s="191">
        <f t="shared" si="5"/>
        <v>0</v>
      </c>
      <c r="G40" s="191">
        <f t="shared" si="6"/>
        <v>142.677855</v>
      </c>
      <c r="H40" s="219">
        <f t="shared" si="7"/>
        <v>142.677855</v>
      </c>
      <c r="I40" s="218">
        <v>2.0</v>
      </c>
      <c r="J40" s="193">
        <f t="shared" si="8"/>
        <v>285.35571</v>
      </c>
      <c r="K40" s="186"/>
      <c r="L40" s="164"/>
      <c r="M40" s="195">
        <f t="shared" si="18"/>
        <v>2</v>
      </c>
      <c r="N40" s="195"/>
      <c r="O40" s="186"/>
      <c r="P40" s="186"/>
      <c r="Q40" s="188">
        <v>22.5</v>
      </c>
      <c r="R40" s="187">
        <f t="shared" si="9"/>
        <v>2.89</v>
      </c>
      <c r="S40" s="181">
        <f t="shared" si="10"/>
        <v>2</v>
      </c>
      <c r="T40" s="181">
        <f t="shared" si="11"/>
        <v>5.78</v>
      </c>
      <c r="U40" s="278">
        <f t="shared" si="12"/>
        <v>142.677855</v>
      </c>
      <c r="V40" s="187">
        <f t="shared" ref="V40:W40" si="38">C40/100</f>
        <v>1.06</v>
      </c>
      <c r="W40" s="187">
        <f t="shared" si="38"/>
        <v>2.07</v>
      </c>
      <c r="X40" s="187">
        <f t="shared" si="14"/>
        <v>5.78</v>
      </c>
      <c r="Y40" s="189">
        <f t="shared" si="15"/>
        <v>12.682476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23.0</v>
      </c>
      <c r="B41" s="191" t="s">
        <v>76</v>
      </c>
      <c r="C41" s="191">
        <v>100.0</v>
      </c>
      <c r="D41" s="191">
        <v>207.0</v>
      </c>
      <c r="E41" s="191">
        <v>289.0</v>
      </c>
      <c r="F41" s="191">
        <f t="shared" si="5"/>
        <v>0</v>
      </c>
      <c r="G41" s="191">
        <f t="shared" si="6"/>
        <v>134.60175</v>
      </c>
      <c r="H41" s="219">
        <f t="shared" si="7"/>
        <v>134.60175</v>
      </c>
      <c r="I41" s="218">
        <v>1.0</v>
      </c>
      <c r="J41" s="193">
        <f t="shared" si="8"/>
        <v>134.60175</v>
      </c>
      <c r="K41" s="186"/>
      <c r="L41" s="164"/>
      <c r="M41" s="195">
        <f t="shared" si="18"/>
        <v>1</v>
      </c>
      <c r="N41" s="195"/>
      <c r="O41" s="186"/>
      <c r="P41" s="186"/>
      <c r="Q41" s="188">
        <v>22.5</v>
      </c>
      <c r="R41" s="187">
        <f t="shared" si="9"/>
        <v>2.89</v>
      </c>
      <c r="S41" s="181">
        <f t="shared" si="10"/>
        <v>1</v>
      </c>
      <c r="T41" s="181">
        <f t="shared" si="11"/>
        <v>2.89</v>
      </c>
      <c r="U41" s="278">
        <f t="shared" si="12"/>
        <v>134.60175</v>
      </c>
      <c r="V41" s="187">
        <f t="shared" ref="V41:W41" si="39">C41/100</f>
        <v>1</v>
      </c>
      <c r="W41" s="187">
        <f t="shared" si="39"/>
        <v>2.07</v>
      </c>
      <c r="X41" s="187">
        <f t="shared" si="14"/>
        <v>2.89</v>
      </c>
      <c r="Y41" s="189">
        <f t="shared" si="15"/>
        <v>5.9823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24.0</v>
      </c>
      <c r="B42" s="191" t="s">
        <v>76</v>
      </c>
      <c r="C42" s="191">
        <v>107.0</v>
      </c>
      <c r="D42" s="191">
        <v>207.0</v>
      </c>
      <c r="E42" s="191">
        <v>288.0</v>
      </c>
      <c r="F42" s="191">
        <f t="shared" si="5"/>
        <v>0</v>
      </c>
      <c r="G42" s="191">
        <f t="shared" si="6"/>
        <v>143.52552</v>
      </c>
      <c r="H42" s="219">
        <f t="shared" si="7"/>
        <v>143.52552</v>
      </c>
      <c r="I42" s="218">
        <v>1.0</v>
      </c>
      <c r="J42" s="193">
        <f t="shared" si="8"/>
        <v>143.52552</v>
      </c>
      <c r="K42" s="186"/>
      <c r="L42" s="164"/>
      <c r="M42" s="195">
        <f t="shared" si="18"/>
        <v>1</v>
      </c>
      <c r="N42" s="195"/>
      <c r="O42" s="186"/>
      <c r="P42" s="186"/>
      <c r="Q42" s="188">
        <v>22.5</v>
      </c>
      <c r="R42" s="187">
        <f t="shared" si="9"/>
        <v>2.88</v>
      </c>
      <c r="S42" s="181">
        <f t="shared" si="10"/>
        <v>1</v>
      </c>
      <c r="T42" s="181">
        <f t="shared" si="11"/>
        <v>2.88</v>
      </c>
      <c r="U42" s="278">
        <f t="shared" si="12"/>
        <v>143.52552</v>
      </c>
      <c r="V42" s="187">
        <f t="shared" ref="V42:W42" si="40">C42/100</f>
        <v>1.07</v>
      </c>
      <c r="W42" s="187">
        <f t="shared" si="40"/>
        <v>2.07</v>
      </c>
      <c r="X42" s="187">
        <f t="shared" si="14"/>
        <v>2.88</v>
      </c>
      <c r="Y42" s="189">
        <f t="shared" si="15"/>
        <v>6.378912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25.0</v>
      </c>
      <c r="B43" s="191" t="s">
        <v>76</v>
      </c>
      <c r="C43" s="191">
        <v>106.0</v>
      </c>
      <c r="D43" s="191">
        <v>207.0</v>
      </c>
      <c r="E43" s="191">
        <v>288.0</v>
      </c>
      <c r="F43" s="191">
        <f t="shared" si="5"/>
        <v>0</v>
      </c>
      <c r="G43" s="191">
        <f t="shared" si="6"/>
        <v>142.18416</v>
      </c>
      <c r="H43" s="219">
        <f t="shared" si="7"/>
        <v>142.18416</v>
      </c>
      <c r="I43" s="218">
        <v>1.0</v>
      </c>
      <c r="J43" s="193">
        <f t="shared" si="8"/>
        <v>142.18416</v>
      </c>
      <c r="K43" s="186"/>
      <c r="L43" s="164"/>
      <c r="M43" s="195">
        <f t="shared" si="18"/>
        <v>1</v>
      </c>
      <c r="N43" s="195"/>
      <c r="O43" s="186"/>
      <c r="P43" s="186"/>
      <c r="Q43" s="188">
        <v>22.5</v>
      </c>
      <c r="R43" s="187">
        <f t="shared" si="9"/>
        <v>2.88</v>
      </c>
      <c r="S43" s="181">
        <f t="shared" si="10"/>
        <v>1</v>
      </c>
      <c r="T43" s="181">
        <f t="shared" si="11"/>
        <v>2.88</v>
      </c>
      <c r="U43" s="278">
        <f t="shared" si="12"/>
        <v>142.18416</v>
      </c>
      <c r="V43" s="187">
        <f t="shared" ref="V43:W43" si="41">C43/100</f>
        <v>1.06</v>
      </c>
      <c r="W43" s="187">
        <f t="shared" si="41"/>
        <v>2.07</v>
      </c>
      <c r="X43" s="187">
        <f t="shared" si="14"/>
        <v>2.88</v>
      </c>
      <c r="Y43" s="189">
        <f t="shared" si="15"/>
        <v>6.319296</v>
      </c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</row>
    <row r="44" ht="27.0" customHeight="1">
      <c r="A44" s="181">
        <v>26.0</v>
      </c>
      <c r="B44" s="191" t="s">
        <v>76</v>
      </c>
      <c r="C44" s="191">
        <v>105.0</v>
      </c>
      <c r="D44" s="191">
        <v>207.0</v>
      </c>
      <c r="E44" s="191">
        <v>288.0</v>
      </c>
      <c r="F44" s="191">
        <f t="shared" si="5"/>
        <v>0</v>
      </c>
      <c r="G44" s="191">
        <f t="shared" si="6"/>
        <v>140.8428</v>
      </c>
      <c r="H44" s="219">
        <f t="shared" si="7"/>
        <v>140.8428</v>
      </c>
      <c r="I44" s="218">
        <v>1.0</v>
      </c>
      <c r="J44" s="193">
        <f t="shared" si="8"/>
        <v>140.8428</v>
      </c>
      <c r="K44" s="186"/>
      <c r="L44" s="164"/>
      <c r="M44" s="195">
        <f t="shared" si="18"/>
        <v>1</v>
      </c>
      <c r="N44" s="195"/>
      <c r="O44" s="186"/>
      <c r="P44" s="186"/>
      <c r="Q44" s="188">
        <v>22.5</v>
      </c>
      <c r="R44" s="187">
        <f t="shared" si="9"/>
        <v>2.88</v>
      </c>
      <c r="S44" s="181">
        <f t="shared" si="10"/>
        <v>1</v>
      </c>
      <c r="T44" s="181">
        <f t="shared" si="11"/>
        <v>2.88</v>
      </c>
      <c r="U44" s="278">
        <f t="shared" si="12"/>
        <v>140.8428</v>
      </c>
      <c r="V44" s="187">
        <f t="shared" ref="V44:W44" si="42">C44/100</f>
        <v>1.05</v>
      </c>
      <c r="W44" s="187">
        <f t="shared" si="42"/>
        <v>2.07</v>
      </c>
      <c r="X44" s="187">
        <f t="shared" si="14"/>
        <v>2.88</v>
      </c>
      <c r="Y44" s="189">
        <f t="shared" si="15"/>
        <v>6.25968</v>
      </c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</row>
    <row r="45" ht="27.0" customHeight="1">
      <c r="A45" s="181">
        <v>27.0</v>
      </c>
      <c r="B45" s="191" t="s">
        <v>76</v>
      </c>
      <c r="C45" s="191">
        <v>103.0</v>
      </c>
      <c r="D45" s="191">
        <v>207.0</v>
      </c>
      <c r="E45" s="191">
        <v>289.0</v>
      </c>
      <c r="F45" s="191">
        <f t="shared" si="5"/>
        <v>0</v>
      </c>
      <c r="G45" s="191">
        <f t="shared" si="6"/>
        <v>138.6398025</v>
      </c>
      <c r="H45" s="219">
        <f t="shared" si="7"/>
        <v>138.6398025</v>
      </c>
      <c r="I45" s="218">
        <v>1.0</v>
      </c>
      <c r="J45" s="193">
        <f t="shared" si="8"/>
        <v>138.6398025</v>
      </c>
      <c r="K45" s="186"/>
      <c r="L45" s="164"/>
      <c r="M45" s="195"/>
      <c r="N45" s="195"/>
      <c r="O45" s="186"/>
      <c r="P45" s="186"/>
      <c r="Q45" s="188">
        <v>22.5</v>
      </c>
      <c r="R45" s="187">
        <f t="shared" si="9"/>
        <v>2.89</v>
      </c>
      <c r="S45" s="181">
        <f t="shared" si="10"/>
        <v>1</v>
      </c>
      <c r="T45" s="181">
        <f t="shared" si="11"/>
        <v>2.89</v>
      </c>
      <c r="U45" s="278">
        <f t="shared" si="12"/>
        <v>138.6398025</v>
      </c>
      <c r="V45" s="187">
        <f t="shared" ref="V45:W45" si="43">C45/100</f>
        <v>1.03</v>
      </c>
      <c r="W45" s="187">
        <f t="shared" si="43"/>
        <v>2.07</v>
      </c>
      <c r="X45" s="187">
        <f t="shared" si="14"/>
        <v>2.89</v>
      </c>
      <c r="Y45" s="189">
        <f t="shared" si="15"/>
        <v>6.161769</v>
      </c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</row>
    <row r="46" ht="27.0" customHeight="1">
      <c r="A46" s="181">
        <v>28.0</v>
      </c>
      <c r="B46" s="191" t="s">
        <v>76</v>
      </c>
      <c r="C46" s="191">
        <v>100.0</v>
      </c>
      <c r="D46" s="191">
        <v>207.0</v>
      </c>
      <c r="E46" s="191">
        <v>290.0</v>
      </c>
      <c r="F46" s="191">
        <f t="shared" si="5"/>
        <v>0</v>
      </c>
      <c r="G46" s="191">
        <f t="shared" si="6"/>
        <v>135.0675</v>
      </c>
      <c r="H46" s="219">
        <f t="shared" si="7"/>
        <v>135.0675</v>
      </c>
      <c r="I46" s="218">
        <v>1.0</v>
      </c>
      <c r="J46" s="194">
        <f t="shared" si="8"/>
        <v>135.0675</v>
      </c>
      <c r="K46" s="139"/>
      <c r="L46" s="197"/>
      <c r="M46" s="198"/>
      <c r="N46" s="198"/>
      <c r="O46" s="139"/>
      <c r="P46" s="139"/>
      <c r="Q46" s="188">
        <v>22.5</v>
      </c>
      <c r="R46" s="187">
        <f t="shared" si="9"/>
        <v>2.9</v>
      </c>
      <c r="S46" s="181">
        <f t="shared" si="10"/>
        <v>1</v>
      </c>
      <c r="T46" s="181">
        <f t="shared" si="11"/>
        <v>2.9</v>
      </c>
      <c r="U46" s="278">
        <f t="shared" si="12"/>
        <v>135.0675</v>
      </c>
      <c r="V46" s="187">
        <f t="shared" ref="V46:W46" si="44">C46/100</f>
        <v>1</v>
      </c>
      <c r="W46" s="187">
        <f t="shared" si="44"/>
        <v>2.07</v>
      </c>
      <c r="X46" s="187">
        <f t="shared" si="14"/>
        <v>2.9</v>
      </c>
      <c r="Y46" s="189">
        <f t="shared" si="15"/>
        <v>6.003</v>
      </c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</row>
    <row r="47" ht="27.0" customHeight="1">
      <c r="A47" s="181">
        <v>29.0</v>
      </c>
      <c r="B47" s="191" t="s">
        <v>76</v>
      </c>
      <c r="C47" s="191">
        <v>94.0</v>
      </c>
      <c r="D47" s="191">
        <v>207.0</v>
      </c>
      <c r="E47" s="191">
        <v>233.0</v>
      </c>
      <c r="F47" s="191">
        <f t="shared" si="5"/>
        <v>0</v>
      </c>
      <c r="G47" s="191">
        <f t="shared" si="6"/>
        <v>102.008565</v>
      </c>
      <c r="H47" s="219">
        <f t="shared" si="7"/>
        <v>102.008565</v>
      </c>
      <c r="I47" s="218">
        <v>1.0</v>
      </c>
      <c r="J47" s="194">
        <f t="shared" si="8"/>
        <v>102.008565</v>
      </c>
      <c r="K47" s="139"/>
      <c r="L47" s="197"/>
      <c r="M47" s="198"/>
      <c r="N47" s="198"/>
      <c r="O47" s="139"/>
      <c r="P47" s="139"/>
      <c r="Q47" s="188">
        <v>22.5</v>
      </c>
      <c r="R47" s="187">
        <f t="shared" si="9"/>
        <v>2.33</v>
      </c>
      <c r="S47" s="181">
        <f t="shared" si="10"/>
        <v>1</v>
      </c>
      <c r="T47" s="181">
        <f t="shared" si="11"/>
        <v>2.33</v>
      </c>
      <c r="U47" s="278">
        <f t="shared" si="12"/>
        <v>102.008565</v>
      </c>
      <c r="V47" s="187">
        <f t="shared" ref="V47:W47" si="45">C47/100</f>
        <v>0.94</v>
      </c>
      <c r="W47" s="187">
        <f t="shared" si="45"/>
        <v>2.07</v>
      </c>
      <c r="X47" s="187">
        <f t="shared" si="14"/>
        <v>2.33</v>
      </c>
      <c r="Y47" s="189">
        <f t="shared" si="15"/>
        <v>4.533714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</row>
    <row r="48" ht="27.0" customHeight="1">
      <c r="A48" s="181">
        <v>30.0</v>
      </c>
      <c r="B48" s="182" t="s">
        <v>64</v>
      </c>
      <c r="C48" s="183">
        <v>87.0</v>
      </c>
      <c r="D48" s="183">
        <v>203.0</v>
      </c>
      <c r="E48" s="183">
        <v>201.0</v>
      </c>
      <c r="F48" s="183">
        <f t="shared" si="5"/>
        <v>0.8</v>
      </c>
      <c r="G48" s="183">
        <f t="shared" si="6"/>
        <v>104.7208995</v>
      </c>
      <c r="H48" s="184">
        <f t="shared" si="7"/>
        <v>83.7767196</v>
      </c>
      <c r="I48" s="183">
        <v>1.0</v>
      </c>
      <c r="J48" s="194">
        <f t="shared" si="8"/>
        <v>83.7767196</v>
      </c>
      <c r="K48" s="139"/>
      <c r="L48" s="197"/>
      <c r="M48" s="198"/>
      <c r="N48" s="198"/>
      <c r="O48" s="139"/>
      <c r="P48" s="139"/>
      <c r="Q48" s="188">
        <v>29.5</v>
      </c>
      <c r="R48" s="187">
        <f t="shared" si="9"/>
        <v>2.01</v>
      </c>
      <c r="S48" s="181">
        <f t="shared" si="10"/>
        <v>1</v>
      </c>
      <c r="T48" s="181">
        <f t="shared" si="11"/>
        <v>2.01</v>
      </c>
      <c r="U48" s="278">
        <f t="shared" si="12"/>
        <v>104.7208995</v>
      </c>
      <c r="V48" s="187">
        <f t="shared" ref="V48:W48" si="46">C48/100</f>
        <v>0.87</v>
      </c>
      <c r="W48" s="187">
        <f t="shared" si="46"/>
        <v>2.03</v>
      </c>
      <c r="X48" s="187">
        <f t="shared" si="14"/>
        <v>2.01</v>
      </c>
      <c r="Y48" s="189">
        <f t="shared" si="15"/>
        <v>3.549861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</row>
    <row r="49" ht="27.0" customHeight="1">
      <c r="A49" s="181">
        <v>31.0</v>
      </c>
      <c r="B49" s="191" t="s">
        <v>55</v>
      </c>
      <c r="C49" s="191">
        <v>91.0</v>
      </c>
      <c r="D49" s="191">
        <v>203.0</v>
      </c>
      <c r="E49" s="191">
        <v>206.0</v>
      </c>
      <c r="F49" s="191">
        <f t="shared" si="5"/>
        <v>0</v>
      </c>
      <c r="G49" s="191">
        <f t="shared" si="6"/>
        <v>112.260421</v>
      </c>
      <c r="H49" s="219">
        <f t="shared" si="7"/>
        <v>112.260421</v>
      </c>
      <c r="I49" s="218">
        <v>1.0</v>
      </c>
      <c r="J49" s="194">
        <f t="shared" si="8"/>
        <v>112.260421</v>
      </c>
      <c r="K49" s="139"/>
      <c r="L49" s="197"/>
      <c r="M49" s="198"/>
      <c r="N49" s="198"/>
      <c r="O49" s="139"/>
      <c r="P49" s="139"/>
      <c r="Q49" s="188">
        <v>29.5</v>
      </c>
      <c r="R49" s="187">
        <f t="shared" si="9"/>
        <v>2.06</v>
      </c>
      <c r="S49" s="181">
        <f t="shared" si="10"/>
        <v>1</v>
      </c>
      <c r="T49" s="181">
        <f t="shared" si="11"/>
        <v>2.06</v>
      </c>
      <c r="U49" s="278">
        <f t="shared" si="12"/>
        <v>112.260421</v>
      </c>
      <c r="V49" s="187">
        <f t="shared" ref="V49:W49" si="47">C49/100</f>
        <v>0.91</v>
      </c>
      <c r="W49" s="187">
        <f t="shared" si="47"/>
        <v>2.03</v>
      </c>
      <c r="X49" s="187">
        <f t="shared" si="14"/>
        <v>2.06</v>
      </c>
      <c r="Y49" s="189">
        <f t="shared" si="15"/>
        <v>3.805438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</row>
    <row r="50" ht="27.0" customHeight="1">
      <c r="A50" s="181">
        <v>32.0</v>
      </c>
      <c r="B50" s="191" t="s">
        <v>55</v>
      </c>
      <c r="C50" s="191">
        <v>95.0</v>
      </c>
      <c r="D50" s="191">
        <v>203.0</v>
      </c>
      <c r="E50" s="191">
        <v>203.0</v>
      </c>
      <c r="F50" s="191">
        <f t="shared" si="5"/>
        <v>0</v>
      </c>
      <c r="G50" s="191">
        <f t="shared" si="6"/>
        <v>115.4882225</v>
      </c>
      <c r="H50" s="219">
        <f t="shared" si="7"/>
        <v>115.4882225</v>
      </c>
      <c r="I50" s="218">
        <v>4.0</v>
      </c>
      <c r="J50" s="194">
        <f t="shared" si="8"/>
        <v>461.95289</v>
      </c>
      <c r="K50" s="139"/>
      <c r="L50" s="197"/>
      <c r="M50" s="198"/>
      <c r="N50" s="198"/>
      <c r="O50" s="139"/>
      <c r="P50" s="139"/>
      <c r="Q50" s="188">
        <v>29.5</v>
      </c>
      <c r="R50" s="187">
        <f t="shared" si="9"/>
        <v>2.03</v>
      </c>
      <c r="S50" s="181">
        <f t="shared" si="10"/>
        <v>4</v>
      </c>
      <c r="T50" s="181">
        <f t="shared" si="11"/>
        <v>8.12</v>
      </c>
      <c r="U50" s="278">
        <f t="shared" si="12"/>
        <v>115.4882225</v>
      </c>
      <c r="V50" s="187">
        <f t="shared" ref="V50:W50" si="48">C50/100</f>
        <v>0.95</v>
      </c>
      <c r="W50" s="187">
        <f t="shared" si="48"/>
        <v>2.03</v>
      </c>
      <c r="X50" s="187">
        <f t="shared" si="14"/>
        <v>8.12</v>
      </c>
      <c r="Y50" s="189">
        <f t="shared" si="15"/>
        <v>15.65942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ht="27.0" customHeight="1">
      <c r="A51" s="181">
        <v>33.0</v>
      </c>
      <c r="B51" s="191" t="s">
        <v>55</v>
      </c>
      <c r="C51" s="191">
        <v>95.0</v>
      </c>
      <c r="D51" s="191">
        <v>203.0</v>
      </c>
      <c r="E51" s="191">
        <v>202.0</v>
      </c>
      <c r="F51" s="191">
        <f t="shared" si="5"/>
        <v>0</v>
      </c>
      <c r="G51" s="191">
        <f t="shared" si="6"/>
        <v>114.919315</v>
      </c>
      <c r="H51" s="219">
        <f t="shared" si="7"/>
        <v>114.919315</v>
      </c>
      <c r="I51" s="218">
        <v>2.0</v>
      </c>
      <c r="J51" s="194">
        <f t="shared" si="8"/>
        <v>229.83863</v>
      </c>
      <c r="K51" s="139"/>
      <c r="L51" s="197"/>
      <c r="M51" s="198"/>
      <c r="N51" s="198"/>
      <c r="O51" s="139"/>
      <c r="P51" s="139"/>
      <c r="Q51" s="188">
        <v>29.5</v>
      </c>
      <c r="R51" s="187">
        <f t="shared" si="9"/>
        <v>2.02</v>
      </c>
      <c r="S51" s="181">
        <f t="shared" si="10"/>
        <v>2</v>
      </c>
      <c r="T51" s="181">
        <f t="shared" si="11"/>
        <v>4.04</v>
      </c>
      <c r="U51" s="278">
        <f t="shared" si="12"/>
        <v>114.919315</v>
      </c>
      <c r="V51" s="187">
        <f t="shared" ref="V51:W51" si="49">C51/100</f>
        <v>0.95</v>
      </c>
      <c r="W51" s="187">
        <f t="shared" si="49"/>
        <v>2.03</v>
      </c>
      <c r="X51" s="187">
        <f t="shared" si="14"/>
        <v>4.04</v>
      </c>
      <c r="Y51" s="189">
        <f t="shared" si="15"/>
        <v>7.79114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</row>
    <row r="52" ht="27.0" customHeight="1">
      <c r="A52" s="181">
        <v>34.0</v>
      </c>
      <c r="B52" s="191" t="s">
        <v>55</v>
      </c>
      <c r="C52" s="191">
        <v>95.0</v>
      </c>
      <c r="D52" s="191">
        <v>203.0</v>
      </c>
      <c r="E52" s="191">
        <v>203.0</v>
      </c>
      <c r="F52" s="191">
        <f t="shared" si="5"/>
        <v>0</v>
      </c>
      <c r="G52" s="191">
        <f t="shared" si="6"/>
        <v>115.4882225</v>
      </c>
      <c r="H52" s="219">
        <f t="shared" si="7"/>
        <v>115.4882225</v>
      </c>
      <c r="I52" s="218">
        <v>2.0</v>
      </c>
      <c r="J52" s="194">
        <f t="shared" si="8"/>
        <v>230.976445</v>
      </c>
      <c r="K52" s="139"/>
      <c r="L52" s="197"/>
      <c r="M52" s="198"/>
      <c r="N52" s="198"/>
      <c r="O52" s="139"/>
      <c r="P52" s="139"/>
      <c r="Q52" s="188">
        <v>29.5</v>
      </c>
      <c r="R52" s="187">
        <f t="shared" si="9"/>
        <v>2.03</v>
      </c>
      <c r="S52" s="181">
        <f t="shared" si="10"/>
        <v>2</v>
      </c>
      <c r="T52" s="181">
        <f t="shared" si="11"/>
        <v>4.06</v>
      </c>
      <c r="U52" s="278">
        <f t="shared" si="12"/>
        <v>115.4882225</v>
      </c>
      <c r="V52" s="187">
        <f t="shared" ref="V52:W52" si="50">C52/100</f>
        <v>0.95</v>
      </c>
      <c r="W52" s="187">
        <f t="shared" si="50"/>
        <v>2.03</v>
      </c>
      <c r="X52" s="187">
        <f t="shared" si="14"/>
        <v>4.06</v>
      </c>
      <c r="Y52" s="189">
        <f t="shared" si="15"/>
        <v>7.82971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7.0" customHeight="1">
      <c r="A53" s="181">
        <v>35.0</v>
      </c>
      <c r="B53" s="191" t="s">
        <v>55</v>
      </c>
      <c r="C53" s="191">
        <v>100.0</v>
      </c>
      <c r="D53" s="191">
        <v>203.0</v>
      </c>
      <c r="E53" s="191">
        <v>203.0</v>
      </c>
      <c r="F53" s="191">
        <f t="shared" si="5"/>
        <v>0</v>
      </c>
      <c r="G53" s="191">
        <f t="shared" si="6"/>
        <v>121.56655</v>
      </c>
      <c r="H53" s="219">
        <f t="shared" si="7"/>
        <v>121.56655</v>
      </c>
      <c r="I53" s="218">
        <v>2.0</v>
      </c>
      <c r="J53" s="194">
        <f t="shared" si="8"/>
        <v>243.1331</v>
      </c>
      <c r="K53" s="139"/>
      <c r="L53" s="197"/>
      <c r="M53" s="198"/>
      <c r="N53" s="198"/>
      <c r="O53" s="139"/>
      <c r="P53" s="139"/>
      <c r="Q53" s="188">
        <v>29.5</v>
      </c>
      <c r="R53" s="187">
        <f t="shared" si="9"/>
        <v>2.03</v>
      </c>
      <c r="S53" s="181">
        <f t="shared" si="10"/>
        <v>2</v>
      </c>
      <c r="T53" s="181">
        <f t="shared" si="11"/>
        <v>4.06</v>
      </c>
      <c r="U53" s="278">
        <f t="shared" si="12"/>
        <v>121.56655</v>
      </c>
      <c r="V53" s="187">
        <f t="shared" ref="V53:W53" si="51">C53/100</f>
        <v>1</v>
      </c>
      <c r="W53" s="187">
        <f t="shared" si="51"/>
        <v>2.03</v>
      </c>
      <c r="X53" s="187">
        <f t="shared" si="14"/>
        <v>4.06</v>
      </c>
      <c r="Y53" s="189">
        <f t="shared" si="15"/>
        <v>8.2418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7.0" customHeight="1">
      <c r="A54" s="181">
        <v>36.0</v>
      </c>
      <c r="B54" s="191" t="s">
        <v>55</v>
      </c>
      <c r="C54" s="191">
        <v>96.0</v>
      </c>
      <c r="D54" s="191">
        <v>203.0</v>
      </c>
      <c r="E54" s="191">
        <v>202.0</v>
      </c>
      <c r="F54" s="191">
        <f t="shared" si="5"/>
        <v>0</v>
      </c>
      <c r="G54" s="191">
        <f t="shared" si="6"/>
        <v>116.128992</v>
      </c>
      <c r="H54" s="219">
        <f t="shared" si="7"/>
        <v>116.128992</v>
      </c>
      <c r="I54" s="218">
        <v>13.0</v>
      </c>
      <c r="J54" s="194">
        <f t="shared" si="8"/>
        <v>1509.676896</v>
      </c>
      <c r="K54" s="139"/>
      <c r="L54" s="197"/>
      <c r="M54" s="198"/>
      <c r="N54" s="198"/>
      <c r="O54" s="139"/>
      <c r="P54" s="139"/>
      <c r="Q54" s="188">
        <v>29.5</v>
      </c>
      <c r="R54" s="187">
        <f t="shared" si="9"/>
        <v>2.02</v>
      </c>
      <c r="S54" s="181">
        <f t="shared" si="10"/>
        <v>13</v>
      </c>
      <c r="T54" s="181">
        <f t="shared" si="11"/>
        <v>26.26</v>
      </c>
      <c r="U54" s="278">
        <f t="shared" si="12"/>
        <v>116.128992</v>
      </c>
      <c r="V54" s="187">
        <f t="shared" ref="V54:W54" si="52">C54/100</f>
        <v>0.96</v>
      </c>
      <c r="W54" s="187">
        <f t="shared" si="52"/>
        <v>2.03</v>
      </c>
      <c r="X54" s="187">
        <f t="shared" si="14"/>
        <v>26.26</v>
      </c>
      <c r="Y54" s="189">
        <f t="shared" si="15"/>
        <v>51.175488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27.0" customHeight="1">
      <c r="A55" s="181">
        <v>37.0</v>
      </c>
      <c r="B55" s="191" t="s">
        <v>55</v>
      </c>
      <c r="C55" s="191">
        <v>96.0</v>
      </c>
      <c r="D55" s="191">
        <v>203.0</v>
      </c>
      <c r="E55" s="191">
        <v>203.0</v>
      </c>
      <c r="F55" s="191">
        <f t="shared" si="5"/>
        <v>0</v>
      </c>
      <c r="G55" s="191">
        <f t="shared" si="6"/>
        <v>116.703888</v>
      </c>
      <c r="H55" s="219">
        <f t="shared" si="7"/>
        <v>116.703888</v>
      </c>
      <c r="I55" s="218">
        <v>13.0</v>
      </c>
      <c r="J55" s="194">
        <f t="shared" si="8"/>
        <v>1517.150544</v>
      </c>
      <c r="K55" s="139"/>
      <c r="L55" s="197"/>
      <c r="M55" s="198"/>
      <c r="N55" s="198"/>
      <c r="O55" s="139"/>
      <c r="P55" s="139"/>
      <c r="Q55" s="188">
        <v>29.5</v>
      </c>
      <c r="R55" s="187">
        <f t="shared" si="9"/>
        <v>2.03</v>
      </c>
      <c r="S55" s="181">
        <f t="shared" si="10"/>
        <v>13</v>
      </c>
      <c r="T55" s="181">
        <f t="shared" si="11"/>
        <v>26.39</v>
      </c>
      <c r="U55" s="278">
        <f t="shared" si="12"/>
        <v>116.703888</v>
      </c>
      <c r="V55" s="187">
        <f t="shared" ref="V55:W55" si="53">C55/100</f>
        <v>0.96</v>
      </c>
      <c r="W55" s="187">
        <f t="shared" si="53"/>
        <v>2.03</v>
      </c>
      <c r="X55" s="187">
        <f t="shared" si="14"/>
        <v>26.39</v>
      </c>
      <c r="Y55" s="189">
        <f t="shared" si="15"/>
        <v>51.428832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81">
        <v>38.0</v>
      </c>
      <c r="B56" s="191" t="s">
        <v>55</v>
      </c>
      <c r="C56" s="191">
        <v>96.0</v>
      </c>
      <c r="D56" s="191">
        <v>203.0</v>
      </c>
      <c r="E56" s="191">
        <v>201.0</v>
      </c>
      <c r="F56" s="191">
        <f t="shared" si="5"/>
        <v>0</v>
      </c>
      <c r="G56" s="191">
        <f t="shared" si="6"/>
        <v>115.554096</v>
      </c>
      <c r="H56" s="219">
        <f t="shared" si="7"/>
        <v>115.554096</v>
      </c>
      <c r="I56" s="218">
        <v>1.0</v>
      </c>
      <c r="J56" s="194">
        <f t="shared" si="8"/>
        <v>115.554096</v>
      </c>
      <c r="K56" s="139"/>
      <c r="L56" s="197"/>
      <c r="M56" s="198"/>
      <c r="N56" s="198"/>
      <c r="O56" s="139"/>
      <c r="P56" s="139"/>
      <c r="Q56" s="188">
        <v>29.5</v>
      </c>
      <c r="R56" s="187">
        <f t="shared" si="9"/>
        <v>2.01</v>
      </c>
      <c r="S56" s="181">
        <f t="shared" si="10"/>
        <v>1</v>
      </c>
      <c r="T56" s="181">
        <f t="shared" si="11"/>
        <v>2.01</v>
      </c>
      <c r="U56" s="278">
        <f t="shared" si="12"/>
        <v>115.554096</v>
      </c>
      <c r="V56" s="187">
        <f t="shared" ref="V56:W56" si="54">C56/100</f>
        <v>0.96</v>
      </c>
      <c r="W56" s="187">
        <f t="shared" si="54"/>
        <v>2.03</v>
      </c>
      <c r="X56" s="187">
        <f t="shared" si="14"/>
        <v>2.01</v>
      </c>
      <c r="Y56" s="189">
        <f t="shared" si="15"/>
        <v>3.917088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39.0</v>
      </c>
      <c r="B57" s="191" t="s">
        <v>55</v>
      </c>
      <c r="C57" s="191">
        <v>98.0</v>
      </c>
      <c r="D57" s="191">
        <v>203.0</v>
      </c>
      <c r="E57" s="191">
        <v>202.0</v>
      </c>
      <c r="F57" s="191">
        <f t="shared" si="5"/>
        <v>0</v>
      </c>
      <c r="G57" s="191">
        <f t="shared" si="6"/>
        <v>118.548346</v>
      </c>
      <c r="H57" s="219">
        <f t="shared" si="7"/>
        <v>118.548346</v>
      </c>
      <c r="I57" s="218">
        <v>7.0</v>
      </c>
      <c r="J57" s="194">
        <f t="shared" si="8"/>
        <v>829.838422</v>
      </c>
      <c r="K57" s="139"/>
      <c r="L57" s="197"/>
      <c r="M57" s="198"/>
      <c r="N57" s="198"/>
      <c r="O57" s="139"/>
      <c r="P57" s="139"/>
      <c r="Q57" s="188">
        <v>29.5</v>
      </c>
      <c r="R57" s="187">
        <f t="shared" si="9"/>
        <v>2.02</v>
      </c>
      <c r="S57" s="181">
        <f t="shared" si="10"/>
        <v>7</v>
      </c>
      <c r="T57" s="181">
        <f t="shared" si="11"/>
        <v>14.14</v>
      </c>
      <c r="U57" s="278">
        <f t="shared" si="12"/>
        <v>118.548346</v>
      </c>
      <c r="V57" s="187">
        <f t="shared" ref="V57:W57" si="55">C57/100</f>
        <v>0.98</v>
      </c>
      <c r="W57" s="187">
        <f t="shared" si="55"/>
        <v>2.03</v>
      </c>
      <c r="X57" s="187">
        <f t="shared" si="14"/>
        <v>14.14</v>
      </c>
      <c r="Y57" s="189">
        <f t="shared" si="15"/>
        <v>28.130116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40.0</v>
      </c>
      <c r="B58" s="191" t="s">
        <v>55</v>
      </c>
      <c r="C58" s="191">
        <v>100.0</v>
      </c>
      <c r="D58" s="191">
        <v>203.0</v>
      </c>
      <c r="E58" s="191">
        <v>202.0</v>
      </c>
      <c r="F58" s="191">
        <f t="shared" si="5"/>
        <v>0</v>
      </c>
      <c r="G58" s="191">
        <f t="shared" si="6"/>
        <v>120.9677</v>
      </c>
      <c r="H58" s="219">
        <f t="shared" si="7"/>
        <v>120.9677</v>
      </c>
      <c r="I58" s="218">
        <v>6.0</v>
      </c>
      <c r="J58" s="194">
        <f t="shared" si="8"/>
        <v>725.8062</v>
      </c>
      <c r="K58" s="139"/>
      <c r="L58" s="197"/>
      <c r="M58" s="198"/>
      <c r="N58" s="198"/>
      <c r="O58" s="139"/>
      <c r="P58" s="139"/>
      <c r="Q58" s="188">
        <v>29.5</v>
      </c>
      <c r="R58" s="187">
        <f t="shared" si="9"/>
        <v>2.02</v>
      </c>
      <c r="S58" s="181">
        <f t="shared" si="10"/>
        <v>6</v>
      </c>
      <c r="T58" s="181">
        <f t="shared" si="11"/>
        <v>12.12</v>
      </c>
      <c r="U58" s="278">
        <f t="shared" si="12"/>
        <v>120.9677</v>
      </c>
      <c r="V58" s="187">
        <f t="shared" ref="V58:W58" si="56">C58/100</f>
        <v>1</v>
      </c>
      <c r="W58" s="187">
        <f t="shared" si="56"/>
        <v>2.03</v>
      </c>
      <c r="X58" s="187">
        <f t="shared" si="14"/>
        <v>12.12</v>
      </c>
      <c r="Y58" s="189">
        <f t="shared" si="15"/>
        <v>24.6036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41.0</v>
      </c>
      <c r="B59" s="191" t="s">
        <v>55</v>
      </c>
      <c r="C59" s="191">
        <v>75.0</v>
      </c>
      <c r="D59" s="191">
        <v>203.0</v>
      </c>
      <c r="E59" s="191">
        <v>183.0</v>
      </c>
      <c r="F59" s="191">
        <f t="shared" si="5"/>
        <v>0</v>
      </c>
      <c r="G59" s="191">
        <f t="shared" si="6"/>
        <v>82.1921625</v>
      </c>
      <c r="H59" s="219">
        <f t="shared" si="7"/>
        <v>82.1921625</v>
      </c>
      <c r="I59" s="218">
        <v>1.0</v>
      </c>
      <c r="J59" s="194">
        <f t="shared" si="8"/>
        <v>82.1921625</v>
      </c>
      <c r="K59" s="139"/>
      <c r="L59" s="197"/>
      <c r="M59" s="198"/>
      <c r="N59" s="198"/>
      <c r="O59" s="139"/>
      <c r="P59" s="139"/>
      <c r="Q59" s="188">
        <v>29.5</v>
      </c>
      <c r="R59" s="187">
        <f t="shared" si="9"/>
        <v>1.83</v>
      </c>
      <c r="S59" s="181">
        <f t="shared" si="10"/>
        <v>1</v>
      </c>
      <c r="T59" s="181">
        <f t="shared" si="11"/>
        <v>1.83</v>
      </c>
      <c r="U59" s="278">
        <f t="shared" si="12"/>
        <v>82.1921625</v>
      </c>
      <c r="V59" s="187">
        <f t="shared" ref="V59:W59" si="57">C59/100</f>
        <v>0.75</v>
      </c>
      <c r="W59" s="187">
        <f t="shared" si="57"/>
        <v>2.03</v>
      </c>
      <c r="X59" s="187">
        <f t="shared" si="14"/>
        <v>1.83</v>
      </c>
      <c r="Y59" s="189">
        <f t="shared" si="15"/>
        <v>2.786175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42.0</v>
      </c>
      <c r="B60" s="191" t="s">
        <v>55</v>
      </c>
      <c r="C60" s="191">
        <v>102.0</v>
      </c>
      <c r="D60" s="191">
        <v>203.0</v>
      </c>
      <c r="E60" s="191">
        <v>202.0</v>
      </c>
      <c r="F60" s="191">
        <f t="shared" si="5"/>
        <v>0</v>
      </c>
      <c r="G60" s="191">
        <f t="shared" si="6"/>
        <v>123.387054</v>
      </c>
      <c r="H60" s="219">
        <f t="shared" si="7"/>
        <v>123.387054</v>
      </c>
      <c r="I60" s="218">
        <v>3.0</v>
      </c>
      <c r="J60" s="194">
        <f t="shared" si="8"/>
        <v>370.161162</v>
      </c>
      <c r="K60" s="139"/>
      <c r="L60" s="197"/>
      <c r="M60" s="198"/>
      <c r="N60" s="198"/>
      <c r="O60" s="139"/>
      <c r="P60" s="139"/>
      <c r="Q60" s="188">
        <v>29.5</v>
      </c>
      <c r="R60" s="187">
        <f t="shared" si="9"/>
        <v>2.02</v>
      </c>
      <c r="S60" s="181">
        <f t="shared" si="10"/>
        <v>3</v>
      </c>
      <c r="T60" s="181">
        <f t="shared" si="11"/>
        <v>6.06</v>
      </c>
      <c r="U60" s="278">
        <f t="shared" si="12"/>
        <v>123.387054</v>
      </c>
      <c r="V60" s="187">
        <f t="shared" ref="V60:W60" si="58">C60/100</f>
        <v>1.02</v>
      </c>
      <c r="W60" s="187">
        <f t="shared" si="58"/>
        <v>2.03</v>
      </c>
      <c r="X60" s="187">
        <f t="shared" si="14"/>
        <v>6.06</v>
      </c>
      <c r="Y60" s="189">
        <f t="shared" si="15"/>
        <v>12.547836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81">
        <v>43.0</v>
      </c>
      <c r="B61" s="182" t="s">
        <v>65</v>
      </c>
      <c r="C61" s="183">
        <v>92.0</v>
      </c>
      <c r="D61" s="183">
        <v>203.0</v>
      </c>
      <c r="E61" s="183">
        <v>251.0</v>
      </c>
      <c r="F61" s="183">
        <f t="shared" si="5"/>
        <v>0.8</v>
      </c>
      <c r="G61" s="183">
        <f t="shared" si="6"/>
        <v>138.286442</v>
      </c>
      <c r="H61" s="184">
        <f t="shared" si="7"/>
        <v>110.6291536</v>
      </c>
      <c r="I61" s="183">
        <v>1.0</v>
      </c>
      <c r="J61" s="194">
        <f t="shared" si="8"/>
        <v>110.6291536</v>
      </c>
      <c r="K61" s="139"/>
      <c r="L61" s="197"/>
      <c r="M61" s="198"/>
      <c r="N61" s="198"/>
      <c r="O61" s="139"/>
      <c r="P61" s="139"/>
      <c r="Q61" s="188">
        <v>29.5</v>
      </c>
      <c r="R61" s="187">
        <f t="shared" si="9"/>
        <v>2.51</v>
      </c>
      <c r="S61" s="181">
        <f t="shared" si="10"/>
        <v>1</v>
      </c>
      <c r="T61" s="181">
        <f t="shared" si="11"/>
        <v>2.51</v>
      </c>
      <c r="U61" s="278">
        <f t="shared" si="12"/>
        <v>138.286442</v>
      </c>
      <c r="V61" s="187">
        <f t="shared" ref="V61:W61" si="59">C61/100</f>
        <v>0.92</v>
      </c>
      <c r="W61" s="187">
        <f t="shared" si="59"/>
        <v>2.03</v>
      </c>
      <c r="X61" s="187">
        <f t="shared" si="14"/>
        <v>2.51</v>
      </c>
      <c r="Y61" s="189">
        <f t="shared" si="15"/>
        <v>4.687676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81">
        <v>44.0</v>
      </c>
      <c r="B62" s="191" t="s">
        <v>56</v>
      </c>
      <c r="C62" s="191">
        <v>99.0</v>
      </c>
      <c r="D62" s="191">
        <v>203.0</v>
      </c>
      <c r="E62" s="191">
        <v>203.0</v>
      </c>
      <c r="F62" s="191">
        <f t="shared" si="5"/>
        <v>0</v>
      </c>
      <c r="G62" s="191">
        <f t="shared" si="6"/>
        <v>120.3508845</v>
      </c>
      <c r="H62" s="219">
        <f t="shared" si="7"/>
        <v>120.3508845</v>
      </c>
      <c r="I62" s="218">
        <v>8.0</v>
      </c>
      <c r="J62" s="194">
        <f t="shared" si="8"/>
        <v>962.807076</v>
      </c>
      <c r="K62" s="139"/>
      <c r="L62" s="197"/>
      <c r="M62" s="198"/>
      <c r="N62" s="198"/>
      <c r="O62" s="139"/>
      <c r="P62" s="139"/>
      <c r="Q62" s="188">
        <v>29.5</v>
      </c>
      <c r="R62" s="187">
        <f t="shared" si="9"/>
        <v>2.03</v>
      </c>
      <c r="S62" s="181">
        <f t="shared" si="10"/>
        <v>8</v>
      </c>
      <c r="T62" s="181">
        <f t="shared" si="11"/>
        <v>16.24</v>
      </c>
      <c r="U62" s="278">
        <f t="shared" si="12"/>
        <v>120.3508845</v>
      </c>
      <c r="V62" s="187">
        <f t="shared" ref="V62:W62" si="60">C62/100</f>
        <v>0.99</v>
      </c>
      <c r="W62" s="187">
        <f t="shared" si="60"/>
        <v>2.03</v>
      </c>
      <c r="X62" s="187">
        <f t="shared" si="14"/>
        <v>16.24</v>
      </c>
      <c r="Y62" s="189">
        <f t="shared" si="15"/>
        <v>32.637528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27.0" customHeight="1">
      <c r="A63" s="181">
        <v>45.0</v>
      </c>
      <c r="B63" s="191" t="s">
        <v>56</v>
      </c>
      <c r="C63" s="191">
        <v>99.0</v>
      </c>
      <c r="D63" s="191">
        <v>203.0</v>
      </c>
      <c r="E63" s="191">
        <v>202.0</v>
      </c>
      <c r="F63" s="191">
        <f t="shared" si="5"/>
        <v>0</v>
      </c>
      <c r="G63" s="191">
        <f t="shared" si="6"/>
        <v>119.758023</v>
      </c>
      <c r="H63" s="219">
        <f t="shared" si="7"/>
        <v>119.758023</v>
      </c>
      <c r="I63" s="218">
        <v>12.0</v>
      </c>
      <c r="J63" s="194">
        <f t="shared" si="8"/>
        <v>1437.096276</v>
      </c>
      <c r="K63" s="139"/>
      <c r="L63" s="197"/>
      <c r="M63" s="198"/>
      <c r="N63" s="198"/>
      <c r="O63" s="139"/>
      <c r="P63" s="139"/>
      <c r="Q63" s="188">
        <v>29.5</v>
      </c>
      <c r="R63" s="187">
        <f t="shared" si="9"/>
        <v>2.02</v>
      </c>
      <c r="S63" s="181">
        <f t="shared" si="10"/>
        <v>12</v>
      </c>
      <c r="T63" s="181">
        <f t="shared" si="11"/>
        <v>24.24</v>
      </c>
      <c r="U63" s="278">
        <f t="shared" si="12"/>
        <v>119.758023</v>
      </c>
      <c r="V63" s="187">
        <f t="shared" ref="V63:W63" si="61">C63/100</f>
        <v>0.99</v>
      </c>
      <c r="W63" s="187">
        <f t="shared" si="61"/>
        <v>2.03</v>
      </c>
      <c r="X63" s="187">
        <f t="shared" si="14"/>
        <v>24.24</v>
      </c>
      <c r="Y63" s="189">
        <f t="shared" si="15"/>
        <v>48.715128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7.0" customHeight="1">
      <c r="A64" s="181">
        <v>46.0</v>
      </c>
      <c r="B64" s="191" t="s">
        <v>56</v>
      </c>
      <c r="C64" s="191">
        <v>100.0</v>
      </c>
      <c r="D64" s="191">
        <v>203.0</v>
      </c>
      <c r="E64" s="191">
        <v>202.0</v>
      </c>
      <c r="F64" s="191">
        <f t="shared" si="5"/>
        <v>0</v>
      </c>
      <c r="G64" s="191">
        <f t="shared" si="6"/>
        <v>120.9677</v>
      </c>
      <c r="H64" s="219">
        <f t="shared" si="7"/>
        <v>120.9677</v>
      </c>
      <c r="I64" s="218">
        <v>8.0</v>
      </c>
      <c r="J64" s="194">
        <f t="shared" si="8"/>
        <v>967.7416</v>
      </c>
      <c r="K64" s="139"/>
      <c r="L64" s="197"/>
      <c r="M64" s="198"/>
      <c r="N64" s="198"/>
      <c r="O64" s="139"/>
      <c r="P64" s="139"/>
      <c r="Q64" s="188">
        <v>29.5</v>
      </c>
      <c r="R64" s="187">
        <f t="shared" si="9"/>
        <v>2.02</v>
      </c>
      <c r="S64" s="181">
        <f t="shared" si="10"/>
        <v>8</v>
      </c>
      <c r="T64" s="181">
        <f t="shared" si="11"/>
        <v>16.16</v>
      </c>
      <c r="U64" s="278">
        <f t="shared" si="12"/>
        <v>120.9677</v>
      </c>
      <c r="V64" s="187">
        <f t="shared" ref="V64:W64" si="62">C64/100</f>
        <v>1</v>
      </c>
      <c r="W64" s="187">
        <f t="shared" si="62"/>
        <v>2.03</v>
      </c>
      <c r="X64" s="187">
        <f t="shared" si="14"/>
        <v>16.16</v>
      </c>
      <c r="Y64" s="189">
        <f t="shared" si="15"/>
        <v>32.8048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7.0" customHeight="1">
      <c r="A65" s="181">
        <v>47.0</v>
      </c>
      <c r="B65" s="191" t="s">
        <v>56</v>
      </c>
      <c r="C65" s="191">
        <v>100.0</v>
      </c>
      <c r="D65" s="191">
        <v>203.0</v>
      </c>
      <c r="E65" s="191">
        <v>250.0</v>
      </c>
      <c r="F65" s="191">
        <f t="shared" si="5"/>
        <v>0</v>
      </c>
      <c r="G65" s="191">
        <f t="shared" si="6"/>
        <v>149.7125</v>
      </c>
      <c r="H65" s="219">
        <f t="shared" si="7"/>
        <v>149.7125</v>
      </c>
      <c r="I65" s="218">
        <v>4.0</v>
      </c>
      <c r="J65" s="194">
        <f t="shared" si="8"/>
        <v>598.85</v>
      </c>
      <c r="K65" s="139"/>
      <c r="L65" s="197"/>
      <c r="M65" s="198"/>
      <c r="N65" s="198"/>
      <c r="O65" s="139"/>
      <c r="P65" s="139"/>
      <c r="Q65" s="188">
        <v>29.5</v>
      </c>
      <c r="R65" s="187">
        <f t="shared" si="9"/>
        <v>2.5</v>
      </c>
      <c r="S65" s="181">
        <f t="shared" si="10"/>
        <v>4</v>
      </c>
      <c r="T65" s="181">
        <f t="shared" si="11"/>
        <v>10</v>
      </c>
      <c r="U65" s="278">
        <f t="shared" si="12"/>
        <v>149.7125</v>
      </c>
      <c r="V65" s="187">
        <f t="shared" ref="V65:W65" si="63">C65/100</f>
        <v>1</v>
      </c>
      <c r="W65" s="187">
        <f t="shared" si="63"/>
        <v>2.03</v>
      </c>
      <c r="X65" s="187">
        <f t="shared" si="14"/>
        <v>10</v>
      </c>
      <c r="Y65" s="189">
        <f t="shared" si="15"/>
        <v>20.3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7.0" customHeight="1">
      <c r="A66" s="181">
        <v>48.0</v>
      </c>
      <c r="B66" s="191" t="s">
        <v>56</v>
      </c>
      <c r="C66" s="191">
        <v>100.0</v>
      </c>
      <c r="D66" s="191">
        <v>203.0</v>
      </c>
      <c r="E66" s="191">
        <v>251.0</v>
      </c>
      <c r="F66" s="191">
        <f t="shared" si="5"/>
        <v>0</v>
      </c>
      <c r="G66" s="191">
        <f t="shared" si="6"/>
        <v>150.31135</v>
      </c>
      <c r="H66" s="219">
        <f t="shared" si="7"/>
        <v>150.31135</v>
      </c>
      <c r="I66" s="218">
        <v>18.0</v>
      </c>
      <c r="J66" s="194">
        <f t="shared" si="8"/>
        <v>2705.6043</v>
      </c>
      <c r="K66" s="139"/>
      <c r="L66" s="197"/>
      <c r="M66" s="198"/>
      <c r="N66" s="198"/>
      <c r="O66" s="139"/>
      <c r="P66" s="139"/>
      <c r="Q66" s="188">
        <v>29.5</v>
      </c>
      <c r="R66" s="187">
        <f t="shared" si="9"/>
        <v>2.51</v>
      </c>
      <c r="S66" s="181">
        <f t="shared" si="10"/>
        <v>18</v>
      </c>
      <c r="T66" s="181">
        <f t="shared" si="11"/>
        <v>45.18</v>
      </c>
      <c r="U66" s="278">
        <f t="shared" si="12"/>
        <v>150.31135</v>
      </c>
      <c r="V66" s="187">
        <f t="shared" ref="V66:W66" si="64">C66/100</f>
        <v>1</v>
      </c>
      <c r="W66" s="187">
        <f t="shared" si="64"/>
        <v>2.03</v>
      </c>
      <c r="X66" s="187">
        <f t="shared" si="14"/>
        <v>45.18</v>
      </c>
      <c r="Y66" s="189">
        <f t="shared" si="15"/>
        <v>91.7154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7.0" customHeight="1">
      <c r="A67" s="181">
        <v>49.0</v>
      </c>
      <c r="B67" s="191" t="s">
        <v>56</v>
      </c>
      <c r="C67" s="191">
        <v>73.0</v>
      </c>
      <c r="D67" s="191">
        <v>203.0</v>
      </c>
      <c r="E67" s="191">
        <v>188.0</v>
      </c>
      <c r="F67" s="191">
        <f t="shared" si="5"/>
        <v>0</v>
      </c>
      <c r="G67" s="191">
        <f t="shared" si="6"/>
        <v>82.186174</v>
      </c>
      <c r="H67" s="219">
        <f t="shared" si="7"/>
        <v>82.186174</v>
      </c>
      <c r="I67" s="218">
        <v>1.0</v>
      </c>
      <c r="J67" s="194">
        <f t="shared" si="8"/>
        <v>82.186174</v>
      </c>
      <c r="K67" s="139"/>
      <c r="L67" s="197"/>
      <c r="M67" s="198"/>
      <c r="N67" s="198"/>
      <c r="O67" s="139"/>
      <c r="P67" s="139"/>
      <c r="Q67" s="188">
        <v>29.5</v>
      </c>
      <c r="R67" s="187">
        <f t="shared" si="9"/>
        <v>1.88</v>
      </c>
      <c r="S67" s="181">
        <f t="shared" si="10"/>
        <v>1</v>
      </c>
      <c r="T67" s="181">
        <f t="shared" si="11"/>
        <v>1.88</v>
      </c>
      <c r="U67" s="278">
        <f t="shared" si="12"/>
        <v>82.186174</v>
      </c>
      <c r="V67" s="187">
        <f t="shared" ref="V67:W67" si="65">C67/100</f>
        <v>0.73</v>
      </c>
      <c r="W67" s="187">
        <f t="shared" si="65"/>
        <v>2.03</v>
      </c>
      <c r="X67" s="187">
        <f t="shared" si="14"/>
        <v>1.88</v>
      </c>
      <c r="Y67" s="189">
        <f t="shared" si="15"/>
        <v>2.785972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7.0" customHeight="1">
      <c r="A68" s="181">
        <v>50.0</v>
      </c>
      <c r="B68" s="191" t="s">
        <v>56</v>
      </c>
      <c r="C68" s="191">
        <v>99.0</v>
      </c>
      <c r="D68" s="191">
        <v>203.0</v>
      </c>
      <c r="E68" s="191">
        <v>251.0</v>
      </c>
      <c r="F68" s="191">
        <f t="shared" si="5"/>
        <v>0</v>
      </c>
      <c r="G68" s="191">
        <f t="shared" si="6"/>
        <v>148.8082365</v>
      </c>
      <c r="H68" s="219">
        <f t="shared" si="7"/>
        <v>148.8082365</v>
      </c>
      <c r="I68" s="218">
        <v>2.0</v>
      </c>
      <c r="J68" s="194">
        <f t="shared" si="8"/>
        <v>297.616473</v>
      </c>
      <c r="K68" s="139"/>
      <c r="L68" s="197"/>
      <c r="M68" s="198"/>
      <c r="N68" s="198"/>
      <c r="O68" s="139"/>
      <c r="P68" s="139"/>
      <c r="Q68" s="188">
        <v>29.5</v>
      </c>
      <c r="R68" s="187">
        <f t="shared" si="9"/>
        <v>2.51</v>
      </c>
      <c r="S68" s="181">
        <f t="shared" si="10"/>
        <v>2</v>
      </c>
      <c r="T68" s="181">
        <f t="shared" si="11"/>
        <v>5.02</v>
      </c>
      <c r="U68" s="278">
        <f t="shared" si="12"/>
        <v>148.8082365</v>
      </c>
      <c r="V68" s="187">
        <f t="shared" ref="V68:W68" si="66">C68/100</f>
        <v>0.99</v>
      </c>
      <c r="W68" s="187">
        <f t="shared" si="66"/>
        <v>2.03</v>
      </c>
      <c r="X68" s="187">
        <f t="shared" si="14"/>
        <v>5.02</v>
      </c>
      <c r="Y68" s="189">
        <f t="shared" si="15"/>
        <v>10.088694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81">
        <v>51.0</v>
      </c>
      <c r="B69" s="191" t="s">
        <v>56</v>
      </c>
      <c r="C69" s="191">
        <v>97.0</v>
      </c>
      <c r="D69" s="191">
        <v>203.0</v>
      </c>
      <c r="E69" s="191">
        <v>252.0</v>
      </c>
      <c r="F69" s="191">
        <f t="shared" si="5"/>
        <v>0</v>
      </c>
      <c r="G69" s="191">
        <f t="shared" si="6"/>
        <v>146.382894</v>
      </c>
      <c r="H69" s="219">
        <f t="shared" si="7"/>
        <v>146.382894</v>
      </c>
      <c r="I69" s="218">
        <v>1.0</v>
      </c>
      <c r="J69" s="194">
        <f t="shared" si="8"/>
        <v>146.382894</v>
      </c>
      <c r="K69" s="139"/>
      <c r="L69" s="197"/>
      <c r="M69" s="198"/>
      <c r="N69" s="198"/>
      <c r="O69" s="139"/>
      <c r="P69" s="139"/>
      <c r="Q69" s="188">
        <v>29.5</v>
      </c>
      <c r="R69" s="187">
        <f t="shared" si="9"/>
        <v>2.52</v>
      </c>
      <c r="S69" s="181">
        <f t="shared" si="10"/>
        <v>1</v>
      </c>
      <c r="T69" s="181">
        <f t="shared" si="11"/>
        <v>2.52</v>
      </c>
      <c r="U69" s="278">
        <f t="shared" si="12"/>
        <v>146.382894</v>
      </c>
      <c r="V69" s="187">
        <f t="shared" ref="V69:W69" si="67">C69/100</f>
        <v>0.97</v>
      </c>
      <c r="W69" s="187">
        <f t="shared" si="67"/>
        <v>2.03</v>
      </c>
      <c r="X69" s="187">
        <f t="shared" si="14"/>
        <v>2.52</v>
      </c>
      <c r="Y69" s="189">
        <f t="shared" si="15"/>
        <v>4.962132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81">
        <v>52.0</v>
      </c>
      <c r="B70" s="191" t="s">
        <v>56</v>
      </c>
      <c r="C70" s="191">
        <v>103.0</v>
      </c>
      <c r="D70" s="191">
        <v>203.0</v>
      </c>
      <c r="E70" s="191">
        <v>251.0</v>
      </c>
      <c r="F70" s="191">
        <f t="shared" si="5"/>
        <v>0</v>
      </c>
      <c r="G70" s="191">
        <f t="shared" si="6"/>
        <v>154.8206905</v>
      </c>
      <c r="H70" s="219">
        <f t="shared" si="7"/>
        <v>154.8206905</v>
      </c>
      <c r="I70" s="218">
        <v>1.0</v>
      </c>
      <c r="J70" s="194">
        <f t="shared" si="8"/>
        <v>154.8206905</v>
      </c>
      <c r="K70" s="139"/>
      <c r="L70" s="197"/>
      <c r="M70" s="198"/>
      <c r="N70" s="198"/>
      <c r="O70" s="139"/>
      <c r="P70" s="139"/>
      <c r="Q70" s="188">
        <v>29.5</v>
      </c>
      <c r="R70" s="187">
        <f t="shared" si="9"/>
        <v>2.51</v>
      </c>
      <c r="S70" s="181">
        <f t="shared" si="10"/>
        <v>1</v>
      </c>
      <c r="T70" s="181">
        <f t="shared" si="11"/>
        <v>2.51</v>
      </c>
      <c r="U70" s="278">
        <f t="shared" si="12"/>
        <v>154.8206905</v>
      </c>
      <c r="V70" s="187">
        <f t="shared" ref="V70:W70" si="68">C70/100</f>
        <v>1.03</v>
      </c>
      <c r="W70" s="187">
        <f t="shared" si="68"/>
        <v>2.03</v>
      </c>
      <c r="X70" s="187">
        <f t="shared" si="14"/>
        <v>2.51</v>
      </c>
      <c r="Y70" s="189">
        <f t="shared" si="15"/>
        <v>5.248159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81">
        <v>53.0</v>
      </c>
      <c r="B71" s="191" t="s">
        <v>56</v>
      </c>
      <c r="C71" s="191">
        <v>104.0</v>
      </c>
      <c r="D71" s="191">
        <v>203.0</v>
      </c>
      <c r="E71" s="191">
        <v>250.0</v>
      </c>
      <c r="F71" s="191">
        <f t="shared" si="5"/>
        <v>0</v>
      </c>
      <c r="G71" s="191">
        <f t="shared" si="6"/>
        <v>155.701</v>
      </c>
      <c r="H71" s="219">
        <f t="shared" si="7"/>
        <v>155.701</v>
      </c>
      <c r="I71" s="218">
        <v>1.0</v>
      </c>
      <c r="J71" s="194">
        <f t="shared" si="8"/>
        <v>155.701</v>
      </c>
      <c r="K71" s="139"/>
      <c r="L71" s="197"/>
      <c r="M71" s="198"/>
      <c r="N71" s="198"/>
      <c r="O71" s="139"/>
      <c r="P71" s="139"/>
      <c r="Q71" s="188">
        <v>29.5</v>
      </c>
      <c r="R71" s="187">
        <f t="shared" si="9"/>
        <v>2.5</v>
      </c>
      <c r="S71" s="181">
        <f t="shared" si="10"/>
        <v>1</v>
      </c>
      <c r="T71" s="181">
        <f t="shared" si="11"/>
        <v>2.5</v>
      </c>
      <c r="U71" s="278">
        <f t="shared" si="12"/>
        <v>155.701</v>
      </c>
      <c r="V71" s="187">
        <f t="shared" ref="V71:W71" si="69">C71/100</f>
        <v>1.04</v>
      </c>
      <c r="W71" s="187">
        <f t="shared" si="69"/>
        <v>2.03</v>
      </c>
      <c r="X71" s="187">
        <f t="shared" si="14"/>
        <v>2.5</v>
      </c>
      <c r="Y71" s="189">
        <f t="shared" si="15"/>
        <v>5.278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81">
        <v>54.0</v>
      </c>
      <c r="B72" s="191" t="s">
        <v>56</v>
      </c>
      <c r="C72" s="191">
        <v>102.0</v>
      </c>
      <c r="D72" s="191">
        <v>203.0</v>
      </c>
      <c r="E72" s="191">
        <v>251.0</v>
      </c>
      <c r="F72" s="191">
        <f t="shared" si="5"/>
        <v>0</v>
      </c>
      <c r="G72" s="191">
        <f t="shared" si="6"/>
        <v>153.317577</v>
      </c>
      <c r="H72" s="219">
        <f t="shared" si="7"/>
        <v>153.317577</v>
      </c>
      <c r="I72" s="218">
        <v>1.0</v>
      </c>
      <c r="J72" s="194">
        <f t="shared" si="8"/>
        <v>153.317577</v>
      </c>
      <c r="K72" s="139"/>
      <c r="L72" s="197"/>
      <c r="M72" s="198"/>
      <c r="N72" s="198"/>
      <c r="O72" s="139"/>
      <c r="P72" s="139"/>
      <c r="Q72" s="188">
        <v>29.5</v>
      </c>
      <c r="R72" s="187">
        <f t="shared" si="9"/>
        <v>2.51</v>
      </c>
      <c r="S72" s="181">
        <f t="shared" si="10"/>
        <v>1</v>
      </c>
      <c r="T72" s="181">
        <f t="shared" si="11"/>
        <v>2.51</v>
      </c>
      <c r="U72" s="278">
        <f t="shared" si="12"/>
        <v>153.317577</v>
      </c>
      <c r="V72" s="187">
        <f t="shared" ref="V72:W72" si="70">C72/100</f>
        <v>1.02</v>
      </c>
      <c r="W72" s="187">
        <f t="shared" si="70"/>
        <v>2.03</v>
      </c>
      <c r="X72" s="187">
        <f t="shared" si="14"/>
        <v>2.51</v>
      </c>
      <c r="Y72" s="189">
        <f t="shared" si="15"/>
        <v>5.197206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81">
        <v>55.0</v>
      </c>
      <c r="B73" s="191" t="s">
        <v>56</v>
      </c>
      <c r="C73" s="191">
        <v>100.0</v>
      </c>
      <c r="D73" s="191">
        <v>203.0</v>
      </c>
      <c r="E73" s="191">
        <v>203.0</v>
      </c>
      <c r="F73" s="191">
        <f t="shared" si="5"/>
        <v>0</v>
      </c>
      <c r="G73" s="191">
        <f t="shared" si="6"/>
        <v>121.56655</v>
      </c>
      <c r="H73" s="219">
        <f t="shared" si="7"/>
        <v>121.56655</v>
      </c>
      <c r="I73" s="218">
        <v>3.0</v>
      </c>
      <c r="J73" s="194">
        <f t="shared" si="8"/>
        <v>364.69965</v>
      </c>
      <c r="K73" s="139"/>
      <c r="L73" s="197"/>
      <c r="M73" s="198"/>
      <c r="N73" s="198"/>
      <c r="O73" s="139"/>
      <c r="P73" s="139"/>
      <c r="Q73" s="188">
        <v>29.5</v>
      </c>
      <c r="R73" s="187">
        <f t="shared" si="9"/>
        <v>2.03</v>
      </c>
      <c r="S73" s="181">
        <f t="shared" si="10"/>
        <v>3</v>
      </c>
      <c r="T73" s="181">
        <f t="shared" si="11"/>
        <v>6.09</v>
      </c>
      <c r="U73" s="278">
        <f t="shared" si="12"/>
        <v>121.56655</v>
      </c>
      <c r="V73" s="187">
        <f t="shared" ref="V73:W73" si="71">C73/100</f>
        <v>1</v>
      </c>
      <c r="W73" s="187">
        <f t="shared" si="71"/>
        <v>2.03</v>
      </c>
      <c r="X73" s="187">
        <f t="shared" si="14"/>
        <v>6.09</v>
      </c>
      <c r="Y73" s="189">
        <f t="shared" si="15"/>
        <v>12.3627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7.0" customHeight="1">
      <c r="A74" s="181">
        <v>56.0</v>
      </c>
      <c r="B74" s="191" t="s">
        <v>56</v>
      </c>
      <c r="C74" s="191">
        <v>99.0</v>
      </c>
      <c r="D74" s="191">
        <v>203.0</v>
      </c>
      <c r="E74" s="191">
        <v>252.0</v>
      </c>
      <c r="F74" s="191">
        <f t="shared" si="5"/>
        <v>0</v>
      </c>
      <c r="G74" s="191">
        <f t="shared" si="6"/>
        <v>149.401098</v>
      </c>
      <c r="H74" s="219">
        <f t="shared" si="7"/>
        <v>149.401098</v>
      </c>
      <c r="I74" s="218">
        <v>5.0</v>
      </c>
      <c r="J74" s="194">
        <f t="shared" si="8"/>
        <v>747.00549</v>
      </c>
      <c r="K74" s="139"/>
      <c r="L74" s="197"/>
      <c r="M74" s="198"/>
      <c r="N74" s="198"/>
      <c r="O74" s="139"/>
      <c r="P74" s="139"/>
      <c r="Q74" s="188">
        <v>29.5</v>
      </c>
      <c r="R74" s="187">
        <f t="shared" si="9"/>
        <v>2.52</v>
      </c>
      <c r="S74" s="181">
        <f t="shared" si="10"/>
        <v>5</v>
      </c>
      <c r="T74" s="181">
        <f t="shared" si="11"/>
        <v>12.6</v>
      </c>
      <c r="U74" s="278">
        <f t="shared" si="12"/>
        <v>149.401098</v>
      </c>
      <c r="V74" s="187">
        <f t="shared" ref="V74:W74" si="72">C74/100</f>
        <v>0.99</v>
      </c>
      <c r="W74" s="187">
        <f t="shared" si="72"/>
        <v>2.03</v>
      </c>
      <c r="X74" s="187">
        <f t="shared" si="14"/>
        <v>12.6</v>
      </c>
      <c r="Y74" s="189">
        <f t="shared" si="15"/>
        <v>25.32222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27.0" customHeight="1">
      <c r="A75" s="160">
        <v>3.0</v>
      </c>
      <c r="B75" s="176"/>
      <c r="C75" s="176"/>
      <c r="D75" s="176"/>
      <c r="E75" s="176"/>
      <c r="F75" s="176">
        <f t="shared" si="5"/>
        <v>0</v>
      </c>
      <c r="G75" s="176">
        <f t="shared" si="6"/>
        <v>0</v>
      </c>
      <c r="H75" s="179">
        <f t="shared" si="7"/>
        <v>0</v>
      </c>
      <c r="I75" s="160"/>
      <c r="J75" s="203">
        <f>+Q103</f>
        <v>101.6</v>
      </c>
      <c r="K75" s="139"/>
      <c r="L75" s="139"/>
      <c r="M75" s="139"/>
      <c r="N75" s="139"/>
      <c r="O75" s="139"/>
      <c r="P75" s="139"/>
      <c r="Q75" s="204"/>
      <c r="R75" s="187">
        <f t="shared" si="9"/>
        <v>0</v>
      </c>
      <c r="S75" s="181" t="str">
        <f t="shared" si="10"/>
        <v/>
      </c>
      <c r="T75" s="181">
        <f t="shared" si="11"/>
        <v>0</v>
      </c>
      <c r="U75" s="186"/>
      <c r="V75" s="187">
        <f t="shared" ref="V75:W75" si="73">C75/100</f>
        <v>0</v>
      </c>
      <c r="W75" s="187">
        <f t="shared" si="73"/>
        <v>0</v>
      </c>
      <c r="X75" s="187">
        <f t="shared" si="14"/>
        <v>0</v>
      </c>
      <c r="Y75" s="189">
        <f t="shared" si="15"/>
        <v>0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27.0" customHeight="1">
      <c r="A76" s="160"/>
      <c r="B76" s="205"/>
      <c r="C76" s="205"/>
      <c r="D76" s="205"/>
      <c r="E76" s="205"/>
      <c r="F76" s="205"/>
      <c r="G76" s="205"/>
      <c r="H76" s="206"/>
      <c r="I76" s="207">
        <f>SUM(I19:I74)</f>
        <v>188</v>
      </c>
      <c r="J76" s="208">
        <f>SUM(J19:J75)</f>
        <v>23918.85103</v>
      </c>
      <c r="K76" s="209"/>
      <c r="L76" s="209"/>
      <c r="M76" s="209"/>
      <c r="N76" s="209"/>
      <c r="O76" s="209"/>
      <c r="P76" s="209"/>
      <c r="Q76" s="141"/>
      <c r="R76" s="209">
        <f>+SUM(R19:R75)</f>
        <v>127.71</v>
      </c>
      <c r="S76" s="209">
        <f t="shared" ref="S76:T76" si="74">SUM(S19:S75)</f>
        <v>188</v>
      </c>
      <c r="T76" s="209">
        <f t="shared" si="74"/>
        <v>423.54</v>
      </c>
      <c r="U76" s="209"/>
      <c r="V76" s="209"/>
      <c r="W76" s="209"/>
      <c r="X76" s="209"/>
      <c r="Y76" s="210">
        <f>SUM(Y19:Y75)</f>
        <v>851.717363</v>
      </c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</row>
    <row r="77" ht="29.25" customHeight="1">
      <c r="A77" s="139"/>
      <c r="B77" s="139"/>
      <c r="C77" s="139"/>
      <c r="D77" s="139"/>
      <c r="E77" s="139"/>
      <c r="F77" s="139"/>
      <c r="G77" s="139"/>
      <c r="H77" s="140"/>
      <c r="I77" s="139"/>
      <c r="J77" s="139"/>
      <c r="K77" s="139"/>
      <c r="L77" s="139"/>
      <c r="M77" s="139"/>
      <c r="N77" s="139"/>
      <c r="O77" s="139"/>
      <c r="P77" s="139"/>
      <c r="Q77" s="141"/>
      <c r="R77" s="186">
        <f>SUMIFS($S$19:$S$75,$R$19:$R$75,"&gt;=3")</f>
        <v>0</v>
      </c>
      <c r="S77" s="139">
        <f t="shared" ref="S77:T77" si="75">SUM(S19:S75)</f>
        <v>188</v>
      </c>
      <c r="T77" s="139">
        <f t="shared" si="75"/>
        <v>423.54</v>
      </c>
      <c r="U77" s="139">
        <f>+T76-435</f>
        <v>-11.46</v>
      </c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29.25" customHeight="1">
      <c r="A78" s="139"/>
      <c r="B78" s="139"/>
      <c r="C78" s="139"/>
      <c r="D78" s="139"/>
      <c r="E78" s="139"/>
      <c r="F78" s="139"/>
      <c r="G78" s="139"/>
      <c r="H78" s="140"/>
      <c r="I78" s="139"/>
      <c r="J78" s="139"/>
      <c r="K78" s="139"/>
      <c r="L78" s="139"/>
      <c r="M78" s="139"/>
      <c r="N78" s="139"/>
      <c r="O78" s="139"/>
      <c r="P78" s="139"/>
      <c r="Q78" s="204"/>
      <c r="R78" s="139"/>
      <c r="S78" s="139" t="s">
        <v>48</v>
      </c>
      <c r="T78" s="139" t="s">
        <v>72</v>
      </c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9.25" customHeight="1">
      <c r="A79" s="139"/>
      <c r="B79" s="139"/>
      <c r="C79" s="139"/>
      <c r="D79" s="139"/>
      <c r="E79" s="139"/>
      <c r="F79" s="139"/>
      <c r="G79" s="139"/>
      <c r="H79" s="140"/>
      <c r="I79" s="139"/>
      <c r="J79" s="139"/>
      <c r="K79" s="139"/>
      <c r="L79" s="139"/>
      <c r="M79" s="139"/>
      <c r="N79" s="139"/>
      <c r="O79" s="139"/>
      <c r="P79" s="139"/>
      <c r="Q79" s="141"/>
      <c r="R79" s="139"/>
      <c r="S79" s="211" t="s">
        <v>48</v>
      </c>
      <c r="T79" s="212" t="s">
        <v>72</v>
      </c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9.25" customHeight="1">
      <c r="A80" s="139" t="s">
        <v>32</v>
      </c>
      <c r="B80" s="139"/>
      <c r="C80" s="139"/>
      <c r="D80" s="139" t="s">
        <v>33</v>
      </c>
      <c r="E80" s="139"/>
      <c r="F80" s="139"/>
      <c r="G80" s="139"/>
      <c r="H80" s="140"/>
      <c r="I80" s="139"/>
      <c r="J80" s="139"/>
      <c r="K80" s="139"/>
      <c r="L80" s="139"/>
      <c r="M80" s="139"/>
      <c r="N80" s="139"/>
      <c r="O80" s="139"/>
      <c r="P80" s="139"/>
      <c r="Q80" s="141"/>
      <c r="R80" s="139" t="s">
        <v>31</v>
      </c>
      <c r="S80" s="213">
        <f>SUMIFS($J$19:$J$75,$R$19:$R$75,"&gt;=3")</f>
        <v>0</v>
      </c>
      <c r="T80" s="212">
        <f>+T76</f>
        <v>423.54</v>
      </c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9.25" customHeight="1">
      <c r="A81" s="139"/>
      <c r="B81" s="139"/>
      <c r="C81" s="139"/>
      <c r="D81" s="139"/>
      <c r="E81" s="139"/>
      <c r="F81" s="139"/>
      <c r="G81" s="139"/>
      <c r="H81" s="140"/>
      <c r="I81" s="139"/>
      <c r="J81" s="139"/>
      <c r="K81" s="139"/>
      <c r="L81" s="139"/>
      <c r="M81" s="139"/>
      <c r="N81" s="139"/>
      <c r="O81" s="139"/>
      <c r="P81" s="139"/>
      <c r="Q81" s="204"/>
      <c r="R81" s="139" t="s">
        <v>34</v>
      </c>
      <c r="S81" s="214">
        <f>J77-S80</f>
        <v>0</v>
      </c>
      <c r="T81" s="139">
        <f>+SUMIFS($T$19:$T$75,$R$19:$R$75,"&gt;=3")</f>
        <v>0</v>
      </c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39.0" customHeight="1">
      <c r="A82" s="176"/>
      <c r="B82" s="160" t="s">
        <v>12</v>
      </c>
      <c r="C82" s="177" t="s">
        <v>73</v>
      </c>
      <c r="D82" s="52"/>
      <c r="E82" s="53"/>
      <c r="F82" s="178"/>
      <c r="G82" s="178"/>
      <c r="H82" s="179" t="s">
        <v>14</v>
      </c>
      <c r="I82" s="160" t="s">
        <v>15</v>
      </c>
      <c r="J82" s="160" t="s">
        <v>16</v>
      </c>
      <c r="K82" s="139"/>
      <c r="L82" s="139"/>
      <c r="M82" s="139"/>
      <c r="N82" s="139"/>
      <c r="O82" s="139"/>
      <c r="P82" s="139"/>
      <c r="Q82" s="141"/>
      <c r="R82" s="139"/>
      <c r="S82" s="139" t="str">
        <f>+I77</f>
        <v/>
      </c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7.0" customHeight="1">
      <c r="A83" s="154">
        <v>1.0</v>
      </c>
      <c r="B83" s="215" t="s">
        <v>65</v>
      </c>
      <c r="C83" s="215">
        <v>94.0</v>
      </c>
      <c r="D83" s="215">
        <v>195.0</v>
      </c>
      <c r="E83" s="215">
        <v>251.0</v>
      </c>
      <c r="F83" s="215">
        <f t="shared" ref="F83:F86" si="76">1-VALUE(IF(RIGHT(B83, 1)="%", RIGHT(B83, 3), 0))</f>
        <v>0.2</v>
      </c>
      <c r="G83" s="215">
        <f t="shared" ref="G83:G86" si="77">+Q83*C83/100*D83/100*E83/100</f>
        <v>0</v>
      </c>
      <c r="H83" s="216">
        <f t="shared" ref="H83:H86" si="78">IF(F83=0, G83, F83*G83)</f>
        <v>0</v>
      </c>
      <c r="I83" s="215">
        <v>1.0</v>
      </c>
      <c r="J83" s="217">
        <f t="shared" ref="J83:J86" si="79">+I83*H83</f>
        <v>0</v>
      </c>
      <c r="K83" s="139"/>
      <c r="L83" s="176">
        <f t="shared" ref="L83:L86" si="80">D83*25.4/1000</f>
        <v>4.953</v>
      </c>
      <c r="M83" s="160">
        <f t="shared" ref="M83:M86" si="81">+I83</f>
        <v>1</v>
      </c>
      <c r="N83" s="160">
        <f t="shared" ref="N83:N86" si="82">M83*L83</f>
        <v>4.953</v>
      </c>
      <c r="O83" s="139"/>
      <c r="P83" s="139"/>
      <c r="Q83" s="141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7.0" customHeight="1">
      <c r="A84" s="160">
        <v>2.0</v>
      </c>
      <c r="B84" s="218" t="s">
        <v>79</v>
      </c>
      <c r="C84" s="218">
        <v>87.0</v>
      </c>
      <c r="D84" s="218">
        <v>207.0</v>
      </c>
      <c r="E84" s="218">
        <v>289.0</v>
      </c>
      <c r="F84" s="218">
        <f t="shared" si="76"/>
        <v>0.2</v>
      </c>
      <c r="G84" s="218">
        <f t="shared" si="77"/>
        <v>0</v>
      </c>
      <c r="H84" s="219">
        <f t="shared" si="78"/>
        <v>0</v>
      </c>
      <c r="I84" s="218">
        <v>1.0</v>
      </c>
      <c r="J84" s="194">
        <f t="shared" si="79"/>
        <v>0</v>
      </c>
      <c r="K84" s="139"/>
      <c r="L84" s="176">
        <f t="shared" si="80"/>
        <v>5.2578</v>
      </c>
      <c r="M84" s="160">
        <f t="shared" si="81"/>
        <v>1</v>
      </c>
      <c r="N84" s="160">
        <f t="shared" si="82"/>
        <v>5.2578</v>
      </c>
      <c r="O84" s="139"/>
      <c r="P84" s="139"/>
      <c r="Q84" s="141"/>
      <c r="R84" s="139"/>
      <c r="S84" s="220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7.0" customHeight="1">
      <c r="A85" s="160">
        <v>3.0</v>
      </c>
      <c r="B85" s="218" t="s">
        <v>64</v>
      </c>
      <c r="C85" s="218">
        <v>87.0</v>
      </c>
      <c r="D85" s="218">
        <v>203.0</v>
      </c>
      <c r="E85" s="218">
        <v>201.0</v>
      </c>
      <c r="F85" s="218">
        <f t="shared" si="76"/>
        <v>0.2</v>
      </c>
      <c r="G85" s="218">
        <f t="shared" si="77"/>
        <v>0</v>
      </c>
      <c r="H85" s="219">
        <f t="shared" si="78"/>
        <v>0</v>
      </c>
      <c r="I85" s="218">
        <v>1.0</v>
      </c>
      <c r="J85" s="194">
        <f t="shared" si="79"/>
        <v>0</v>
      </c>
      <c r="K85" s="139"/>
      <c r="L85" s="176">
        <f t="shared" si="80"/>
        <v>5.1562</v>
      </c>
      <c r="M85" s="160">
        <f t="shared" si="81"/>
        <v>1</v>
      </c>
      <c r="N85" s="160">
        <f t="shared" si="82"/>
        <v>5.1562</v>
      </c>
      <c r="O85" s="139"/>
      <c r="P85" s="139"/>
      <c r="Q85" s="141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7.0" customHeight="1">
      <c r="A86" s="160">
        <v>4.0</v>
      </c>
      <c r="B86" s="218" t="s">
        <v>65</v>
      </c>
      <c r="C86" s="218">
        <v>92.0</v>
      </c>
      <c r="D86" s="218">
        <v>203.0</v>
      </c>
      <c r="E86" s="218">
        <v>251.0</v>
      </c>
      <c r="F86" s="218">
        <f t="shared" si="76"/>
        <v>0.2</v>
      </c>
      <c r="G86" s="218">
        <f t="shared" si="77"/>
        <v>0</v>
      </c>
      <c r="H86" s="219">
        <f t="shared" si="78"/>
        <v>0</v>
      </c>
      <c r="I86" s="218">
        <v>1.0</v>
      </c>
      <c r="J86" s="194">
        <f t="shared" si="79"/>
        <v>0</v>
      </c>
      <c r="K86" s="139"/>
      <c r="L86" s="176">
        <f t="shared" si="80"/>
        <v>5.1562</v>
      </c>
      <c r="M86" s="160">
        <f t="shared" si="81"/>
        <v>1</v>
      </c>
      <c r="N86" s="160">
        <f t="shared" si="82"/>
        <v>5.1562</v>
      </c>
      <c r="O86" s="139"/>
      <c r="P86" s="139"/>
      <c r="Q86" s="141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4.75" customHeight="1">
      <c r="A87" s="160"/>
      <c r="B87" s="197"/>
      <c r="C87" s="197"/>
      <c r="D87" s="197"/>
      <c r="E87" s="197"/>
      <c r="F87" s="197"/>
      <c r="G87" s="197"/>
      <c r="H87" s="269" t="s">
        <v>38</v>
      </c>
      <c r="I87" s="197"/>
      <c r="J87" s="226">
        <f>SUM(J83:J86)</f>
        <v>0</v>
      </c>
      <c r="K87" s="139"/>
      <c r="L87" s="139"/>
      <c r="M87" s="139"/>
      <c r="N87" s="139"/>
      <c r="O87" s="139"/>
      <c r="P87" s="139"/>
      <c r="Q87" s="141"/>
      <c r="R87" s="227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18.75" customHeight="1">
      <c r="A88" s="174"/>
      <c r="B88" s="144"/>
      <c r="C88" s="144"/>
      <c r="D88" s="144"/>
      <c r="E88" s="144"/>
      <c r="F88" s="144"/>
      <c r="G88" s="144"/>
      <c r="H88" s="145"/>
      <c r="I88" s="144"/>
      <c r="J88" s="175"/>
      <c r="K88" s="139"/>
      <c r="L88" s="139"/>
      <c r="M88" s="139"/>
      <c r="N88" s="139"/>
      <c r="O88" s="139"/>
      <c r="P88" s="139"/>
      <c r="Q88" s="141"/>
      <c r="R88" s="227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18.75" customHeight="1">
      <c r="A89" s="139"/>
      <c r="B89" s="139"/>
      <c r="C89" s="139"/>
      <c r="D89" s="139"/>
      <c r="E89" s="139"/>
      <c r="F89" s="139"/>
      <c r="G89" s="139"/>
      <c r="H89" s="140"/>
      <c r="I89" s="139"/>
      <c r="J89" s="139"/>
      <c r="K89" s="139"/>
      <c r="L89" s="139"/>
      <c r="M89" s="139"/>
      <c r="N89" s="139"/>
      <c r="O89" s="139"/>
      <c r="P89" s="139"/>
      <c r="Q89" s="141"/>
      <c r="R89" s="227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18.75" customHeight="1">
      <c r="A90" s="139"/>
      <c r="B90" s="139"/>
      <c r="C90" s="139"/>
      <c r="D90" s="139"/>
      <c r="E90" s="139"/>
      <c r="F90" s="139"/>
      <c r="G90" s="139"/>
      <c r="H90" s="140"/>
      <c r="I90" s="139"/>
      <c r="J90" s="139"/>
      <c r="K90" s="139"/>
      <c r="L90" s="139"/>
      <c r="M90" s="139"/>
      <c r="N90" s="139"/>
      <c r="O90" s="139"/>
      <c r="P90" s="139"/>
      <c r="Q90" s="141"/>
      <c r="R90" s="227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18.75" customHeight="1">
      <c r="A91" s="139" t="s">
        <v>39</v>
      </c>
      <c r="B91" s="139"/>
      <c r="C91" s="139"/>
      <c r="D91" s="139"/>
      <c r="E91" s="139"/>
      <c r="F91" s="139"/>
      <c r="G91" s="139"/>
      <c r="H91" s="140"/>
      <c r="I91" s="139"/>
      <c r="J91" s="139"/>
      <c r="K91" s="139"/>
      <c r="L91" s="139"/>
      <c r="M91" s="139"/>
      <c r="N91" s="139"/>
      <c r="O91" s="139"/>
      <c r="P91" s="139"/>
      <c r="Q91" s="141"/>
      <c r="R91" s="227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ht="18.75" customHeight="1">
      <c r="A92" s="139"/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141"/>
      <c r="R92" s="227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42.0" customHeight="1">
      <c r="A93" s="176"/>
      <c r="B93" s="160" t="s">
        <v>12</v>
      </c>
      <c r="C93" s="177" t="s">
        <v>74</v>
      </c>
      <c r="D93" s="52"/>
      <c r="E93" s="53"/>
      <c r="F93" s="228"/>
      <c r="G93" s="228"/>
      <c r="H93" s="179" t="s">
        <v>14</v>
      </c>
      <c r="I93" s="224" t="s">
        <v>15</v>
      </c>
      <c r="J93" s="160" t="s">
        <v>16</v>
      </c>
      <c r="K93" s="139"/>
      <c r="L93" s="139"/>
      <c r="M93" s="139"/>
      <c r="N93" s="139"/>
      <c r="O93" s="139"/>
      <c r="P93" s="139"/>
      <c r="Q93" s="141"/>
      <c r="R93" s="227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24.75" customHeight="1">
      <c r="A94" s="160">
        <v>1.0</v>
      </c>
      <c r="B94" s="229" t="s">
        <v>56</v>
      </c>
      <c r="C94" s="181"/>
      <c r="D94" s="181"/>
      <c r="E94" s="181"/>
      <c r="F94" s="181"/>
      <c r="G94" s="181"/>
      <c r="H94" s="232">
        <v>50.0</v>
      </c>
      <c r="I94" s="181">
        <v>1.0</v>
      </c>
      <c r="J94" s="194">
        <f t="shared" ref="J94:J101" si="83">+I94*H94</f>
        <v>50</v>
      </c>
      <c r="K94" s="176"/>
      <c r="L94" s="176"/>
      <c r="M94" s="176"/>
      <c r="N94" s="176"/>
      <c r="O94" s="176"/>
      <c r="P94" s="176"/>
      <c r="Q94" s="231"/>
      <c r="R94" s="227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24.75" customHeight="1">
      <c r="A95" s="160">
        <v>2.0</v>
      </c>
      <c r="B95" s="215" t="s">
        <v>56</v>
      </c>
      <c r="C95" s="181"/>
      <c r="D95" s="181"/>
      <c r="E95" s="181"/>
      <c r="F95" s="181"/>
      <c r="G95" s="181"/>
      <c r="H95" s="232">
        <v>17.0</v>
      </c>
      <c r="I95" s="181">
        <v>1.0</v>
      </c>
      <c r="J95" s="194">
        <f t="shared" si="83"/>
        <v>17</v>
      </c>
      <c r="K95" s="176"/>
      <c r="L95" s="176"/>
      <c r="M95" s="176"/>
      <c r="N95" s="176"/>
      <c r="O95" s="176"/>
      <c r="P95" s="176"/>
      <c r="Q95" s="231"/>
      <c r="R95" s="227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24.75" customHeight="1">
      <c r="A96" s="160">
        <v>3.0</v>
      </c>
      <c r="B96" s="182" t="s">
        <v>76</v>
      </c>
      <c r="C96" s="181"/>
      <c r="D96" s="181"/>
      <c r="E96" s="181"/>
      <c r="F96" s="181"/>
      <c r="G96" s="181"/>
      <c r="H96" s="232">
        <v>47.0</v>
      </c>
      <c r="I96" s="181">
        <v>1.0</v>
      </c>
      <c r="J96" s="194">
        <f t="shared" si="83"/>
        <v>47</v>
      </c>
      <c r="K96" s="176"/>
      <c r="L96" s="176"/>
      <c r="M96" s="176"/>
      <c r="N96" s="176"/>
      <c r="O96" s="176"/>
      <c r="P96" s="176"/>
      <c r="Q96" s="231"/>
      <c r="R96" s="227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24.75" customHeight="1">
      <c r="A97" s="160">
        <v>4.0</v>
      </c>
      <c r="B97" s="218" t="s">
        <v>76</v>
      </c>
      <c r="C97" s="181"/>
      <c r="D97" s="181"/>
      <c r="E97" s="181"/>
      <c r="F97" s="181"/>
      <c r="G97" s="181"/>
      <c r="H97" s="232">
        <v>12.0</v>
      </c>
      <c r="I97" s="181">
        <v>1.0</v>
      </c>
      <c r="J97" s="194">
        <f t="shared" si="83"/>
        <v>12</v>
      </c>
      <c r="K97" s="176"/>
      <c r="L97" s="176"/>
      <c r="M97" s="176"/>
      <c r="N97" s="176"/>
      <c r="O97" s="176"/>
      <c r="P97" s="176"/>
      <c r="Q97" s="231"/>
      <c r="R97" s="227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24.75" customHeight="1">
      <c r="A98" s="160">
        <v>5.0</v>
      </c>
      <c r="B98" s="182" t="s">
        <v>55</v>
      </c>
      <c r="C98" s="181"/>
      <c r="D98" s="181"/>
      <c r="E98" s="181"/>
      <c r="F98" s="181"/>
      <c r="G98" s="181"/>
      <c r="H98" s="232">
        <v>45.0</v>
      </c>
      <c r="I98" s="181">
        <v>1.0</v>
      </c>
      <c r="J98" s="194">
        <f t="shared" si="83"/>
        <v>45</v>
      </c>
      <c r="K98" s="176"/>
      <c r="L98" s="176"/>
      <c r="M98" s="176"/>
      <c r="N98" s="176"/>
      <c r="O98" s="176"/>
      <c r="P98" s="176"/>
      <c r="Q98" s="231"/>
      <c r="R98" s="227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24.75" customHeight="1">
      <c r="A99" s="160">
        <v>6.0</v>
      </c>
      <c r="B99" s="218" t="s">
        <v>55</v>
      </c>
      <c r="C99" s="181"/>
      <c r="D99" s="181"/>
      <c r="E99" s="181"/>
      <c r="F99" s="181"/>
      <c r="G99" s="181"/>
      <c r="H99" s="232">
        <v>18.0</v>
      </c>
      <c r="I99" s="181">
        <v>1.0</v>
      </c>
      <c r="J99" s="194">
        <f t="shared" si="83"/>
        <v>18</v>
      </c>
      <c r="K99" s="176"/>
      <c r="L99" s="176"/>
      <c r="M99" s="176"/>
      <c r="N99" s="176"/>
      <c r="O99" s="176"/>
      <c r="P99" s="176"/>
      <c r="Q99" s="231"/>
      <c r="R99" s="227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24.75" customHeight="1">
      <c r="A100" s="160">
        <v>7.0</v>
      </c>
      <c r="B100" s="182" t="s">
        <v>56</v>
      </c>
      <c r="C100" s="181"/>
      <c r="D100" s="181"/>
      <c r="E100" s="181"/>
      <c r="F100" s="181"/>
      <c r="G100" s="181"/>
      <c r="H100" s="232">
        <v>46.0</v>
      </c>
      <c r="I100" s="181">
        <v>1.0</v>
      </c>
      <c r="J100" s="194">
        <f t="shared" si="83"/>
        <v>46</v>
      </c>
      <c r="K100" s="176"/>
      <c r="L100" s="176"/>
      <c r="M100" s="176"/>
      <c r="N100" s="176"/>
      <c r="O100" s="176"/>
      <c r="P100" s="176"/>
      <c r="Q100" s="231"/>
      <c r="R100" s="227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24.75" customHeight="1">
      <c r="A101" s="160">
        <v>8.0</v>
      </c>
      <c r="B101" s="218" t="s">
        <v>56</v>
      </c>
      <c r="C101" s="181"/>
      <c r="D101" s="181"/>
      <c r="E101" s="181"/>
      <c r="F101" s="181"/>
      <c r="G101" s="181"/>
      <c r="H101" s="232">
        <v>19.0</v>
      </c>
      <c r="I101" s="181">
        <v>1.0</v>
      </c>
      <c r="J101" s="194">
        <f t="shared" si="83"/>
        <v>19</v>
      </c>
      <c r="K101" s="176"/>
      <c r="L101" s="176"/>
      <c r="M101" s="176"/>
      <c r="N101" s="176"/>
      <c r="O101" s="176"/>
      <c r="P101" s="176"/>
      <c r="Q101" s="231"/>
      <c r="R101" s="227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18.75" customHeight="1">
      <c r="A102" s="139"/>
      <c r="B102" s="139"/>
      <c r="C102" s="139"/>
      <c r="D102" s="139"/>
      <c r="E102" s="139"/>
      <c r="F102" s="139"/>
      <c r="G102" s="139"/>
      <c r="H102" s="140" t="s">
        <v>38</v>
      </c>
      <c r="I102" s="139"/>
      <c r="J102" s="235">
        <f>SUM(J94:J101)</f>
        <v>254</v>
      </c>
      <c r="K102" s="236"/>
      <c r="L102" s="236"/>
      <c r="M102" s="236"/>
      <c r="N102" s="236"/>
      <c r="O102" s="236"/>
      <c r="P102" s="236"/>
      <c r="Q102" s="237"/>
      <c r="R102" s="227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18.75" customHeight="1">
      <c r="A103" s="144"/>
      <c r="B103" s="144"/>
      <c r="C103" s="144"/>
      <c r="D103" s="144"/>
      <c r="E103" s="144"/>
      <c r="F103" s="144"/>
      <c r="G103" s="144"/>
      <c r="H103" s="145"/>
      <c r="I103" s="173"/>
      <c r="J103" s="205">
        <f>+J102*60%</f>
        <v>152.4</v>
      </c>
      <c r="K103" s="205"/>
      <c r="L103" s="205"/>
      <c r="M103" s="205"/>
      <c r="N103" s="205"/>
      <c r="O103" s="205"/>
      <c r="P103" s="205"/>
      <c r="Q103" s="207">
        <f>+J102*40%</f>
        <v>101.6</v>
      </c>
      <c r="R103" s="227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18.7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41"/>
      <c r="R104" s="227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18.7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41"/>
      <c r="R105" s="227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19.5" customHeight="1">
      <c r="A106" s="238" t="s">
        <v>41</v>
      </c>
      <c r="B106" s="139"/>
      <c r="C106" s="139"/>
      <c r="D106" s="139"/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41"/>
      <c r="R106" s="227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57.0" customHeight="1">
      <c r="A107" s="239"/>
      <c r="B107" s="240" t="s">
        <v>42</v>
      </c>
      <c r="C107" s="240" t="s">
        <v>43</v>
      </c>
      <c r="D107" s="240" t="s">
        <v>44</v>
      </c>
      <c r="E107" s="240" t="s">
        <v>45</v>
      </c>
      <c r="F107" s="240"/>
      <c r="G107" s="240"/>
      <c r="H107" s="241" t="s">
        <v>46</v>
      </c>
      <c r="I107" s="242" t="s">
        <v>47</v>
      </c>
      <c r="J107" s="139"/>
      <c r="K107" s="139"/>
      <c r="L107" s="139"/>
      <c r="M107" s="139"/>
      <c r="N107" s="139"/>
      <c r="O107" s="139"/>
      <c r="P107" s="139"/>
      <c r="Q107" s="141"/>
      <c r="R107" s="227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18.75" customHeight="1">
      <c r="A108" s="243" t="s">
        <v>48</v>
      </c>
      <c r="B108" s="244">
        <f>+E12</f>
        <v>26364.55411</v>
      </c>
      <c r="C108" s="245">
        <f>+J76</f>
        <v>23918.85103</v>
      </c>
      <c r="D108" s="245">
        <f>+J87</f>
        <v>0</v>
      </c>
      <c r="E108" s="246">
        <f>J103</f>
        <v>152.4</v>
      </c>
      <c r="F108" s="246"/>
      <c r="G108" s="246"/>
      <c r="H108" s="247">
        <f>+I12</f>
        <v>837.3042642</v>
      </c>
      <c r="I108" s="248">
        <f>+B108-C108-D108-E108-H108</f>
        <v>1455.998822</v>
      </c>
      <c r="J108" s="139"/>
      <c r="K108" s="139"/>
      <c r="L108" s="139"/>
      <c r="M108" s="139"/>
      <c r="N108" s="139"/>
      <c r="O108" s="139"/>
      <c r="P108" s="139"/>
      <c r="Q108" s="141"/>
      <c r="R108" s="227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</row>
    <row r="109" ht="19.5" customHeight="1">
      <c r="A109" s="249" t="s">
        <v>49</v>
      </c>
      <c r="B109" s="250"/>
      <c r="C109" s="251">
        <f>+C108/B108</f>
        <v>0.9072351811</v>
      </c>
      <c r="D109" s="251">
        <f>+D108/B108</f>
        <v>0</v>
      </c>
      <c r="E109" s="251">
        <f>+E108/B108</f>
        <v>0.00578048843</v>
      </c>
      <c r="F109" s="251"/>
      <c r="G109" s="251"/>
      <c r="H109" s="252">
        <f>+H108/B108</f>
        <v>0.03175871136</v>
      </c>
      <c r="I109" s="253">
        <f>+I108/B108</f>
        <v>0.05522561906</v>
      </c>
      <c r="J109" s="139"/>
      <c r="K109" s="139"/>
      <c r="L109" s="139"/>
      <c r="M109" s="139"/>
      <c r="N109" s="139"/>
      <c r="O109" s="139"/>
      <c r="P109" s="139"/>
      <c r="Q109" s="141"/>
      <c r="R109" s="227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</row>
    <row r="110" ht="19.5" customHeight="1">
      <c r="A110" s="163"/>
      <c r="B110" s="221"/>
      <c r="C110" s="254"/>
      <c r="D110" s="254"/>
      <c r="E110" s="254"/>
      <c r="F110" s="254"/>
      <c r="G110" s="254"/>
      <c r="H110" s="255"/>
      <c r="I110" s="256"/>
      <c r="J110" s="139"/>
      <c r="K110" s="139"/>
      <c r="L110" s="139"/>
      <c r="M110" s="139"/>
      <c r="N110" s="139"/>
      <c r="O110" s="139"/>
      <c r="P110" s="139"/>
      <c r="Q110" s="141"/>
      <c r="R110" s="227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</row>
    <row r="111" ht="18.75" customHeight="1">
      <c r="A111" s="257"/>
      <c r="B111" s="258"/>
      <c r="C111" s="258"/>
      <c r="D111" s="258" t="s">
        <v>50</v>
      </c>
      <c r="E111" s="258" t="s">
        <v>48</v>
      </c>
      <c r="F111" s="258"/>
      <c r="G111" s="258"/>
      <c r="H111" s="259">
        <f>+D108+E108+H108+I108</f>
        <v>2445.703086</v>
      </c>
      <c r="I111" s="260"/>
      <c r="J111" s="139"/>
      <c r="K111" s="139"/>
      <c r="L111" s="139"/>
      <c r="M111" s="139"/>
      <c r="N111" s="139"/>
      <c r="O111" s="139"/>
      <c r="P111" s="139"/>
      <c r="Q111" s="141"/>
      <c r="R111" s="140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</row>
    <row r="112" ht="18.75" customHeight="1">
      <c r="A112" s="261"/>
      <c r="B112" s="139"/>
      <c r="C112" s="139"/>
      <c r="D112" s="139"/>
      <c r="E112" s="139" t="s">
        <v>49</v>
      </c>
      <c r="F112" s="139"/>
      <c r="G112" s="139"/>
      <c r="H112" s="255">
        <f>+H111/B108</f>
        <v>0.09276481885</v>
      </c>
      <c r="I112" s="262"/>
      <c r="J112" s="139"/>
      <c r="K112" s="139"/>
      <c r="L112" s="139"/>
      <c r="M112" s="139"/>
      <c r="N112" s="139"/>
      <c r="O112" s="139"/>
      <c r="P112" s="139"/>
      <c r="Q112" s="141"/>
      <c r="R112" s="140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</row>
    <row r="113" ht="18.75" customHeight="1">
      <c r="A113" s="261"/>
      <c r="B113" s="139"/>
      <c r="C113" s="139" t="s">
        <v>51</v>
      </c>
      <c r="D113" s="139"/>
      <c r="E113" s="139"/>
      <c r="F113" s="139"/>
      <c r="G113" s="139"/>
      <c r="H113" s="140"/>
      <c r="I113" s="262"/>
      <c r="J113" s="139"/>
      <c r="K113" s="139"/>
      <c r="L113" s="139"/>
      <c r="M113" s="139"/>
      <c r="N113" s="139"/>
      <c r="O113" s="139"/>
      <c r="P113" s="139"/>
      <c r="Q113" s="141"/>
      <c r="R113" s="140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</row>
    <row r="114" ht="18.75" customHeight="1">
      <c r="A114" s="261"/>
      <c r="B114" s="139"/>
      <c r="C114" s="139"/>
      <c r="D114" s="139" t="s">
        <v>52</v>
      </c>
      <c r="E114" s="139"/>
      <c r="F114" s="139"/>
      <c r="G114" s="139"/>
      <c r="H114" s="140">
        <f>+H113*(H111-H108)</f>
        <v>0</v>
      </c>
      <c r="I114" s="262"/>
      <c r="J114" s="139"/>
      <c r="K114" s="139"/>
      <c r="L114" s="139"/>
      <c r="M114" s="139"/>
      <c r="N114" s="139"/>
      <c r="O114" s="139"/>
      <c r="P114" s="139"/>
      <c r="Q114" s="141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</row>
    <row r="115" ht="19.5" customHeight="1">
      <c r="A115" s="263"/>
      <c r="B115" s="264"/>
      <c r="C115" s="264"/>
      <c r="D115" s="264"/>
      <c r="E115" s="264"/>
      <c r="F115" s="264"/>
      <c r="G115" s="264"/>
      <c r="H115" s="265"/>
      <c r="I115" s="266"/>
      <c r="J115" s="139"/>
      <c r="K115" s="139"/>
      <c r="L115" s="139"/>
      <c r="M115" s="139"/>
      <c r="N115" s="139"/>
      <c r="O115" s="139"/>
      <c r="P115" s="139"/>
      <c r="Q115" s="141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</row>
    <row r="116" ht="18.75" customHeight="1">
      <c r="A116" s="139"/>
      <c r="B116" s="139"/>
      <c r="C116" s="139"/>
      <c r="D116" s="139"/>
      <c r="E116" s="139"/>
      <c r="F116" s="139"/>
      <c r="G116" s="139"/>
      <c r="H116" s="140"/>
      <c r="I116" s="139"/>
      <c r="J116" s="139"/>
      <c r="K116" s="139"/>
      <c r="L116" s="139"/>
      <c r="M116" s="139"/>
      <c r="N116" s="139"/>
      <c r="O116" s="139"/>
      <c r="P116" s="139"/>
      <c r="Q116" s="141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ht="18.75" customHeight="1">
      <c r="A117" s="139"/>
      <c r="B117" s="139"/>
      <c r="C117" s="139"/>
      <c r="D117" s="139"/>
      <c r="E117" s="139"/>
      <c r="F117" s="139"/>
      <c r="G117" s="139"/>
      <c r="H117" s="140"/>
      <c r="I117" s="139"/>
      <c r="J117" s="139"/>
      <c r="K117" s="139"/>
      <c r="L117" s="139"/>
      <c r="M117" s="139"/>
      <c r="N117" s="139"/>
      <c r="O117" s="139"/>
      <c r="P117" s="139"/>
      <c r="Q117" s="141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</row>
    <row r="118" ht="18.75" customHeight="1">
      <c r="A118" s="139"/>
      <c r="B118" s="139"/>
      <c r="C118" s="139"/>
      <c r="D118" s="139"/>
      <c r="E118" s="139"/>
      <c r="F118" s="139"/>
      <c r="G118" s="139"/>
      <c r="H118" s="140"/>
      <c r="I118" s="139"/>
      <c r="J118" s="139"/>
      <c r="K118" s="139"/>
      <c r="L118" s="139"/>
      <c r="M118" s="139"/>
      <c r="N118" s="139"/>
      <c r="O118" s="139"/>
      <c r="P118" s="139"/>
      <c r="Q118" s="141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</row>
    <row r="119" ht="18.0" customHeight="1">
      <c r="A119" s="7"/>
      <c r="B119" s="7"/>
      <c r="C119" s="7"/>
      <c r="D119" s="7"/>
      <c r="E119" s="7"/>
      <c r="F119" s="7"/>
      <c r="G119" s="7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82:E82"/>
    <mergeCell ref="C93:E93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44357.0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128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76</v>
      </c>
      <c r="C8" s="154">
        <v>22.5</v>
      </c>
      <c r="D8" s="155">
        <v>0.1086</v>
      </c>
      <c r="E8" s="156">
        <f>216.328*25.041</f>
        <v>5417.069448</v>
      </c>
      <c r="F8" s="156"/>
      <c r="G8" s="156"/>
      <c r="H8" s="157">
        <v>25.041</v>
      </c>
      <c r="I8" s="158">
        <f t="shared" ref="I8:I14" si="1">+D8*E8</f>
        <v>588.2937421</v>
      </c>
      <c r="J8" s="159">
        <f t="shared" ref="J8:J14" si="2">E8-I8</f>
        <v>4828.775706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60" t="s">
        <v>55</v>
      </c>
      <c r="C9" s="160">
        <v>29.5</v>
      </c>
      <c r="D9" s="161">
        <v>0.0155</v>
      </c>
      <c r="E9" s="162">
        <f>253.985*21.158</f>
        <v>5373.81463</v>
      </c>
      <c r="F9" s="162"/>
      <c r="G9" s="162"/>
      <c r="H9" s="157">
        <v>21.158</v>
      </c>
      <c r="I9" s="158">
        <f t="shared" si="1"/>
        <v>83.29412677</v>
      </c>
      <c r="J9" s="159">
        <f t="shared" si="2"/>
        <v>5290.520503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60" t="s">
        <v>77</v>
      </c>
      <c r="C10" s="154">
        <v>16.5</v>
      </c>
      <c r="D10" s="155">
        <v>0.1057</v>
      </c>
      <c r="E10" s="156">
        <f>187.669*11.804</f>
        <v>2215.244876</v>
      </c>
      <c r="F10" s="156"/>
      <c r="G10" s="156"/>
      <c r="H10" s="157">
        <v>11.804</v>
      </c>
      <c r="I10" s="158">
        <f t="shared" si="1"/>
        <v>234.1513834</v>
      </c>
      <c r="J10" s="159">
        <f t="shared" si="2"/>
        <v>1981.093493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56</v>
      </c>
      <c r="C11" s="160">
        <v>29.5</v>
      </c>
      <c r="D11" s="161">
        <v>0.0146</v>
      </c>
      <c r="E11" s="162">
        <f>245.579*34.403</f>
        <v>8448.654337</v>
      </c>
      <c r="F11" s="162"/>
      <c r="G11" s="162"/>
      <c r="H11" s="157">
        <v>34.403</v>
      </c>
      <c r="I11" s="158">
        <f t="shared" si="1"/>
        <v>123.3503533</v>
      </c>
      <c r="J11" s="159">
        <f t="shared" si="2"/>
        <v>8325.303984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55</v>
      </c>
      <c r="C12" s="160">
        <v>29.5</v>
      </c>
      <c r="D12" s="161">
        <v>0.0155</v>
      </c>
      <c r="E12" s="162">
        <f>253.985*23</f>
        <v>5841.655</v>
      </c>
      <c r="F12" s="162"/>
      <c r="G12" s="162"/>
      <c r="H12" s="157">
        <v>23.0</v>
      </c>
      <c r="I12" s="158">
        <f t="shared" si="1"/>
        <v>90.5456525</v>
      </c>
      <c r="J12" s="159">
        <f t="shared" si="2"/>
        <v>5751.109348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26.25" customHeight="1">
      <c r="A13" s="153">
        <v>6.0</v>
      </c>
      <c r="B13" s="160" t="s">
        <v>55</v>
      </c>
      <c r="C13" s="160">
        <v>29.5</v>
      </c>
      <c r="D13" s="161">
        <v>0.0155</v>
      </c>
      <c r="E13" s="162">
        <f>217.99*24.89</f>
        <v>5425.7711</v>
      </c>
      <c r="F13" s="162"/>
      <c r="G13" s="162"/>
      <c r="H13" s="157">
        <v>24.89</v>
      </c>
      <c r="I13" s="158">
        <f t="shared" si="1"/>
        <v>84.09945205</v>
      </c>
      <c r="J13" s="159">
        <f t="shared" si="2"/>
        <v>5341.671648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26.25" customHeight="1">
      <c r="A14" s="153">
        <v>7.0</v>
      </c>
      <c r="B14" s="160" t="s">
        <v>84</v>
      </c>
      <c r="C14" s="160">
        <v>31.5</v>
      </c>
      <c r="D14" s="161">
        <v>0.0146</v>
      </c>
      <c r="E14" s="162">
        <f>230.943*1.29</f>
        <v>297.91647</v>
      </c>
      <c r="F14" s="162"/>
      <c r="G14" s="162"/>
      <c r="H14" s="157">
        <v>1.29</v>
      </c>
      <c r="I14" s="158">
        <f t="shared" si="1"/>
        <v>4.349580462</v>
      </c>
      <c r="J14" s="159">
        <f t="shared" si="2"/>
        <v>293.5668895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63"/>
      <c r="B15" s="164"/>
      <c r="C15" s="165"/>
      <c r="D15" s="166"/>
      <c r="E15" s="167">
        <f>SUM(E8:E14)</f>
        <v>33020.12586</v>
      </c>
      <c r="F15" s="168"/>
      <c r="G15" s="168"/>
      <c r="H15" s="169"/>
      <c r="I15" s="170">
        <f t="shared" ref="I15:J15" si="3">SUM(I8:I14)</f>
        <v>1208.084291</v>
      </c>
      <c r="J15" s="171">
        <f t="shared" si="3"/>
        <v>31812.04157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72"/>
      <c r="B16" s="144"/>
      <c r="C16" s="144"/>
      <c r="D16" s="173"/>
      <c r="E16" s="174"/>
      <c r="F16" s="151"/>
      <c r="G16" s="151"/>
      <c r="H16" s="147"/>
      <c r="I16" s="175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18.75" customHeight="1">
      <c r="A19" s="139" t="s">
        <v>11</v>
      </c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40.5" customHeight="1">
      <c r="A21" s="176"/>
      <c r="B21" s="160" t="s">
        <v>12</v>
      </c>
      <c r="C21" s="177" t="s">
        <v>62</v>
      </c>
      <c r="D21" s="52"/>
      <c r="E21" s="53"/>
      <c r="F21" s="178"/>
      <c r="G21" s="178"/>
      <c r="H21" s="179" t="s">
        <v>14</v>
      </c>
      <c r="I21" s="160" t="s">
        <v>15</v>
      </c>
      <c r="J21" s="160" t="s">
        <v>16</v>
      </c>
      <c r="K21" s="139"/>
      <c r="L21" s="160" t="s">
        <v>17</v>
      </c>
      <c r="M21" s="160" t="s">
        <v>15</v>
      </c>
      <c r="N21" s="176" t="s">
        <v>18</v>
      </c>
      <c r="O21" s="139"/>
      <c r="P21" s="139"/>
      <c r="Q21" s="176" t="s">
        <v>129</v>
      </c>
      <c r="R21" s="180"/>
      <c r="S21" s="160" t="s">
        <v>17</v>
      </c>
      <c r="T21" s="160" t="s">
        <v>15</v>
      </c>
      <c r="U21" s="176" t="s">
        <v>18</v>
      </c>
      <c r="V21" s="139"/>
      <c r="W21" s="176" t="s">
        <v>19</v>
      </c>
      <c r="X21" s="176" t="s">
        <v>20</v>
      </c>
      <c r="Y21" s="176" t="s">
        <v>21</v>
      </c>
      <c r="Z21" s="176" t="s">
        <v>130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1.0</v>
      </c>
      <c r="B22" s="182" t="s">
        <v>79</v>
      </c>
      <c r="C22" s="183">
        <v>80.0</v>
      </c>
      <c r="D22" s="183">
        <v>208.0</v>
      </c>
      <c r="E22" s="183">
        <v>288.0</v>
      </c>
      <c r="F22" s="183">
        <f t="shared" ref="F22:F91" si="5">VALUE(IF(RIGHT(B22, 1)="%", RIGHT(B22, 3), 0))</f>
        <v>0.8</v>
      </c>
      <c r="G22" s="183">
        <f t="shared" ref="G22:G91" si="6">+R22*C22/100*D22/100*E22/100</f>
        <v>107.8272</v>
      </c>
      <c r="H22" s="184">
        <f t="shared" ref="H22:H91" si="7">IF(F22=0, G22, F22*G22)</f>
        <v>86.26176</v>
      </c>
      <c r="I22" s="183">
        <v>1.0</v>
      </c>
      <c r="J22" s="193">
        <f t="shared" ref="J22:J91" si="8">+I22*H22</f>
        <v>86.26176</v>
      </c>
      <c r="K22" s="139"/>
      <c r="L22" s="176">
        <f>D22*25.4/1000</f>
        <v>5.2832</v>
      </c>
      <c r="M22" s="160">
        <f>+I22</f>
        <v>1</v>
      </c>
      <c r="N22" s="160">
        <f>M22*L22</f>
        <v>5.2832</v>
      </c>
      <c r="O22" s="139"/>
      <c r="P22" s="139"/>
      <c r="Q22" s="176"/>
      <c r="R22" s="281">
        <v>22.5</v>
      </c>
      <c r="S22" s="176">
        <f t="shared" ref="S22:S92" si="9">E22/100</f>
        <v>2.88</v>
      </c>
      <c r="T22" s="160">
        <f t="shared" ref="T22:T92" si="10">I22</f>
        <v>1</v>
      </c>
      <c r="U22" s="160">
        <f t="shared" ref="U22:U92" si="11">T22*S22</f>
        <v>2.88</v>
      </c>
      <c r="V22" s="282">
        <f t="shared" ref="V22:V91" si="12">R22*C22/100*D22/100*E22/100</f>
        <v>107.8272</v>
      </c>
      <c r="W22" s="176">
        <f t="shared" ref="W22:X22" si="4">C22/100</f>
        <v>0.8</v>
      </c>
      <c r="X22" s="176">
        <f t="shared" si="4"/>
        <v>2.08</v>
      </c>
      <c r="Y22" s="176">
        <f t="shared" ref="Y22:Y92" si="14">U22</f>
        <v>2.88</v>
      </c>
      <c r="Z22" s="283">
        <f t="shared" ref="Z22:Z92" si="15">W22*X22*Y22</f>
        <v>4.79232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2.0</v>
      </c>
      <c r="B23" s="191" t="s">
        <v>76</v>
      </c>
      <c r="C23" s="191">
        <v>91.0</v>
      </c>
      <c r="D23" s="191">
        <v>208.0</v>
      </c>
      <c r="E23" s="191">
        <v>240.0</v>
      </c>
      <c r="F23" s="191">
        <f t="shared" si="5"/>
        <v>0</v>
      </c>
      <c r="G23" s="191">
        <f t="shared" si="6"/>
        <v>102.2112</v>
      </c>
      <c r="H23" s="219">
        <f t="shared" si="7"/>
        <v>102.2112</v>
      </c>
      <c r="I23" s="218">
        <v>1.0</v>
      </c>
      <c r="J23" s="193">
        <f t="shared" si="8"/>
        <v>102.2112</v>
      </c>
      <c r="K23" s="139"/>
      <c r="L23" s="176"/>
      <c r="M23" s="160"/>
      <c r="N23" s="160"/>
      <c r="O23" s="139"/>
      <c r="P23" s="139"/>
      <c r="Q23" s="176"/>
      <c r="R23" s="281">
        <v>22.5</v>
      </c>
      <c r="S23" s="176">
        <f t="shared" si="9"/>
        <v>2.4</v>
      </c>
      <c r="T23" s="160">
        <f t="shared" si="10"/>
        <v>1</v>
      </c>
      <c r="U23" s="160">
        <f t="shared" si="11"/>
        <v>2.4</v>
      </c>
      <c r="V23" s="282">
        <f t="shared" si="12"/>
        <v>102.2112</v>
      </c>
      <c r="W23" s="176">
        <f t="shared" ref="W23:X23" si="13">C23/100</f>
        <v>0.91</v>
      </c>
      <c r="X23" s="176">
        <f t="shared" si="13"/>
        <v>2.08</v>
      </c>
      <c r="Y23" s="176">
        <f t="shared" si="14"/>
        <v>2.4</v>
      </c>
      <c r="Z23" s="283">
        <f t="shared" si="15"/>
        <v>4.54272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3.0</v>
      </c>
      <c r="B24" s="191" t="s">
        <v>76</v>
      </c>
      <c r="C24" s="191">
        <v>102.0</v>
      </c>
      <c r="D24" s="191">
        <v>208.0</v>
      </c>
      <c r="E24" s="191">
        <v>288.0</v>
      </c>
      <c r="F24" s="191">
        <f t="shared" si="5"/>
        <v>0</v>
      </c>
      <c r="G24" s="191">
        <f t="shared" si="6"/>
        <v>137.47968</v>
      </c>
      <c r="H24" s="219">
        <f t="shared" si="7"/>
        <v>137.47968</v>
      </c>
      <c r="I24" s="218">
        <v>1.0</v>
      </c>
      <c r="J24" s="193">
        <f t="shared" si="8"/>
        <v>137.47968</v>
      </c>
      <c r="K24" s="139"/>
      <c r="L24" s="176">
        <f t="shared" ref="L24:L46" si="17">D24*25.4/1000</f>
        <v>5.2832</v>
      </c>
      <c r="M24" s="160">
        <f t="shared" ref="M24:M59" si="18">+I24</f>
        <v>1</v>
      </c>
      <c r="N24" s="160">
        <f t="shared" ref="N24:N46" si="19">M24*L24</f>
        <v>5.2832</v>
      </c>
      <c r="O24" s="139"/>
      <c r="P24" s="139"/>
      <c r="Q24" s="176"/>
      <c r="R24" s="281">
        <v>22.5</v>
      </c>
      <c r="S24" s="176">
        <f t="shared" si="9"/>
        <v>2.88</v>
      </c>
      <c r="T24" s="160">
        <f t="shared" si="10"/>
        <v>1</v>
      </c>
      <c r="U24" s="160">
        <f t="shared" si="11"/>
        <v>2.88</v>
      </c>
      <c r="V24" s="282">
        <f t="shared" si="12"/>
        <v>137.47968</v>
      </c>
      <c r="W24" s="176">
        <f t="shared" ref="W24:X24" si="16">C24/100</f>
        <v>1.02</v>
      </c>
      <c r="X24" s="176">
        <f t="shared" si="16"/>
        <v>2.08</v>
      </c>
      <c r="Y24" s="176">
        <f t="shared" si="14"/>
        <v>2.88</v>
      </c>
      <c r="Z24" s="283">
        <f t="shared" si="15"/>
        <v>6.110208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4.0</v>
      </c>
      <c r="B25" s="191" t="s">
        <v>76</v>
      </c>
      <c r="C25" s="191">
        <v>102.0</v>
      </c>
      <c r="D25" s="191">
        <v>208.0</v>
      </c>
      <c r="E25" s="191">
        <v>289.0</v>
      </c>
      <c r="F25" s="191">
        <f t="shared" si="5"/>
        <v>0</v>
      </c>
      <c r="G25" s="191">
        <f t="shared" si="6"/>
        <v>137.95704</v>
      </c>
      <c r="H25" s="219">
        <f t="shared" si="7"/>
        <v>137.95704</v>
      </c>
      <c r="I25" s="218">
        <v>2.0</v>
      </c>
      <c r="J25" s="193">
        <f t="shared" si="8"/>
        <v>275.91408</v>
      </c>
      <c r="K25" s="139"/>
      <c r="L25" s="176">
        <f t="shared" si="17"/>
        <v>5.2832</v>
      </c>
      <c r="M25" s="160">
        <f t="shared" si="18"/>
        <v>2</v>
      </c>
      <c r="N25" s="160">
        <f t="shared" si="19"/>
        <v>10.5664</v>
      </c>
      <c r="O25" s="139"/>
      <c r="P25" s="139"/>
      <c r="Q25" s="176"/>
      <c r="R25" s="281">
        <v>22.5</v>
      </c>
      <c r="S25" s="176">
        <f t="shared" si="9"/>
        <v>2.89</v>
      </c>
      <c r="T25" s="160">
        <f t="shared" si="10"/>
        <v>2</v>
      </c>
      <c r="U25" s="160">
        <f t="shared" si="11"/>
        <v>5.78</v>
      </c>
      <c r="V25" s="282">
        <f t="shared" si="12"/>
        <v>137.95704</v>
      </c>
      <c r="W25" s="176">
        <f t="shared" ref="W25:X25" si="20">C25/100</f>
        <v>1.02</v>
      </c>
      <c r="X25" s="176">
        <f t="shared" si="20"/>
        <v>2.08</v>
      </c>
      <c r="Y25" s="176">
        <f t="shared" si="14"/>
        <v>5.78</v>
      </c>
      <c r="Z25" s="283">
        <f t="shared" si="15"/>
        <v>12.262848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5.0</v>
      </c>
      <c r="B26" s="191" t="s">
        <v>76</v>
      </c>
      <c r="C26" s="191">
        <v>105.0</v>
      </c>
      <c r="D26" s="191">
        <v>208.0</v>
      </c>
      <c r="E26" s="191">
        <v>288.0</v>
      </c>
      <c r="F26" s="191">
        <f t="shared" si="5"/>
        <v>0</v>
      </c>
      <c r="G26" s="191">
        <f t="shared" si="6"/>
        <v>141.5232</v>
      </c>
      <c r="H26" s="219">
        <f t="shared" si="7"/>
        <v>141.5232</v>
      </c>
      <c r="I26" s="218">
        <v>3.0</v>
      </c>
      <c r="J26" s="193">
        <f t="shared" si="8"/>
        <v>424.5696</v>
      </c>
      <c r="K26" s="139"/>
      <c r="L26" s="176">
        <f t="shared" si="17"/>
        <v>5.2832</v>
      </c>
      <c r="M26" s="160">
        <f t="shared" si="18"/>
        <v>3</v>
      </c>
      <c r="N26" s="160">
        <f t="shared" si="19"/>
        <v>15.8496</v>
      </c>
      <c r="O26" s="139"/>
      <c r="P26" s="139"/>
      <c r="Q26" s="176"/>
      <c r="R26" s="281">
        <v>22.5</v>
      </c>
      <c r="S26" s="176">
        <f t="shared" si="9"/>
        <v>2.88</v>
      </c>
      <c r="T26" s="160">
        <f t="shared" si="10"/>
        <v>3</v>
      </c>
      <c r="U26" s="160">
        <f t="shared" si="11"/>
        <v>8.64</v>
      </c>
      <c r="V26" s="282">
        <f t="shared" si="12"/>
        <v>141.5232</v>
      </c>
      <c r="W26" s="176">
        <f t="shared" ref="W26:X26" si="21">C26/100</f>
        <v>1.05</v>
      </c>
      <c r="X26" s="176">
        <f t="shared" si="21"/>
        <v>2.08</v>
      </c>
      <c r="Y26" s="176">
        <f t="shared" si="14"/>
        <v>8.64</v>
      </c>
      <c r="Z26" s="283">
        <f t="shared" si="15"/>
        <v>18.86976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6.0</v>
      </c>
      <c r="B27" s="191" t="s">
        <v>76</v>
      </c>
      <c r="C27" s="191">
        <v>104.0</v>
      </c>
      <c r="D27" s="191">
        <v>208.0</v>
      </c>
      <c r="E27" s="191">
        <v>288.0</v>
      </c>
      <c r="F27" s="191">
        <f t="shared" si="5"/>
        <v>0</v>
      </c>
      <c r="G27" s="191">
        <f t="shared" si="6"/>
        <v>140.17536</v>
      </c>
      <c r="H27" s="219">
        <f t="shared" si="7"/>
        <v>140.17536</v>
      </c>
      <c r="I27" s="218">
        <v>8.0</v>
      </c>
      <c r="J27" s="193">
        <f t="shared" si="8"/>
        <v>1121.40288</v>
      </c>
      <c r="K27" s="139"/>
      <c r="L27" s="176">
        <f t="shared" si="17"/>
        <v>5.2832</v>
      </c>
      <c r="M27" s="160">
        <f t="shared" si="18"/>
        <v>8</v>
      </c>
      <c r="N27" s="160">
        <f t="shared" si="19"/>
        <v>42.2656</v>
      </c>
      <c r="O27" s="139"/>
      <c r="P27" s="139"/>
      <c r="Q27" s="176"/>
      <c r="R27" s="281">
        <v>22.5</v>
      </c>
      <c r="S27" s="176">
        <f t="shared" si="9"/>
        <v>2.88</v>
      </c>
      <c r="T27" s="160">
        <f t="shared" si="10"/>
        <v>8</v>
      </c>
      <c r="U27" s="160">
        <f t="shared" si="11"/>
        <v>23.04</v>
      </c>
      <c r="V27" s="282">
        <f t="shared" si="12"/>
        <v>140.17536</v>
      </c>
      <c r="W27" s="176">
        <f t="shared" ref="W27:X27" si="22">C27/100</f>
        <v>1.04</v>
      </c>
      <c r="X27" s="176">
        <f t="shared" si="22"/>
        <v>2.08</v>
      </c>
      <c r="Y27" s="176">
        <f t="shared" si="14"/>
        <v>23.04</v>
      </c>
      <c r="Z27" s="283">
        <f t="shared" si="15"/>
        <v>49.840128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7.0</v>
      </c>
      <c r="B28" s="191" t="s">
        <v>76</v>
      </c>
      <c r="C28" s="191">
        <v>103.0</v>
      </c>
      <c r="D28" s="191">
        <v>208.0</v>
      </c>
      <c r="E28" s="191">
        <v>287.0</v>
      </c>
      <c r="F28" s="191">
        <f t="shared" si="5"/>
        <v>0</v>
      </c>
      <c r="G28" s="191">
        <f t="shared" si="6"/>
        <v>138.34548</v>
      </c>
      <c r="H28" s="219">
        <f t="shared" si="7"/>
        <v>138.34548</v>
      </c>
      <c r="I28" s="218">
        <v>1.0</v>
      </c>
      <c r="J28" s="193">
        <f t="shared" si="8"/>
        <v>138.34548</v>
      </c>
      <c r="K28" s="139"/>
      <c r="L28" s="176">
        <f t="shared" si="17"/>
        <v>5.2832</v>
      </c>
      <c r="M28" s="160">
        <f t="shared" si="18"/>
        <v>1</v>
      </c>
      <c r="N28" s="160">
        <f t="shared" si="19"/>
        <v>5.2832</v>
      </c>
      <c r="O28" s="139"/>
      <c r="P28" s="139"/>
      <c r="Q28" s="176"/>
      <c r="R28" s="281">
        <v>22.5</v>
      </c>
      <c r="S28" s="176">
        <f t="shared" si="9"/>
        <v>2.87</v>
      </c>
      <c r="T28" s="160">
        <f t="shared" si="10"/>
        <v>1</v>
      </c>
      <c r="U28" s="160">
        <f t="shared" si="11"/>
        <v>2.87</v>
      </c>
      <c r="V28" s="282">
        <f t="shared" si="12"/>
        <v>138.34548</v>
      </c>
      <c r="W28" s="176">
        <f t="shared" ref="W28:X28" si="23">C28/100</f>
        <v>1.03</v>
      </c>
      <c r="X28" s="176">
        <f t="shared" si="23"/>
        <v>2.08</v>
      </c>
      <c r="Y28" s="176">
        <f t="shared" si="14"/>
        <v>2.87</v>
      </c>
      <c r="Z28" s="283">
        <f t="shared" si="15"/>
        <v>6.148688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8.0</v>
      </c>
      <c r="B29" s="191" t="s">
        <v>76</v>
      </c>
      <c r="C29" s="191">
        <v>103.0</v>
      </c>
      <c r="D29" s="191">
        <v>208.0</v>
      </c>
      <c r="E29" s="191">
        <v>288.0</v>
      </c>
      <c r="F29" s="191">
        <f t="shared" si="5"/>
        <v>0</v>
      </c>
      <c r="G29" s="191">
        <f t="shared" si="6"/>
        <v>138.82752</v>
      </c>
      <c r="H29" s="219">
        <f t="shared" si="7"/>
        <v>138.82752</v>
      </c>
      <c r="I29" s="218">
        <v>12.0</v>
      </c>
      <c r="J29" s="193">
        <f t="shared" si="8"/>
        <v>1665.93024</v>
      </c>
      <c r="K29" s="139"/>
      <c r="L29" s="176">
        <f t="shared" si="17"/>
        <v>5.2832</v>
      </c>
      <c r="M29" s="160">
        <f t="shared" si="18"/>
        <v>12</v>
      </c>
      <c r="N29" s="160">
        <f t="shared" si="19"/>
        <v>63.3984</v>
      </c>
      <c r="O29" s="139"/>
      <c r="P29" s="139"/>
      <c r="Q29" s="176"/>
      <c r="R29" s="281">
        <v>22.5</v>
      </c>
      <c r="S29" s="176">
        <f t="shared" si="9"/>
        <v>2.88</v>
      </c>
      <c r="T29" s="160">
        <f t="shared" si="10"/>
        <v>12</v>
      </c>
      <c r="U29" s="160">
        <f t="shared" si="11"/>
        <v>34.56</v>
      </c>
      <c r="V29" s="282">
        <f t="shared" si="12"/>
        <v>138.82752</v>
      </c>
      <c r="W29" s="176">
        <f t="shared" ref="W29:X29" si="24">C29/100</f>
        <v>1.03</v>
      </c>
      <c r="X29" s="176">
        <f t="shared" si="24"/>
        <v>2.08</v>
      </c>
      <c r="Y29" s="176">
        <f t="shared" si="14"/>
        <v>34.56</v>
      </c>
      <c r="Z29" s="283">
        <f t="shared" si="15"/>
        <v>74.041344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9.0</v>
      </c>
      <c r="B30" s="191" t="s">
        <v>76</v>
      </c>
      <c r="C30" s="191">
        <v>102.0</v>
      </c>
      <c r="D30" s="191">
        <v>208.0</v>
      </c>
      <c r="E30" s="191">
        <v>288.0</v>
      </c>
      <c r="F30" s="191">
        <f t="shared" si="5"/>
        <v>0</v>
      </c>
      <c r="G30" s="191">
        <f t="shared" si="6"/>
        <v>137.47968</v>
      </c>
      <c r="H30" s="219">
        <f t="shared" si="7"/>
        <v>137.47968</v>
      </c>
      <c r="I30" s="218">
        <v>3.0</v>
      </c>
      <c r="J30" s="193">
        <f t="shared" si="8"/>
        <v>412.43904</v>
      </c>
      <c r="K30" s="139"/>
      <c r="L30" s="176">
        <f t="shared" si="17"/>
        <v>5.2832</v>
      </c>
      <c r="M30" s="160">
        <f t="shared" si="18"/>
        <v>3</v>
      </c>
      <c r="N30" s="160">
        <f t="shared" si="19"/>
        <v>15.8496</v>
      </c>
      <c r="O30" s="139"/>
      <c r="P30" s="139"/>
      <c r="Q30" s="176"/>
      <c r="R30" s="281">
        <v>22.5</v>
      </c>
      <c r="S30" s="176">
        <f t="shared" si="9"/>
        <v>2.88</v>
      </c>
      <c r="T30" s="160">
        <f t="shared" si="10"/>
        <v>3</v>
      </c>
      <c r="U30" s="160">
        <f t="shared" si="11"/>
        <v>8.64</v>
      </c>
      <c r="V30" s="282">
        <f t="shared" si="12"/>
        <v>137.47968</v>
      </c>
      <c r="W30" s="176">
        <f t="shared" ref="W30:X30" si="25">C30/100</f>
        <v>1.02</v>
      </c>
      <c r="X30" s="176">
        <f t="shared" si="25"/>
        <v>2.08</v>
      </c>
      <c r="Y30" s="176">
        <f t="shared" si="14"/>
        <v>8.64</v>
      </c>
      <c r="Z30" s="283">
        <f t="shared" si="15"/>
        <v>18.330624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10.0</v>
      </c>
      <c r="B31" s="191" t="s">
        <v>76</v>
      </c>
      <c r="C31" s="191">
        <v>97.0</v>
      </c>
      <c r="D31" s="191">
        <v>208.0</v>
      </c>
      <c r="E31" s="191">
        <v>288.0</v>
      </c>
      <c r="F31" s="191">
        <f t="shared" si="5"/>
        <v>0</v>
      </c>
      <c r="G31" s="191">
        <f t="shared" si="6"/>
        <v>130.74048</v>
      </c>
      <c r="H31" s="219">
        <f t="shared" si="7"/>
        <v>130.74048</v>
      </c>
      <c r="I31" s="218">
        <v>1.0</v>
      </c>
      <c r="J31" s="193">
        <f t="shared" si="8"/>
        <v>130.74048</v>
      </c>
      <c r="K31" s="139"/>
      <c r="L31" s="176">
        <f t="shared" si="17"/>
        <v>5.2832</v>
      </c>
      <c r="M31" s="160">
        <f t="shared" si="18"/>
        <v>1</v>
      </c>
      <c r="N31" s="160">
        <f t="shared" si="19"/>
        <v>5.2832</v>
      </c>
      <c r="O31" s="139"/>
      <c r="P31" s="139"/>
      <c r="Q31" s="176"/>
      <c r="R31" s="281">
        <v>22.5</v>
      </c>
      <c r="S31" s="176">
        <f t="shared" si="9"/>
        <v>2.88</v>
      </c>
      <c r="T31" s="160">
        <f t="shared" si="10"/>
        <v>1</v>
      </c>
      <c r="U31" s="160">
        <f t="shared" si="11"/>
        <v>2.88</v>
      </c>
      <c r="V31" s="282">
        <f t="shared" si="12"/>
        <v>130.74048</v>
      </c>
      <c r="W31" s="176">
        <f t="shared" ref="W31:X31" si="26">C31/100</f>
        <v>0.97</v>
      </c>
      <c r="X31" s="176">
        <f t="shared" si="26"/>
        <v>2.08</v>
      </c>
      <c r="Y31" s="176">
        <f t="shared" si="14"/>
        <v>2.88</v>
      </c>
      <c r="Z31" s="283">
        <f t="shared" si="15"/>
        <v>5.810688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11.0</v>
      </c>
      <c r="B32" s="182" t="s">
        <v>64</v>
      </c>
      <c r="C32" s="183">
        <v>92.0</v>
      </c>
      <c r="D32" s="183">
        <v>215.0</v>
      </c>
      <c r="E32" s="183">
        <v>241.0</v>
      </c>
      <c r="F32" s="183">
        <f t="shared" si="5"/>
        <v>0.8</v>
      </c>
      <c r="G32" s="183">
        <f t="shared" si="6"/>
        <v>140.62591</v>
      </c>
      <c r="H32" s="184">
        <f t="shared" si="7"/>
        <v>112.500728</v>
      </c>
      <c r="I32" s="183">
        <v>1.0</v>
      </c>
      <c r="J32" s="193">
        <f t="shared" si="8"/>
        <v>112.500728</v>
      </c>
      <c r="K32" s="139"/>
      <c r="L32" s="176">
        <f t="shared" si="17"/>
        <v>5.461</v>
      </c>
      <c r="M32" s="160">
        <f t="shared" si="18"/>
        <v>1</v>
      </c>
      <c r="N32" s="160">
        <f t="shared" si="19"/>
        <v>5.461</v>
      </c>
      <c r="O32" s="139"/>
      <c r="P32" s="139"/>
      <c r="Q32" s="176"/>
      <c r="R32" s="281">
        <v>29.5</v>
      </c>
      <c r="S32" s="176">
        <f t="shared" si="9"/>
        <v>2.41</v>
      </c>
      <c r="T32" s="160">
        <f t="shared" si="10"/>
        <v>1</v>
      </c>
      <c r="U32" s="160">
        <f t="shared" si="11"/>
        <v>2.41</v>
      </c>
      <c r="V32" s="282">
        <f t="shared" si="12"/>
        <v>140.62591</v>
      </c>
      <c r="W32" s="176">
        <f t="shared" ref="W32:X32" si="27">C32/100</f>
        <v>0.92</v>
      </c>
      <c r="X32" s="176">
        <f t="shared" si="27"/>
        <v>2.15</v>
      </c>
      <c r="Y32" s="176">
        <f t="shared" si="14"/>
        <v>2.41</v>
      </c>
      <c r="Z32" s="283">
        <f t="shared" si="15"/>
        <v>4.76698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12.0</v>
      </c>
      <c r="B33" s="191" t="s">
        <v>55</v>
      </c>
      <c r="C33" s="191">
        <v>97.0</v>
      </c>
      <c r="D33" s="191">
        <v>215.0</v>
      </c>
      <c r="E33" s="191">
        <v>240.0</v>
      </c>
      <c r="F33" s="191">
        <f t="shared" si="5"/>
        <v>0</v>
      </c>
      <c r="G33" s="191">
        <f t="shared" si="6"/>
        <v>147.6534</v>
      </c>
      <c r="H33" s="219">
        <f t="shared" si="7"/>
        <v>147.6534</v>
      </c>
      <c r="I33" s="218">
        <v>1.0</v>
      </c>
      <c r="J33" s="193">
        <f t="shared" si="8"/>
        <v>147.6534</v>
      </c>
      <c r="K33" s="139"/>
      <c r="L33" s="176">
        <f t="shared" si="17"/>
        <v>5.461</v>
      </c>
      <c r="M33" s="160">
        <f t="shared" si="18"/>
        <v>1</v>
      </c>
      <c r="N33" s="160">
        <f t="shared" si="19"/>
        <v>5.461</v>
      </c>
      <c r="O33" s="139"/>
      <c r="P33" s="139"/>
      <c r="Q33" s="176"/>
      <c r="R33" s="281">
        <v>29.5</v>
      </c>
      <c r="S33" s="176">
        <f t="shared" si="9"/>
        <v>2.4</v>
      </c>
      <c r="T33" s="160">
        <f t="shared" si="10"/>
        <v>1</v>
      </c>
      <c r="U33" s="160">
        <f t="shared" si="11"/>
        <v>2.4</v>
      </c>
      <c r="V33" s="282">
        <f t="shared" si="12"/>
        <v>147.6534</v>
      </c>
      <c r="W33" s="176">
        <f t="shared" ref="W33:X33" si="28">C33/100</f>
        <v>0.97</v>
      </c>
      <c r="X33" s="176">
        <f t="shared" si="28"/>
        <v>2.15</v>
      </c>
      <c r="Y33" s="176">
        <f t="shared" si="14"/>
        <v>2.4</v>
      </c>
      <c r="Z33" s="283">
        <f t="shared" si="15"/>
        <v>5.0052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13.0</v>
      </c>
      <c r="B34" s="191" t="s">
        <v>55</v>
      </c>
      <c r="C34" s="191">
        <v>97.0</v>
      </c>
      <c r="D34" s="191">
        <v>215.0</v>
      </c>
      <c r="E34" s="191">
        <v>214.0</v>
      </c>
      <c r="F34" s="191">
        <f t="shared" si="5"/>
        <v>0</v>
      </c>
      <c r="G34" s="191">
        <f t="shared" si="6"/>
        <v>131.657615</v>
      </c>
      <c r="H34" s="219">
        <f t="shared" si="7"/>
        <v>131.657615</v>
      </c>
      <c r="I34" s="218">
        <v>5.0</v>
      </c>
      <c r="J34" s="193">
        <f t="shared" si="8"/>
        <v>658.288075</v>
      </c>
      <c r="K34" s="139"/>
      <c r="L34" s="176">
        <f t="shared" si="17"/>
        <v>5.461</v>
      </c>
      <c r="M34" s="160">
        <f t="shared" si="18"/>
        <v>5</v>
      </c>
      <c r="N34" s="160">
        <f t="shared" si="19"/>
        <v>27.305</v>
      </c>
      <c r="O34" s="139"/>
      <c r="P34" s="139"/>
      <c r="Q34" s="176"/>
      <c r="R34" s="281">
        <v>29.5</v>
      </c>
      <c r="S34" s="176">
        <f t="shared" si="9"/>
        <v>2.14</v>
      </c>
      <c r="T34" s="160">
        <f t="shared" si="10"/>
        <v>5</v>
      </c>
      <c r="U34" s="160">
        <f t="shared" si="11"/>
        <v>10.7</v>
      </c>
      <c r="V34" s="282">
        <f t="shared" si="12"/>
        <v>131.657615</v>
      </c>
      <c r="W34" s="176">
        <f t="shared" ref="W34:X34" si="29">C34/100</f>
        <v>0.97</v>
      </c>
      <c r="X34" s="176">
        <f t="shared" si="29"/>
        <v>2.15</v>
      </c>
      <c r="Y34" s="176">
        <f t="shared" si="14"/>
        <v>10.7</v>
      </c>
      <c r="Z34" s="283">
        <f t="shared" si="15"/>
        <v>22.31485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14.0</v>
      </c>
      <c r="B35" s="191" t="s">
        <v>55</v>
      </c>
      <c r="C35" s="191">
        <v>96.0</v>
      </c>
      <c r="D35" s="191">
        <v>215.0</v>
      </c>
      <c r="E35" s="191">
        <v>215.0</v>
      </c>
      <c r="F35" s="191">
        <f t="shared" si="5"/>
        <v>0</v>
      </c>
      <c r="G35" s="191">
        <f t="shared" si="6"/>
        <v>130.9092</v>
      </c>
      <c r="H35" s="219">
        <f t="shared" si="7"/>
        <v>130.9092</v>
      </c>
      <c r="I35" s="218">
        <v>11.0</v>
      </c>
      <c r="J35" s="193">
        <f t="shared" si="8"/>
        <v>1440.0012</v>
      </c>
      <c r="K35" s="139"/>
      <c r="L35" s="176">
        <f t="shared" si="17"/>
        <v>5.461</v>
      </c>
      <c r="M35" s="160">
        <f t="shared" si="18"/>
        <v>11</v>
      </c>
      <c r="N35" s="160">
        <f t="shared" si="19"/>
        <v>60.071</v>
      </c>
      <c r="O35" s="139"/>
      <c r="P35" s="139"/>
      <c r="Q35" s="176"/>
      <c r="R35" s="281">
        <v>29.5</v>
      </c>
      <c r="S35" s="176">
        <f t="shared" si="9"/>
        <v>2.15</v>
      </c>
      <c r="T35" s="160">
        <f t="shared" si="10"/>
        <v>11</v>
      </c>
      <c r="U35" s="160">
        <f t="shared" si="11"/>
        <v>23.65</v>
      </c>
      <c r="V35" s="282">
        <f t="shared" si="12"/>
        <v>130.9092</v>
      </c>
      <c r="W35" s="176">
        <f t="shared" ref="W35:X35" si="30">C35/100</f>
        <v>0.96</v>
      </c>
      <c r="X35" s="176">
        <f t="shared" si="30"/>
        <v>2.15</v>
      </c>
      <c r="Y35" s="176">
        <f t="shared" si="14"/>
        <v>23.65</v>
      </c>
      <c r="Z35" s="283">
        <f t="shared" si="15"/>
        <v>48.8136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15.0</v>
      </c>
      <c r="B36" s="191" t="s">
        <v>55</v>
      </c>
      <c r="C36" s="191">
        <v>97.0</v>
      </c>
      <c r="D36" s="191">
        <v>215.0</v>
      </c>
      <c r="E36" s="191">
        <v>215.0</v>
      </c>
      <c r="F36" s="191">
        <f t="shared" si="5"/>
        <v>0</v>
      </c>
      <c r="G36" s="191">
        <f t="shared" si="6"/>
        <v>132.2728375</v>
      </c>
      <c r="H36" s="219">
        <f t="shared" si="7"/>
        <v>132.2728375</v>
      </c>
      <c r="I36" s="218">
        <v>10.0</v>
      </c>
      <c r="J36" s="193">
        <f t="shared" si="8"/>
        <v>1322.728375</v>
      </c>
      <c r="K36" s="139"/>
      <c r="L36" s="176">
        <f t="shared" si="17"/>
        <v>5.461</v>
      </c>
      <c r="M36" s="160">
        <f t="shared" si="18"/>
        <v>10</v>
      </c>
      <c r="N36" s="160">
        <f t="shared" si="19"/>
        <v>54.61</v>
      </c>
      <c r="O36" s="139"/>
      <c r="P36" s="139"/>
      <c r="Q36" s="176"/>
      <c r="R36" s="281">
        <v>29.5</v>
      </c>
      <c r="S36" s="176">
        <f t="shared" si="9"/>
        <v>2.15</v>
      </c>
      <c r="T36" s="160">
        <f t="shared" si="10"/>
        <v>10</v>
      </c>
      <c r="U36" s="160">
        <f t="shared" si="11"/>
        <v>21.5</v>
      </c>
      <c r="V36" s="282">
        <f t="shared" si="12"/>
        <v>132.2728375</v>
      </c>
      <c r="W36" s="176">
        <f t="shared" ref="W36:X36" si="31">C36/100</f>
        <v>0.97</v>
      </c>
      <c r="X36" s="176">
        <f t="shared" si="31"/>
        <v>2.15</v>
      </c>
      <c r="Y36" s="176">
        <f t="shared" si="14"/>
        <v>21.5</v>
      </c>
      <c r="Z36" s="283">
        <f t="shared" si="15"/>
        <v>44.83825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16.0</v>
      </c>
      <c r="B37" s="191" t="s">
        <v>55</v>
      </c>
      <c r="C37" s="191">
        <v>95.0</v>
      </c>
      <c r="D37" s="191">
        <v>215.0</v>
      </c>
      <c r="E37" s="191">
        <v>215.0</v>
      </c>
      <c r="F37" s="191">
        <f t="shared" si="5"/>
        <v>0</v>
      </c>
      <c r="G37" s="191">
        <f t="shared" si="6"/>
        <v>129.5455625</v>
      </c>
      <c r="H37" s="219">
        <f t="shared" si="7"/>
        <v>129.5455625</v>
      </c>
      <c r="I37" s="218">
        <v>1.0</v>
      </c>
      <c r="J37" s="193">
        <f t="shared" si="8"/>
        <v>129.5455625</v>
      </c>
      <c r="K37" s="139"/>
      <c r="L37" s="176">
        <f t="shared" si="17"/>
        <v>5.461</v>
      </c>
      <c r="M37" s="160">
        <f t="shared" si="18"/>
        <v>1</v>
      </c>
      <c r="N37" s="160">
        <f t="shared" si="19"/>
        <v>5.461</v>
      </c>
      <c r="O37" s="139"/>
      <c r="P37" s="139"/>
      <c r="Q37" s="176"/>
      <c r="R37" s="281">
        <v>29.5</v>
      </c>
      <c r="S37" s="176">
        <f t="shared" si="9"/>
        <v>2.15</v>
      </c>
      <c r="T37" s="160">
        <f t="shared" si="10"/>
        <v>1</v>
      </c>
      <c r="U37" s="160">
        <f t="shared" si="11"/>
        <v>2.15</v>
      </c>
      <c r="V37" s="282">
        <f t="shared" si="12"/>
        <v>129.5455625</v>
      </c>
      <c r="W37" s="176">
        <f t="shared" ref="W37:X37" si="32">C37/100</f>
        <v>0.95</v>
      </c>
      <c r="X37" s="176">
        <f t="shared" si="32"/>
        <v>2.15</v>
      </c>
      <c r="Y37" s="176">
        <f t="shared" si="14"/>
        <v>2.15</v>
      </c>
      <c r="Z37" s="283">
        <f t="shared" si="15"/>
        <v>4.391375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17.0</v>
      </c>
      <c r="B38" s="191" t="s">
        <v>55</v>
      </c>
      <c r="C38" s="191">
        <v>96.0</v>
      </c>
      <c r="D38" s="191">
        <v>215.0</v>
      </c>
      <c r="E38" s="191">
        <v>214.0</v>
      </c>
      <c r="F38" s="191">
        <f t="shared" si="5"/>
        <v>0</v>
      </c>
      <c r="G38" s="191">
        <f t="shared" si="6"/>
        <v>130.30032</v>
      </c>
      <c r="H38" s="219">
        <f t="shared" si="7"/>
        <v>130.30032</v>
      </c>
      <c r="I38" s="218">
        <v>3.0</v>
      </c>
      <c r="J38" s="193">
        <f t="shared" si="8"/>
        <v>390.90096</v>
      </c>
      <c r="K38" s="139"/>
      <c r="L38" s="176">
        <f t="shared" si="17"/>
        <v>5.461</v>
      </c>
      <c r="M38" s="160">
        <f t="shared" si="18"/>
        <v>3</v>
      </c>
      <c r="N38" s="160">
        <f t="shared" si="19"/>
        <v>16.383</v>
      </c>
      <c r="O38" s="139"/>
      <c r="P38" s="139"/>
      <c r="Q38" s="176"/>
      <c r="R38" s="281">
        <v>29.5</v>
      </c>
      <c r="S38" s="176">
        <f t="shared" si="9"/>
        <v>2.14</v>
      </c>
      <c r="T38" s="160">
        <f t="shared" si="10"/>
        <v>3</v>
      </c>
      <c r="U38" s="160">
        <f t="shared" si="11"/>
        <v>6.42</v>
      </c>
      <c r="V38" s="282">
        <f t="shared" si="12"/>
        <v>130.30032</v>
      </c>
      <c r="W38" s="176">
        <f t="shared" ref="W38:X38" si="33">C38/100</f>
        <v>0.96</v>
      </c>
      <c r="X38" s="176">
        <f t="shared" si="33"/>
        <v>2.15</v>
      </c>
      <c r="Y38" s="176">
        <f t="shared" si="14"/>
        <v>6.42</v>
      </c>
      <c r="Z38" s="283">
        <f t="shared" si="15"/>
        <v>13.25088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18.0</v>
      </c>
      <c r="B39" s="191" t="s">
        <v>55</v>
      </c>
      <c r="C39" s="191">
        <v>82.0</v>
      </c>
      <c r="D39" s="191">
        <v>215.0</v>
      </c>
      <c r="E39" s="191">
        <v>270.0</v>
      </c>
      <c r="F39" s="191">
        <f t="shared" si="5"/>
        <v>0</v>
      </c>
      <c r="G39" s="191">
        <f t="shared" si="6"/>
        <v>140.42295</v>
      </c>
      <c r="H39" s="219">
        <f t="shared" si="7"/>
        <v>140.42295</v>
      </c>
      <c r="I39" s="218">
        <v>1.0</v>
      </c>
      <c r="J39" s="193">
        <f t="shared" si="8"/>
        <v>140.42295</v>
      </c>
      <c r="K39" s="139"/>
      <c r="L39" s="176">
        <f t="shared" si="17"/>
        <v>5.461</v>
      </c>
      <c r="M39" s="160">
        <f t="shared" si="18"/>
        <v>1</v>
      </c>
      <c r="N39" s="160">
        <f t="shared" si="19"/>
        <v>5.461</v>
      </c>
      <c r="O39" s="139"/>
      <c r="P39" s="139"/>
      <c r="Q39" s="176"/>
      <c r="R39" s="281">
        <v>29.5</v>
      </c>
      <c r="S39" s="176">
        <f t="shared" si="9"/>
        <v>2.7</v>
      </c>
      <c r="T39" s="160">
        <f t="shared" si="10"/>
        <v>1</v>
      </c>
      <c r="U39" s="160">
        <f t="shared" si="11"/>
        <v>2.7</v>
      </c>
      <c r="V39" s="282">
        <f t="shared" si="12"/>
        <v>140.42295</v>
      </c>
      <c r="W39" s="176">
        <f t="shared" ref="W39:X39" si="34">C39/100</f>
        <v>0.82</v>
      </c>
      <c r="X39" s="176">
        <f t="shared" si="34"/>
        <v>2.15</v>
      </c>
      <c r="Y39" s="176">
        <f t="shared" si="14"/>
        <v>2.7</v>
      </c>
      <c r="Z39" s="283">
        <f t="shared" si="15"/>
        <v>4.7601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19.0</v>
      </c>
      <c r="B40" s="191" t="s">
        <v>55</v>
      </c>
      <c r="C40" s="191">
        <v>93.0</v>
      </c>
      <c r="D40" s="191">
        <v>215.0</v>
      </c>
      <c r="E40" s="191">
        <v>214.0</v>
      </c>
      <c r="F40" s="191">
        <f t="shared" si="5"/>
        <v>0</v>
      </c>
      <c r="G40" s="191">
        <f t="shared" si="6"/>
        <v>126.228435</v>
      </c>
      <c r="H40" s="219">
        <f t="shared" si="7"/>
        <v>126.228435</v>
      </c>
      <c r="I40" s="218">
        <v>1.0</v>
      </c>
      <c r="J40" s="193">
        <f t="shared" si="8"/>
        <v>126.228435</v>
      </c>
      <c r="K40" s="139"/>
      <c r="L40" s="176">
        <f t="shared" si="17"/>
        <v>5.461</v>
      </c>
      <c r="M40" s="160">
        <f t="shared" si="18"/>
        <v>1</v>
      </c>
      <c r="N40" s="160">
        <f t="shared" si="19"/>
        <v>5.461</v>
      </c>
      <c r="O40" s="139"/>
      <c r="P40" s="139"/>
      <c r="Q40" s="176"/>
      <c r="R40" s="281">
        <v>29.5</v>
      </c>
      <c r="S40" s="176">
        <f t="shared" si="9"/>
        <v>2.14</v>
      </c>
      <c r="T40" s="160">
        <f t="shared" si="10"/>
        <v>1</v>
      </c>
      <c r="U40" s="160">
        <f t="shared" si="11"/>
        <v>2.14</v>
      </c>
      <c r="V40" s="282">
        <f t="shared" si="12"/>
        <v>126.228435</v>
      </c>
      <c r="W40" s="176">
        <f t="shared" ref="W40:X40" si="35">C40/100</f>
        <v>0.93</v>
      </c>
      <c r="X40" s="176">
        <f t="shared" si="35"/>
        <v>2.15</v>
      </c>
      <c r="Y40" s="176">
        <f t="shared" si="14"/>
        <v>2.14</v>
      </c>
      <c r="Z40" s="283">
        <f t="shared" si="15"/>
        <v>4.27893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20.0</v>
      </c>
      <c r="B41" s="191" t="s">
        <v>55</v>
      </c>
      <c r="C41" s="191">
        <v>95.0</v>
      </c>
      <c r="D41" s="191">
        <v>215.0</v>
      </c>
      <c r="E41" s="191">
        <v>214.0</v>
      </c>
      <c r="F41" s="191">
        <f t="shared" si="5"/>
        <v>0</v>
      </c>
      <c r="G41" s="191">
        <f t="shared" si="6"/>
        <v>128.943025</v>
      </c>
      <c r="H41" s="219">
        <f t="shared" si="7"/>
        <v>128.943025</v>
      </c>
      <c r="I41" s="218">
        <v>1.0</v>
      </c>
      <c r="J41" s="193">
        <f t="shared" si="8"/>
        <v>128.943025</v>
      </c>
      <c r="K41" s="139"/>
      <c r="L41" s="176">
        <f t="shared" si="17"/>
        <v>5.461</v>
      </c>
      <c r="M41" s="160">
        <f t="shared" si="18"/>
        <v>1</v>
      </c>
      <c r="N41" s="160">
        <f t="shared" si="19"/>
        <v>5.461</v>
      </c>
      <c r="O41" s="139"/>
      <c r="P41" s="139"/>
      <c r="Q41" s="176"/>
      <c r="R41" s="281">
        <v>29.5</v>
      </c>
      <c r="S41" s="176">
        <f t="shared" si="9"/>
        <v>2.14</v>
      </c>
      <c r="T41" s="160">
        <f t="shared" si="10"/>
        <v>1</v>
      </c>
      <c r="U41" s="160">
        <f t="shared" si="11"/>
        <v>2.14</v>
      </c>
      <c r="V41" s="282">
        <f t="shared" si="12"/>
        <v>128.943025</v>
      </c>
      <c r="W41" s="176">
        <f t="shared" ref="W41:X41" si="36">C41/100</f>
        <v>0.95</v>
      </c>
      <c r="X41" s="176">
        <f t="shared" si="36"/>
        <v>2.15</v>
      </c>
      <c r="Y41" s="176">
        <f t="shared" si="14"/>
        <v>2.14</v>
      </c>
      <c r="Z41" s="283">
        <f t="shared" si="15"/>
        <v>4.37095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21.0</v>
      </c>
      <c r="B42" s="191" t="s">
        <v>55</v>
      </c>
      <c r="C42" s="191">
        <v>98.0</v>
      </c>
      <c r="D42" s="191">
        <v>215.0</v>
      </c>
      <c r="E42" s="191">
        <v>215.0</v>
      </c>
      <c r="F42" s="191">
        <f t="shared" si="5"/>
        <v>0</v>
      </c>
      <c r="G42" s="191">
        <f t="shared" si="6"/>
        <v>133.636475</v>
      </c>
      <c r="H42" s="219">
        <f t="shared" si="7"/>
        <v>133.636475</v>
      </c>
      <c r="I42" s="218">
        <v>1.0</v>
      </c>
      <c r="J42" s="193">
        <f t="shared" si="8"/>
        <v>133.636475</v>
      </c>
      <c r="K42" s="139"/>
      <c r="L42" s="176">
        <f t="shared" si="17"/>
        <v>5.461</v>
      </c>
      <c r="M42" s="160">
        <f t="shared" si="18"/>
        <v>1</v>
      </c>
      <c r="N42" s="160">
        <f t="shared" si="19"/>
        <v>5.461</v>
      </c>
      <c r="O42" s="139"/>
      <c r="P42" s="139"/>
      <c r="Q42" s="176"/>
      <c r="R42" s="281">
        <v>29.5</v>
      </c>
      <c r="S42" s="176">
        <f t="shared" si="9"/>
        <v>2.15</v>
      </c>
      <c r="T42" s="160">
        <f t="shared" si="10"/>
        <v>1</v>
      </c>
      <c r="U42" s="160">
        <f t="shared" si="11"/>
        <v>2.15</v>
      </c>
      <c r="V42" s="282">
        <f t="shared" si="12"/>
        <v>133.636475</v>
      </c>
      <c r="W42" s="176">
        <f t="shared" ref="W42:X42" si="37">C42/100</f>
        <v>0.98</v>
      </c>
      <c r="X42" s="176">
        <f t="shared" si="37"/>
        <v>2.15</v>
      </c>
      <c r="Y42" s="176">
        <f t="shared" si="14"/>
        <v>2.15</v>
      </c>
      <c r="Z42" s="283">
        <f t="shared" si="15"/>
        <v>4.53005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22.0</v>
      </c>
      <c r="B43" s="191" t="s">
        <v>55</v>
      </c>
      <c r="C43" s="191">
        <v>95.0</v>
      </c>
      <c r="D43" s="191">
        <v>215.0</v>
      </c>
      <c r="E43" s="191">
        <v>243.0</v>
      </c>
      <c r="F43" s="191">
        <f t="shared" si="5"/>
        <v>0</v>
      </c>
      <c r="G43" s="191">
        <f t="shared" si="6"/>
        <v>146.4166125</v>
      </c>
      <c r="H43" s="219">
        <f t="shared" si="7"/>
        <v>146.4166125</v>
      </c>
      <c r="I43" s="218">
        <v>1.0</v>
      </c>
      <c r="J43" s="193">
        <f t="shared" si="8"/>
        <v>146.4166125</v>
      </c>
      <c r="K43" s="139"/>
      <c r="L43" s="176">
        <f t="shared" si="17"/>
        <v>5.461</v>
      </c>
      <c r="M43" s="160">
        <f t="shared" si="18"/>
        <v>1</v>
      </c>
      <c r="N43" s="160">
        <f t="shared" si="19"/>
        <v>5.461</v>
      </c>
      <c r="O43" s="139"/>
      <c r="P43" s="139"/>
      <c r="Q43" s="176"/>
      <c r="R43" s="281">
        <v>29.5</v>
      </c>
      <c r="S43" s="176">
        <f t="shared" si="9"/>
        <v>2.43</v>
      </c>
      <c r="T43" s="160">
        <f t="shared" si="10"/>
        <v>1</v>
      </c>
      <c r="U43" s="160">
        <f t="shared" si="11"/>
        <v>2.43</v>
      </c>
      <c r="V43" s="282">
        <f t="shared" si="12"/>
        <v>146.4166125</v>
      </c>
      <c r="W43" s="176">
        <f t="shared" ref="W43:X43" si="38">C43/100</f>
        <v>0.95</v>
      </c>
      <c r="X43" s="176">
        <f t="shared" si="38"/>
        <v>2.15</v>
      </c>
      <c r="Y43" s="176">
        <f t="shared" si="14"/>
        <v>2.43</v>
      </c>
      <c r="Z43" s="283">
        <f t="shared" si="15"/>
        <v>4.963275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23.0</v>
      </c>
      <c r="B44" s="182" t="s">
        <v>80</v>
      </c>
      <c r="C44" s="183">
        <v>89.0</v>
      </c>
      <c r="D44" s="183">
        <v>205.0</v>
      </c>
      <c r="E44" s="183">
        <v>207.0</v>
      </c>
      <c r="F44" s="183">
        <f t="shared" si="5"/>
        <v>0.8</v>
      </c>
      <c r="G44" s="183">
        <f t="shared" si="6"/>
        <v>62.3157975</v>
      </c>
      <c r="H44" s="184">
        <f t="shared" si="7"/>
        <v>49.852638</v>
      </c>
      <c r="I44" s="183">
        <v>1.0</v>
      </c>
      <c r="J44" s="193">
        <f t="shared" si="8"/>
        <v>49.852638</v>
      </c>
      <c r="K44" s="139"/>
      <c r="L44" s="176">
        <f t="shared" si="17"/>
        <v>5.207</v>
      </c>
      <c r="M44" s="160">
        <f t="shared" si="18"/>
        <v>1</v>
      </c>
      <c r="N44" s="160">
        <f t="shared" si="19"/>
        <v>5.207</v>
      </c>
      <c r="O44" s="139"/>
      <c r="P44" s="139"/>
      <c r="Q44" s="176"/>
      <c r="R44" s="281">
        <v>16.5</v>
      </c>
      <c r="S44" s="176">
        <f t="shared" si="9"/>
        <v>2.07</v>
      </c>
      <c r="T44" s="160">
        <f t="shared" si="10"/>
        <v>1</v>
      </c>
      <c r="U44" s="160">
        <f t="shared" si="11"/>
        <v>2.07</v>
      </c>
      <c r="V44" s="282">
        <f t="shared" si="12"/>
        <v>62.3157975</v>
      </c>
      <c r="W44" s="176">
        <f t="shared" ref="W44:X44" si="39">C44/100</f>
        <v>0.89</v>
      </c>
      <c r="X44" s="176">
        <f t="shared" si="39"/>
        <v>2.05</v>
      </c>
      <c r="Y44" s="176">
        <f t="shared" si="14"/>
        <v>2.07</v>
      </c>
      <c r="Z44" s="283">
        <f t="shared" si="15"/>
        <v>3.776715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24.0</v>
      </c>
      <c r="B45" s="191" t="s">
        <v>77</v>
      </c>
      <c r="C45" s="191">
        <v>102.0</v>
      </c>
      <c r="D45" s="191">
        <v>205.0</v>
      </c>
      <c r="E45" s="191">
        <v>206.0</v>
      </c>
      <c r="F45" s="191">
        <f t="shared" si="5"/>
        <v>0</v>
      </c>
      <c r="G45" s="191">
        <f t="shared" si="6"/>
        <v>71.07309</v>
      </c>
      <c r="H45" s="219">
        <f t="shared" si="7"/>
        <v>71.07309</v>
      </c>
      <c r="I45" s="218">
        <v>4.0</v>
      </c>
      <c r="J45" s="193">
        <f t="shared" si="8"/>
        <v>284.29236</v>
      </c>
      <c r="K45" s="139"/>
      <c r="L45" s="176">
        <f t="shared" si="17"/>
        <v>5.207</v>
      </c>
      <c r="M45" s="160">
        <f t="shared" si="18"/>
        <v>4</v>
      </c>
      <c r="N45" s="160">
        <f t="shared" si="19"/>
        <v>20.828</v>
      </c>
      <c r="O45" s="139"/>
      <c r="P45" s="139"/>
      <c r="Q45" s="176"/>
      <c r="R45" s="281">
        <v>16.5</v>
      </c>
      <c r="S45" s="176">
        <f t="shared" si="9"/>
        <v>2.06</v>
      </c>
      <c r="T45" s="160">
        <f t="shared" si="10"/>
        <v>4</v>
      </c>
      <c r="U45" s="160">
        <f t="shared" si="11"/>
        <v>8.24</v>
      </c>
      <c r="V45" s="282">
        <f t="shared" si="12"/>
        <v>71.07309</v>
      </c>
      <c r="W45" s="176">
        <f t="shared" ref="W45:X45" si="40">C45/100</f>
        <v>1.02</v>
      </c>
      <c r="X45" s="176">
        <f t="shared" si="40"/>
        <v>2.05</v>
      </c>
      <c r="Y45" s="176">
        <f t="shared" si="14"/>
        <v>8.24</v>
      </c>
      <c r="Z45" s="283">
        <f t="shared" si="15"/>
        <v>17.22984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25.0</v>
      </c>
      <c r="B46" s="191" t="s">
        <v>77</v>
      </c>
      <c r="C46" s="191">
        <v>101.0</v>
      </c>
      <c r="D46" s="191">
        <v>205.0</v>
      </c>
      <c r="E46" s="191">
        <v>206.0</v>
      </c>
      <c r="F46" s="191">
        <f t="shared" si="5"/>
        <v>0</v>
      </c>
      <c r="G46" s="191">
        <f t="shared" si="6"/>
        <v>70.376295</v>
      </c>
      <c r="H46" s="219">
        <f t="shared" si="7"/>
        <v>70.376295</v>
      </c>
      <c r="I46" s="218">
        <v>3.0</v>
      </c>
      <c r="J46" s="193">
        <f t="shared" si="8"/>
        <v>211.128885</v>
      </c>
      <c r="K46" s="139"/>
      <c r="L46" s="176">
        <f t="shared" si="17"/>
        <v>5.207</v>
      </c>
      <c r="M46" s="160">
        <f t="shared" si="18"/>
        <v>3</v>
      </c>
      <c r="N46" s="160">
        <f t="shared" si="19"/>
        <v>15.621</v>
      </c>
      <c r="O46" s="139"/>
      <c r="P46" s="139"/>
      <c r="Q46" s="176"/>
      <c r="R46" s="281">
        <v>16.5</v>
      </c>
      <c r="S46" s="176">
        <f t="shared" si="9"/>
        <v>2.06</v>
      </c>
      <c r="T46" s="160">
        <f t="shared" si="10"/>
        <v>3</v>
      </c>
      <c r="U46" s="160">
        <f t="shared" si="11"/>
        <v>6.18</v>
      </c>
      <c r="V46" s="282">
        <f t="shared" si="12"/>
        <v>70.376295</v>
      </c>
      <c r="W46" s="176">
        <f t="shared" ref="W46:X46" si="41">C46/100</f>
        <v>1.01</v>
      </c>
      <c r="X46" s="176">
        <f t="shared" si="41"/>
        <v>2.05</v>
      </c>
      <c r="Y46" s="176">
        <f t="shared" si="14"/>
        <v>6.18</v>
      </c>
      <c r="Z46" s="283">
        <f t="shared" si="15"/>
        <v>12.79569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26.0</v>
      </c>
      <c r="B47" s="191" t="s">
        <v>77</v>
      </c>
      <c r="C47" s="191">
        <v>99.0</v>
      </c>
      <c r="D47" s="191">
        <v>205.0</v>
      </c>
      <c r="E47" s="191">
        <v>206.0</v>
      </c>
      <c r="F47" s="191">
        <f t="shared" si="5"/>
        <v>0</v>
      </c>
      <c r="G47" s="191">
        <f t="shared" si="6"/>
        <v>68.982705</v>
      </c>
      <c r="H47" s="219">
        <f t="shared" si="7"/>
        <v>68.982705</v>
      </c>
      <c r="I47" s="218">
        <v>3.0</v>
      </c>
      <c r="J47" s="193">
        <f t="shared" si="8"/>
        <v>206.948115</v>
      </c>
      <c r="K47" s="139"/>
      <c r="L47" s="197"/>
      <c r="M47" s="198">
        <f t="shared" si="18"/>
        <v>3</v>
      </c>
      <c r="N47" s="198"/>
      <c r="O47" s="139"/>
      <c r="P47" s="139"/>
      <c r="Q47" s="176"/>
      <c r="R47" s="281">
        <v>16.5</v>
      </c>
      <c r="S47" s="176">
        <f t="shared" si="9"/>
        <v>2.06</v>
      </c>
      <c r="T47" s="160">
        <f t="shared" si="10"/>
        <v>3</v>
      </c>
      <c r="U47" s="160">
        <f t="shared" si="11"/>
        <v>6.18</v>
      </c>
      <c r="V47" s="282">
        <f t="shared" si="12"/>
        <v>68.982705</v>
      </c>
      <c r="W47" s="176">
        <f t="shared" ref="W47:X47" si="42">C47/100</f>
        <v>0.99</v>
      </c>
      <c r="X47" s="176">
        <f t="shared" si="42"/>
        <v>2.05</v>
      </c>
      <c r="Y47" s="176">
        <f t="shared" si="14"/>
        <v>6.18</v>
      </c>
      <c r="Z47" s="283">
        <f t="shared" si="15"/>
        <v>12.54231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27.0</v>
      </c>
      <c r="B48" s="191" t="s">
        <v>77</v>
      </c>
      <c r="C48" s="191">
        <v>95.0</v>
      </c>
      <c r="D48" s="191">
        <v>205.0</v>
      </c>
      <c r="E48" s="191">
        <v>206.0</v>
      </c>
      <c r="F48" s="191">
        <f t="shared" si="5"/>
        <v>0</v>
      </c>
      <c r="G48" s="191">
        <f t="shared" si="6"/>
        <v>66.195525</v>
      </c>
      <c r="H48" s="219">
        <f t="shared" si="7"/>
        <v>66.195525</v>
      </c>
      <c r="I48" s="218">
        <v>2.0</v>
      </c>
      <c r="J48" s="193">
        <f t="shared" si="8"/>
        <v>132.39105</v>
      </c>
      <c r="K48" s="139"/>
      <c r="L48" s="197"/>
      <c r="M48" s="198">
        <f t="shared" si="18"/>
        <v>2</v>
      </c>
      <c r="N48" s="198"/>
      <c r="O48" s="139"/>
      <c r="P48" s="139"/>
      <c r="Q48" s="176"/>
      <c r="R48" s="281">
        <v>16.5</v>
      </c>
      <c r="S48" s="176">
        <f t="shared" si="9"/>
        <v>2.06</v>
      </c>
      <c r="T48" s="160">
        <f t="shared" si="10"/>
        <v>2</v>
      </c>
      <c r="U48" s="160">
        <f t="shared" si="11"/>
        <v>4.12</v>
      </c>
      <c r="V48" s="282">
        <f t="shared" si="12"/>
        <v>66.195525</v>
      </c>
      <c r="W48" s="176">
        <f t="shared" ref="W48:X48" si="43">C48/100</f>
        <v>0.95</v>
      </c>
      <c r="X48" s="176">
        <f t="shared" si="43"/>
        <v>2.05</v>
      </c>
      <c r="Y48" s="176">
        <f t="shared" si="14"/>
        <v>4.12</v>
      </c>
      <c r="Z48" s="283">
        <f t="shared" si="15"/>
        <v>8.0237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28.0</v>
      </c>
      <c r="B49" s="191" t="s">
        <v>77</v>
      </c>
      <c r="C49" s="191">
        <v>98.0</v>
      </c>
      <c r="D49" s="191">
        <v>205.0</v>
      </c>
      <c r="E49" s="191">
        <v>206.0</v>
      </c>
      <c r="F49" s="191">
        <f t="shared" si="5"/>
        <v>0</v>
      </c>
      <c r="G49" s="191">
        <f t="shared" si="6"/>
        <v>68.28591</v>
      </c>
      <c r="H49" s="219">
        <f t="shared" si="7"/>
        <v>68.28591</v>
      </c>
      <c r="I49" s="218">
        <v>1.0</v>
      </c>
      <c r="J49" s="194">
        <f t="shared" si="8"/>
        <v>68.28591</v>
      </c>
      <c r="K49" s="139"/>
      <c r="L49" s="197"/>
      <c r="M49" s="198">
        <f t="shared" si="18"/>
        <v>1</v>
      </c>
      <c r="N49" s="198"/>
      <c r="O49" s="139"/>
      <c r="P49" s="139"/>
      <c r="Q49" s="176"/>
      <c r="R49" s="281">
        <v>16.5</v>
      </c>
      <c r="S49" s="176">
        <f t="shared" si="9"/>
        <v>2.06</v>
      </c>
      <c r="T49" s="160">
        <f t="shared" si="10"/>
        <v>1</v>
      </c>
      <c r="U49" s="160">
        <f t="shared" si="11"/>
        <v>2.06</v>
      </c>
      <c r="V49" s="282">
        <f t="shared" si="12"/>
        <v>68.28591</v>
      </c>
      <c r="W49" s="176">
        <f t="shared" ref="W49:X49" si="44">C49/100</f>
        <v>0.98</v>
      </c>
      <c r="X49" s="176">
        <f t="shared" si="44"/>
        <v>2.05</v>
      </c>
      <c r="Y49" s="176">
        <f t="shared" si="14"/>
        <v>2.06</v>
      </c>
      <c r="Z49" s="283">
        <f t="shared" si="15"/>
        <v>4.13854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29.0</v>
      </c>
      <c r="B50" s="191" t="s">
        <v>77</v>
      </c>
      <c r="C50" s="191">
        <v>100.0</v>
      </c>
      <c r="D50" s="191">
        <v>205.0</v>
      </c>
      <c r="E50" s="191">
        <v>206.0</v>
      </c>
      <c r="F50" s="191">
        <f t="shared" si="5"/>
        <v>0</v>
      </c>
      <c r="G50" s="191">
        <f t="shared" si="6"/>
        <v>69.6795</v>
      </c>
      <c r="H50" s="219">
        <f t="shared" si="7"/>
        <v>69.6795</v>
      </c>
      <c r="I50" s="218">
        <v>8.0</v>
      </c>
      <c r="J50" s="194">
        <f t="shared" si="8"/>
        <v>557.436</v>
      </c>
      <c r="K50" s="139"/>
      <c r="L50" s="197"/>
      <c r="M50" s="198">
        <f t="shared" si="18"/>
        <v>8</v>
      </c>
      <c r="N50" s="198"/>
      <c r="O50" s="139"/>
      <c r="P50" s="139"/>
      <c r="Q50" s="176"/>
      <c r="R50" s="281">
        <v>16.5</v>
      </c>
      <c r="S50" s="176">
        <f t="shared" si="9"/>
        <v>2.06</v>
      </c>
      <c r="T50" s="160">
        <f t="shared" si="10"/>
        <v>8</v>
      </c>
      <c r="U50" s="160">
        <f t="shared" si="11"/>
        <v>16.48</v>
      </c>
      <c r="V50" s="282">
        <f t="shared" si="12"/>
        <v>69.6795</v>
      </c>
      <c r="W50" s="176">
        <f t="shared" ref="W50:X50" si="45">C50/100</f>
        <v>1</v>
      </c>
      <c r="X50" s="176">
        <f t="shared" si="45"/>
        <v>2.05</v>
      </c>
      <c r="Y50" s="176">
        <f t="shared" si="14"/>
        <v>16.48</v>
      </c>
      <c r="Z50" s="283">
        <f t="shared" si="15"/>
        <v>33.784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30.0</v>
      </c>
      <c r="B51" s="191" t="s">
        <v>77</v>
      </c>
      <c r="C51" s="191">
        <v>105.0</v>
      </c>
      <c r="D51" s="191">
        <v>205.0</v>
      </c>
      <c r="E51" s="191">
        <v>206.0</v>
      </c>
      <c r="F51" s="191">
        <f t="shared" si="5"/>
        <v>0</v>
      </c>
      <c r="G51" s="191">
        <f t="shared" si="6"/>
        <v>73.163475</v>
      </c>
      <c r="H51" s="219">
        <f t="shared" si="7"/>
        <v>73.163475</v>
      </c>
      <c r="I51" s="218">
        <v>2.0</v>
      </c>
      <c r="J51" s="194">
        <f t="shared" si="8"/>
        <v>146.32695</v>
      </c>
      <c r="K51" s="139"/>
      <c r="L51" s="197"/>
      <c r="M51" s="198">
        <f t="shared" si="18"/>
        <v>2</v>
      </c>
      <c r="N51" s="198"/>
      <c r="O51" s="139"/>
      <c r="P51" s="139"/>
      <c r="Q51" s="176"/>
      <c r="R51" s="281">
        <v>16.5</v>
      </c>
      <c r="S51" s="176">
        <f t="shared" si="9"/>
        <v>2.06</v>
      </c>
      <c r="T51" s="160">
        <f t="shared" si="10"/>
        <v>2</v>
      </c>
      <c r="U51" s="160">
        <f t="shared" si="11"/>
        <v>4.12</v>
      </c>
      <c r="V51" s="282">
        <f t="shared" si="12"/>
        <v>73.163475</v>
      </c>
      <c r="W51" s="176">
        <f t="shared" ref="W51:X51" si="46">C51/100</f>
        <v>1.05</v>
      </c>
      <c r="X51" s="176">
        <f t="shared" si="46"/>
        <v>2.05</v>
      </c>
      <c r="Y51" s="176">
        <f t="shared" si="14"/>
        <v>4.12</v>
      </c>
      <c r="Z51" s="283">
        <f t="shared" si="15"/>
        <v>8.8683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31.0</v>
      </c>
      <c r="B52" s="191" t="s">
        <v>77</v>
      </c>
      <c r="C52" s="191">
        <v>205.0</v>
      </c>
      <c r="D52" s="191">
        <v>205.0</v>
      </c>
      <c r="E52" s="191">
        <v>205.0</v>
      </c>
      <c r="F52" s="191">
        <f t="shared" si="5"/>
        <v>0</v>
      </c>
      <c r="G52" s="191">
        <f t="shared" si="6"/>
        <v>142.1495625</v>
      </c>
      <c r="H52" s="219">
        <f t="shared" si="7"/>
        <v>142.1495625</v>
      </c>
      <c r="I52" s="218">
        <v>1.0</v>
      </c>
      <c r="J52" s="194">
        <f t="shared" si="8"/>
        <v>142.1495625</v>
      </c>
      <c r="K52" s="139"/>
      <c r="L52" s="197"/>
      <c r="M52" s="198">
        <f t="shared" si="18"/>
        <v>1</v>
      </c>
      <c r="N52" s="198"/>
      <c r="O52" s="139"/>
      <c r="P52" s="139"/>
      <c r="Q52" s="176"/>
      <c r="R52" s="281">
        <v>16.5</v>
      </c>
      <c r="S52" s="176">
        <f t="shared" si="9"/>
        <v>2.05</v>
      </c>
      <c r="T52" s="160">
        <f t="shared" si="10"/>
        <v>1</v>
      </c>
      <c r="U52" s="160">
        <f t="shared" si="11"/>
        <v>2.05</v>
      </c>
      <c r="V52" s="282">
        <f t="shared" si="12"/>
        <v>142.1495625</v>
      </c>
      <c r="W52" s="176">
        <f t="shared" ref="W52:X52" si="47">C52/100</f>
        <v>2.05</v>
      </c>
      <c r="X52" s="176">
        <f t="shared" si="47"/>
        <v>2.05</v>
      </c>
      <c r="Y52" s="176">
        <f t="shared" si="14"/>
        <v>2.05</v>
      </c>
      <c r="Z52" s="283">
        <f t="shared" si="15"/>
        <v>8.615125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32.0</v>
      </c>
      <c r="B53" s="182" t="s">
        <v>65</v>
      </c>
      <c r="C53" s="183">
        <v>100.0</v>
      </c>
      <c r="D53" s="183">
        <v>184.0</v>
      </c>
      <c r="E53" s="183">
        <v>232.0</v>
      </c>
      <c r="F53" s="183">
        <f t="shared" si="5"/>
        <v>0.8</v>
      </c>
      <c r="G53" s="183">
        <f t="shared" si="6"/>
        <v>125.9296</v>
      </c>
      <c r="H53" s="184">
        <f t="shared" si="7"/>
        <v>100.74368</v>
      </c>
      <c r="I53" s="183">
        <v>1.0</v>
      </c>
      <c r="J53" s="194">
        <f t="shared" si="8"/>
        <v>100.74368</v>
      </c>
      <c r="K53" s="139"/>
      <c r="L53" s="197"/>
      <c r="M53" s="198">
        <f t="shared" si="18"/>
        <v>1</v>
      </c>
      <c r="N53" s="198"/>
      <c r="O53" s="139"/>
      <c r="P53" s="139"/>
      <c r="Q53" s="176"/>
      <c r="R53" s="281">
        <v>29.5</v>
      </c>
      <c r="S53" s="176">
        <f t="shared" si="9"/>
        <v>2.32</v>
      </c>
      <c r="T53" s="160">
        <f t="shared" si="10"/>
        <v>1</v>
      </c>
      <c r="U53" s="160">
        <f t="shared" si="11"/>
        <v>2.32</v>
      </c>
      <c r="V53" s="282">
        <f t="shared" si="12"/>
        <v>125.9296</v>
      </c>
      <c r="W53" s="176">
        <f t="shared" ref="W53:X53" si="48">C53/100</f>
        <v>1</v>
      </c>
      <c r="X53" s="176">
        <f t="shared" si="48"/>
        <v>1.84</v>
      </c>
      <c r="Y53" s="176">
        <f t="shared" si="14"/>
        <v>2.32</v>
      </c>
      <c r="Z53" s="283">
        <f t="shared" si="15"/>
        <v>4.2688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33.0</v>
      </c>
      <c r="B54" s="191" t="s">
        <v>56</v>
      </c>
      <c r="C54" s="191">
        <v>94.0</v>
      </c>
      <c r="D54" s="191">
        <v>184.0</v>
      </c>
      <c r="E54" s="191">
        <v>277.0</v>
      </c>
      <c r="F54" s="191">
        <f t="shared" si="5"/>
        <v>0</v>
      </c>
      <c r="G54" s="191">
        <f t="shared" si="6"/>
        <v>141.334264</v>
      </c>
      <c r="H54" s="219">
        <f t="shared" si="7"/>
        <v>141.334264</v>
      </c>
      <c r="I54" s="218">
        <v>1.0</v>
      </c>
      <c r="J54" s="194">
        <f t="shared" si="8"/>
        <v>141.334264</v>
      </c>
      <c r="K54" s="139"/>
      <c r="L54" s="197"/>
      <c r="M54" s="198">
        <f t="shared" si="18"/>
        <v>1</v>
      </c>
      <c r="N54" s="198"/>
      <c r="O54" s="139"/>
      <c r="P54" s="139"/>
      <c r="Q54" s="176"/>
      <c r="R54" s="281">
        <v>29.5</v>
      </c>
      <c r="S54" s="176">
        <f t="shared" si="9"/>
        <v>2.77</v>
      </c>
      <c r="T54" s="160">
        <f t="shared" si="10"/>
        <v>1</v>
      </c>
      <c r="U54" s="160">
        <f t="shared" si="11"/>
        <v>2.77</v>
      </c>
      <c r="V54" s="282">
        <f t="shared" si="12"/>
        <v>141.334264</v>
      </c>
      <c r="W54" s="176">
        <f t="shared" ref="W54:X54" si="49">C54/100</f>
        <v>0.94</v>
      </c>
      <c r="X54" s="176">
        <f t="shared" si="49"/>
        <v>1.84</v>
      </c>
      <c r="Y54" s="176">
        <f t="shared" si="14"/>
        <v>2.77</v>
      </c>
      <c r="Z54" s="283">
        <f t="shared" si="15"/>
        <v>4.790992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34.0</v>
      </c>
      <c r="B55" s="191" t="s">
        <v>56</v>
      </c>
      <c r="C55" s="191">
        <v>98.0</v>
      </c>
      <c r="D55" s="191">
        <v>184.0</v>
      </c>
      <c r="E55" s="191">
        <v>277.0</v>
      </c>
      <c r="F55" s="191">
        <f t="shared" si="5"/>
        <v>0</v>
      </c>
      <c r="G55" s="191">
        <f t="shared" si="6"/>
        <v>147.348488</v>
      </c>
      <c r="H55" s="219">
        <f t="shared" si="7"/>
        <v>147.348488</v>
      </c>
      <c r="I55" s="218">
        <v>16.0</v>
      </c>
      <c r="J55" s="194">
        <f t="shared" si="8"/>
        <v>2357.575808</v>
      </c>
      <c r="K55" s="139"/>
      <c r="L55" s="197"/>
      <c r="M55" s="198">
        <f t="shared" si="18"/>
        <v>16</v>
      </c>
      <c r="N55" s="198"/>
      <c r="O55" s="139"/>
      <c r="P55" s="139"/>
      <c r="Q55" s="176"/>
      <c r="R55" s="281">
        <v>29.5</v>
      </c>
      <c r="S55" s="176">
        <f t="shared" si="9"/>
        <v>2.77</v>
      </c>
      <c r="T55" s="160">
        <f t="shared" si="10"/>
        <v>16</v>
      </c>
      <c r="U55" s="160">
        <f t="shared" si="11"/>
        <v>44.32</v>
      </c>
      <c r="V55" s="282">
        <f t="shared" si="12"/>
        <v>147.348488</v>
      </c>
      <c r="W55" s="176">
        <f t="shared" ref="W55:X55" si="50">C55/100</f>
        <v>0.98</v>
      </c>
      <c r="X55" s="176">
        <f t="shared" si="50"/>
        <v>1.84</v>
      </c>
      <c r="Y55" s="176">
        <f t="shared" si="14"/>
        <v>44.32</v>
      </c>
      <c r="Z55" s="283">
        <f t="shared" si="15"/>
        <v>79.917824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35.0</v>
      </c>
      <c r="B56" s="191" t="s">
        <v>56</v>
      </c>
      <c r="C56" s="191">
        <v>98.0</v>
      </c>
      <c r="D56" s="191">
        <v>184.0</v>
      </c>
      <c r="E56" s="191">
        <v>278.0</v>
      </c>
      <c r="F56" s="191">
        <f t="shared" si="5"/>
        <v>0</v>
      </c>
      <c r="G56" s="191">
        <f t="shared" si="6"/>
        <v>147.880432</v>
      </c>
      <c r="H56" s="219">
        <f t="shared" si="7"/>
        <v>147.880432</v>
      </c>
      <c r="I56" s="218">
        <v>1.0</v>
      </c>
      <c r="J56" s="194">
        <f t="shared" si="8"/>
        <v>147.880432</v>
      </c>
      <c r="K56" s="139"/>
      <c r="L56" s="197"/>
      <c r="M56" s="198">
        <f t="shared" si="18"/>
        <v>1</v>
      </c>
      <c r="N56" s="198"/>
      <c r="O56" s="139"/>
      <c r="P56" s="139"/>
      <c r="Q56" s="176"/>
      <c r="R56" s="281">
        <v>29.5</v>
      </c>
      <c r="S56" s="176">
        <f t="shared" si="9"/>
        <v>2.78</v>
      </c>
      <c r="T56" s="160">
        <f t="shared" si="10"/>
        <v>1</v>
      </c>
      <c r="U56" s="160">
        <f t="shared" si="11"/>
        <v>2.78</v>
      </c>
      <c r="V56" s="282">
        <f t="shared" si="12"/>
        <v>147.880432</v>
      </c>
      <c r="W56" s="176">
        <f t="shared" ref="W56:X56" si="51">C56/100</f>
        <v>0.98</v>
      </c>
      <c r="X56" s="176">
        <f t="shared" si="51"/>
        <v>1.84</v>
      </c>
      <c r="Y56" s="176">
        <f t="shared" si="14"/>
        <v>2.78</v>
      </c>
      <c r="Z56" s="283">
        <f t="shared" si="15"/>
        <v>5.012896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36.0</v>
      </c>
      <c r="B57" s="191" t="s">
        <v>56</v>
      </c>
      <c r="C57" s="191">
        <v>99.0</v>
      </c>
      <c r="D57" s="191">
        <v>184.0</v>
      </c>
      <c r="E57" s="191">
        <v>278.0</v>
      </c>
      <c r="F57" s="191">
        <f t="shared" si="5"/>
        <v>0</v>
      </c>
      <c r="G57" s="191">
        <f t="shared" si="6"/>
        <v>149.389416</v>
      </c>
      <c r="H57" s="219">
        <f t="shared" si="7"/>
        <v>149.389416</v>
      </c>
      <c r="I57" s="218">
        <v>1.0</v>
      </c>
      <c r="J57" s="194">
        <f t="shared" si="8"/>
        <v>149.389416</v>
      </c>
      <c r="K57" s="139"/>
      <c r="L57" s="197"/>
      <c r="M57" s="198">
        <f t="shared" si="18"/>
        <v>1</v>
      </c>
      <c r="N57" s="198"/>
      <c r="O57" s="139"/>
      <c r="P57" s="139"/>
      <c r="Q57" s="176"/>
      <c r="R57" s="281">
        <v>29.5</v>
      </c>
      <c r="S57" s="176">
        <f t="shared" si="9"/>
        <v>2.78</v>
      </c>
      <c r="T57" s="160">
        <f t="shared" si="10"/>
        <v>1</v>
      </c>
      <c r="U57" s="160">
        <f t="shared" si="11"/>
        <v>2.78</v>
      </c>
      <c r="V57" s="282">
        <f t="shared" si="12"/>
        <v>149.389416</v>
      </c>
      <c r="W57" s="176">
        <f t="shared" ref="W57:X57" si="52">C57/100</f>
        <v>0.99</v>
      </c>
      <c r="X57" s="176">
        <f t="shared" si="52"/>
        <v>1.84</v>
      </c>
      <c r="Y57" s="176">
        <f t="shared" si="14"/>
        <v>2.78</v>
      </c>
      <c r="Z57" s="283">
        <f t="shared" si="15"/>
        <v>5.064048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37.0</v>
      </c>
      <c r="B58" s="191" t="s">
        <v>56</v>
      </c>
      <c r="C58" s="191">
        <v>100.0</v>
      </c>
      <c r="D58" s="191">
        <v>184.0</v>
      </c>
      <c r="E58" s="191">
        <v>240.0</v>
      </c>
      <c r="F58" s="191">
        <f t="shared" si="5"/>
        <v>0</v>
      </c>
      <c r="G58" s="191">
        <f t="shared" si="6"/>
        <v>130.272</v>
      </c>
      <c r="H58" s="219">
        <f t="shared" si="7"/>
        <v>130.272</v>
      </c>
      <c r="I58" s="218">
        <v>7.0</v>
      </c>
      <c r="J58" s="194">
        <f t="shared" si="8"/>
        <v>911.904</v>
      </c>
      <c r="K58" s="139"/>
      <c r="L58" s="197"/>
      <c r="M58" s="198">
        <f t="shared" si="18"/>
        <v>7</v>
      </c>
      <c r="N58" s="198"/>
      <c r="O58" s="139"/>
      <c r="P58" s="139"/>
      <c r="Q58" s="176"/>
      <c r="R58" s="281">
        <v>29.5</v>
      </c>
      <c r="S58" s="176">
        <f t="shared" si="9"/>
        <v>2.4</v>
      </c>
      <c r="T58" s="160">
        <f t="shared" si="10"/>
        <v>7</v>
      </c>
      <c r="U58" s="160">
        <f t="shared" si="11"/>
        <v>16.8</v>
      </c>
      <c r="V58" s="282">
        <f t="shared" si="12"/>
        <v>130.272</v>
      </c>
      <c r="W58" s="176">
        <f t="shared" ref="W58:X58" si="53">C58/100</f>
        <v>1</v>
      </c>
      <c r="X58" s="176">
        <f t="shared" si="53"/>
        <v>1.84</v>
      </c>
      <c r="Y58" s="176">
        <f t="shared" si="14"/>
        <v>16.8</v>
      </c>
      <c r="Z58" s="283">
        <f t="shared" si="15"/>
        <v>30.912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38.0</v>
      </c>
      <c r="B59" s="191" t="s">
        <v>56</v>
      </c>
      <c r="C59" s="191">
        <v>80.0</v>
      </c>
      <c r="D59" s="191">
        <v>184.0</v>
      </c>
      <c r="E59" s="191">
        <v>219.0</v>
      </c>
      <c r="F59" s="191">
        <f t="shared" si="5"/>
        <v>0</v>
      </c>
      <c r="G59" s="191">
        <f t="shared" si="6"/>
        <v>95.09856</v>
      </c>
      <c r="H59" s="219">
        <f t="shared" si="7"/>
        <v>95.09856</v>
      </c>
      <c r="I59" s="218">
        <v>1.0</v>
      </c>
      <c r="J59" s="194">
        <f t="shared" si="8"/>
        <v>95.09856</v>
      </c>
      <c r="K59" s="139"/>
      <c r="L59" s="197"/>
      <c r="M59" s="198">
        <f t="shared" si="18"/>
        <v>1</v>
      </c>
      <c r="N59" s="198"/>
      <c r="O59" s="139"/>
      <c r="P59" s="139"/>
      <c r="Q59" s="176"/>
      <c r="R59" s="281">
        <v>29.5</v>
      </c>
      <c r="S59" s="176">
        <f t="shared" si="9"/>
        <v>2.19</v>
      </c>
      <c r="T59" s="160">
        <f t="shared" si="10"/>
        <v>1</v>
      </c>
      <c r="U59" s="160">
        <f t="shared" si="11"/>
        <v>2.19</v>
      </c>
      <c r="V59" s="282">
        <f t="shared" si="12"/>
        <v>95.09856</v>
      </c>
      <c r="W59" s="176">
        <f t="shared" ref="W59:X59" si="54">C59/100</f>
        <v>0.8</v>
      </c>
      <c r="X59" s="176">
        <f t="shared" si="54"/>
        <v>1.84</v>
      </c>
      <c r="Y59" s="176">
        <f t="shared" si="14"/>
        <v>2.19</v>
      </c>
      <c r="Z59" s="283">
        <f t="shared" si="15"/>
        <v>3.22368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39.0</v>
      </c>
      <c r="B60" s="191" t="s">
        <v>56</v>
      </c>
      <c r="C60" s="191">
        <v>100.0</v>
      </c>
      <c r="D60" s="191">
        <v>184.0</v>
      </c>
      <c r="E60" s="191">
        <v>231.0</v>
      </c>
      <c r="F60" s="191">
        <f t="shared" si="5"/>
        <v>0</v>
      </c>
      <c r="G60" s="191">
        <f t="shared" si="6"/>
        <v>125.3868</v>
      </c>
      <c r="H60" s="219">
        <f t="shared" si="7"/>
        <v>125.3868</v>
      </c>
      <c r="I60" s="218">
        <v>4.0</v>
      </c>
      <c r="J60" s="194">
        <f t="shared" si="8"/>
        <v>501.5472</v>
      </c>
      <c r="K60" s="139"/>
      <c r="L60" s="197"/>
      <c r="M60" s="198"/>
      <c r="N60" s="198"/>
      <c r="O60" s="139"/>
      <c r="P60" s="139"/>
      <c r="Q60" s="176"/>
      <c r="R60" s="281">
        <v>29.5</v>
      </c>
      <c r="S60" s="176">
        <f t="shared" si="9"/>
        <v>2.31</v>
      </c>
      <c r="T60" s="160">
        <f t="shared" si="10"/>
        <v>4</v>
      </c>
      <c r="U60" s="160">
        <f t="shared" si="11"/>
        <v>9.24</v>
      </c>
      <c r="V60" s="282">
        <f t="shared" si="12"/>
        <v>125.3868</v>
      </c>
      <c r="W60" s="176">
        <f t="shared" ref="W60:X60" si="55">C60/100</f>
        <v>1</v>
      </c>
      <c r="X60" s="176">
        <f t="shared" si="55"/>
        <v>1.84</v>
      </c>
      <c r="Y60" s="176">
        <f t="shared" si="14"/>
        <v>9.24</v>
      </c>
      <c r="Z60" s="283">
        <f t="shared" si="15"/>
        <v>17.0016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40.0</v>
      </c>
      <c r="B61" s="191" t="s">
        <v>56</v>
      </c>
      <c r="C61" s="191">
        <v>102.0</v>
      </c>
      <c r="D61" s="191">
        <v>184.0</v>
      </c>
      <c r="E61" s="191">
        <v>233.0</v>
      </c>
      <c r="F61" s="191">
        <f t="shared" si="5"/>
        <v>0</v>
      </c>
      <c r="G61" s="191">
        <f t="shared" si="6"/>
        <v>129.001848</v>
      </c>
      <c r="H61" s="219">
        <f t="shared" si="7"/>
        <v>129.001848</v>
      </c>
      <c r="I61" s="218">
        <v>1.0</v>
      </c>
      <c r="J61" s="194">
        <f t="shared" si="8"/>
        <v>129.001848</v>
      </c>
      <c r="K61" s="139"/>
      <c r="L61" s="197"/>
      <c r="M61" s="198"/>
      <c r="N61" s="198"/>
      <c r="O61" s="139"/>
      <c r="P61" s="139"/>
      <c r="Q61" s="176"/>
      <c r="R61" s="281">
        <v>29.5</v>
      </c>
      <c r="S61" s="176">
        <f t="shared" si="9"/>
        <v>2.33</v>
      </c>
      <c r="T61" s="160">
        <f t="shared" si="10"/>
        <v>1</v>
      </c>
      <c r="U61" s="160">
        <f t="shared" si="11"/>
        <v>2.33</v>
      </c>
      <c r="V61" s="282">
        <f t="shared" si="12"/>
        <v>129.001848</v>
      </c>
      <c r="W61" s="176">
        <f t="shared" ref="W61:X61" si="56">C61/100</f>
        <v>1.02</v>
      </c>
      <c r="X61" s="176">
        <f t="shared" si="56"/>
        <v>1.84</v>
      </c>
      <c r="Y61" s="176">
        <f t="shared" si="14"/>
        <v>2.33</v>
      </c>
      <c r="Z61" s="283">
        <f t="shared" si="15"/>
        <v>4.372944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41.0</v>
      </c>
      <c r="B62" s="191" t="s">
        <v>56</v>
      </c>
      <c r="C62" s="191">
        <v>100.0</v>
      </c>
      <c r="D62" s="191">
        <v>184.0</v>
      </c>
      <c r="E62" s="191">
        <v>232.0</v>
      </c>
      <c r="F62" s="191">
        <f t="shared" si="5"/>
        <v>0</v>
      </c>
      <c r="G62" s="191">
        <f t="shared" si="6"/>
        <v>125.9296</v>
      </c>
      <c r="H62" s="219">
        <f t="shared" si="7"/>
        <v>125.9296</v>
      </c>
      <c r="I62" s="218">
        <v>9.0</v>
      </c>
      <c r="J62" s="194">
        <f t="shared" si="8"/>
        <v>1133.3664</v>
      </c>
      <c r="K62" s="139"/>
      <c r="L62" s="197"/>
      <c r="M62" s="198"/>
      <c r="N62" s="198"/>
      <c r="O62" s="139"/>
      <c r="P62" s="139"/>
      <c r="Q62" s="176"/>
      <c r="R62" s="281">
        <v>29.5</v>
      </c>
      <c r="S62" s="176">
        <f t="shared" si="9"/>
        <v>2.32</v>
      </c>
      <c r="T62" s="160">
        <f t="shared" si="10"/>
        <v>9</v>
      </c>
      <c r="U62" s="160">
        <f t="shared" si="11"/>
        <v>20.88</v>
      </c>
      <c r="V62" s="282">
        <f t="shared" si="12"/>
        <v>125.9296</v>
      </c>
      <c r="W62" s="176">
        <f t="shared" ref="W62:X62" si="57">C62/100</f>
        <v>1</v>
      </c>
      <c r="X62" s="176">
        <f t="shared" si="57"/>
        <v>1.84</v>
      </c>
      <c r="Y62" s="176">
        <f t="shared" si="14"/>
        <v>20.88</v>
      </c>
      <c r="Z62" s="283">
        <f t="shared" si="15"/>
        <v>38.4192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42.0</v>
      </c>
      <c r="B63" s="191" t="s">
        <v>56</v>
      </c>
      <c r="C63" s="191">
        <v>101.0</v>
      </c>
      <c r="D63" s="191">
        <v>184.0</v>
      </c>
      <c r="E63" s="191">
        <v>232.0</v>
      </c>
      <c r="F63" s="191">
        <f t="shared" si="5"/>
        <v>0</v>
      </c>
      <c r="G63" s="191">
        <f t="shared" si="6"/>
        <v>127.188896</v>
      </c>
      <c r="H63" s="219">
        <f t="shared" si="7"/>
        <v>127.188896</v>
      </c>
      <c r="I63" s="218">
        <v>7.0</v>
      </c>
      <c r="J63" s="194">
        <f t="shared" si="8"/>
        <v>890.322272</v>
      </c>
      <c r="K63" s="139"/>
      <c r="L63" s="197"/>
      <c r="M63" s="198"/>
      <c r="N63" s="198"/>
      <c r="O63" s="139"/>
      <c r="P63" s="139"/>
      <c r="Q63" s="176"/>
      <c r="R63" s="281">
        <v>29.5</v>
      </c>
      <c r="S63" s="176">
        <f t="shared" si="9"/>
        <v>2.32</v>
      </c>
      <c r="T63" s="160">
        <f t="shared" si="10"/>
        <v>7</v>
      </c>
      <c r="U63" s="160">
        <f t="shared" si="11"/>
        <v>16.24</v>
      </c>
      <c r="V63" s="282">
        <f t="shared" si="12"/>
        <v>127.188896</v>
      </c>
      <c r="W63" s="176">
        <f t="shared" ref="W63:X63" si="58">C63/100</f>
        <v>1.01</v>
      </c>
      <c r="X63" s="176">
        <f t="shared" si="58"/>
        <v>1.84</v>
      </c>
      <c r="Y63" s="176">
        <f t="shared" si="14"/>
        <v>16.24</v>
      </c>
      <c r="Z63" s="283">
        <f t="shared" si="15"/>
        <v>30.180416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43.0</v>
      </c>
      <c r="B64" s="191" t="s">
        <v>56</v>
      </c>
      <c r="C64" s="191">
        <v>101.0</v>
      </c>
      <c r="D64" s="191">
        <v>184.0</v>
      </c>
      <c r="E64" s="191">
        <v>231.0</v>
      </c>
      <c r="F64" s="191">
        <f t="shared" si="5"/>
        <v>0</v>
      </c>
      <c r="G64" s="191">
        <f t="shared" si="6"/>
        <v>126.640668</v>
      </c>
      <c r="H64" s="219">
        <f t="shared" si="7"/>
        <v>126.640668</v>
      </c>
      <c r="I64" s="218">
        <v>3.0</v>
      </c>
      <c r="J64" s="194">
        <f t="shared" si="8"/>
        <v>379.922004</v>
      </c>
      <c r="K64" s="139"/>
      <c r="L64" s="197"/>
      <c r="M64" s="198"/>
      <c r="N64" s="198"/>
      <c r="O64" s="139"/>
      <c r="P64" s="139"/>
      <c r="Q64" s="176"/>
      <c r="R64" s="141">
        <v>29.5</v>
      </c>
      <c r="S64" s="176">
        <f t="shared" si="9"/>
        <v>2.31</v>
      </c>
      <c r="T64" s="160">
        <f t="shared" si="10"/>
        <v>3</v>
      </c>
      <c r="U64" s="160">
        <f t="shared" si="11"/>
        <v>6.93</v>
      </c>
      <c r="V64" s="282">
        <f t="shared" si="12"/>
        <v>126.640668</v>
      </c>
      <c r="W64" s="176">
        <f t="shared" ref="W64:X64" si="59">C64/100</f>
        <v>1.01</v>
      </c>
      <c r="X64" s="176">
        <f t="shared" si="59"/>
        <v>1.84</v>
      </c>
      <c r="Y64" s="176">
        <f t="shared" si="14"/>
        <v>6.93</v>
      </c>
      <c r="Z64" s="283">
        <f t="shared" si="15"/>
        <v>12.878712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44.0</v>
      </c>
      <c r="B65" s="191" t="s">
        <v>56</v>
      </c>
      <c r="C65" s="191">
        <v>102.0</v>
      </c>
      <c r="D65" s="191">
        <v>184.0</v>
      </c>
      <c r="E65" s="191">
        <v>232.0</v>
      </c>
      <c r="F65" s="191">
        <f t="shared" si="5"/>
        <v>0</v>
      </c>
      <c r="G65" s="191">
        <f t="shared" si="6"/>
        <v>128.448192</v>
      </c>
      <c r="H65" s="219">
        <f t="shared" si="7"/>
        <v>128.448192</v>
      </c>
      <c r="I65" s="218">
        <v>1.0</v>
      </c>
      <c r="J65" s="194">
        <f t="shared" si="8"/>
        <v>128.448192</v>
      </c>
      <c r="K65" s="139"/>
      <c r="L65" s="197"/>
      <c r="M65" s="198"/>
      <c r="N65" s="198"/>
      <c r="O65" s="139"/>
      <c r="P65" s="139"/>
      <c r="Q65" s="176"/>
      <c r="R65" s="141">
        <v>29.5</v>
      </c>
      <c r="S65" s="176">
        <f t="shared" si="9"/>
        <v>2.32</v>
      </c>
      <c r="T65" s="160">
        <f t="shared" si="10"/>
        <v>1</v>
      </c>
      <c r="U65" s="160">
        <f t="shared" si="11"/>
        <v>2.32</v>
      </c>
      <c r="V65" s="282">
        <f t="shared" si="12"/>
        <v>128.448192</v>
      </c>
      <c r="W65" s="176">
        <f t="shared" ref="W65:X65" si="60">C65/100</f>
        <v>1.02</v>
      </c>
      <c r="X65" s="176">
        <f t="shared" si="60"/>
        <v>1.84</v>
      </c>
      <c r="Y65" s="176">
        <f t="shared" si="14"/>
        <v>2.32</v>
      </c>
      <c r="Z65" s="283">
        <f t="shared" si="15"/>
        <v>4.354176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45.0</v>
      </c>
      <c r="B66" s="191" t="s">
        <v>56</v>
      </c>
      <c r="C66" s="191">
        <v>102.0</v>
      </c>
      <c r="D66" s="191">
        <v>184.0</v>
      </c>
      <c r="E66" s="191">
        <v>240.0</v>
      </c>
      <c r="F66" s="191">
        <f t="shared" si="5"/>
        <v>0</v>
      </c>
      <c r="G66" s="191">
        <f t="shared" si="6"/>
        <v>132.87744</v>
      </c>
      <c r="H66" s="219">
        <f t="shared" si="7"/>
        <v>132.87744</v>
      </c>
      <c r="I66" s="218">
        <v>1.0</v>
      </c>
      <c r="J66" s="194">
        <f t="shared" si="8"/>
        <v>132.87744</v>
      </c>
      <c r="K66" s="139"/>
      <c r="L66" s="197"/>
      <c r="M66" s="198"/>
      <c r="N66" s="198"/>
      <c r="O66" s="139"/>
      <c r="P66" s="139"/>
      <c r="Q66" s="176"/>
      <c r="R66" s="141">
        <v>29.5</v>
      </c>
      <c r="S66" s="176">
        <f t="shared" si="9"/>
        <v>2.4</v>
      </c>
      <c r="T66" s="160">
        <f t="shared" si="10"/>
        <v>1</v>
      </c>
      <c r="U66" s="160">
        <f t="shared" si="11"/>
        <v>2.4</v>
      </c>
      <c r="V66" s="282">
        <f t="shared" si="12"/>
        <v>132.87744</v>
      </c>
      <c r="W66" s="176">
        <f t="shared" ref="W66:X66" si="61">C66/100</f>
        <v>1.02</v>
      </c>
      <c r="X66" s="176">
        <f t="shared" si="61"/>
        <v>1.84</v>
      </c>
      <c r="Y66" s="176">
        <f t="shared" si="14"/>
        <v>2.4</v>
      </c>
      <c r="Z66" s="283">
        <f t="shared" si="15"/>
        <v>4.50432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46.0</v>
      </c>
      <c r="B67" s="191" t="s">
        <v>56</v>
      </c>
      <c r="C67" s="191">
        <v>101.0</v>
      </c>
      <c r="D67" s="191">
        <v>184.0</v>
      </c>
      <c r="E67" s="191">
        <v>239.0</v>
      </c>
      <c r="F67" s="191">
        <f t="shared" si="5"/>
        <v>0</v>
      </c>
      <c r="G67" s="191">
        <f t="shared" si="6"/>
        <v>131.026492</v>
      </c>
      <c r="H67" s="219">
        <f t="shared" si="7"/>
        <v>131.026492</v>
      </c>
      <c r="I67" s="218">
        <v>1.0</v>
      </c>
      <c r="J67" s="194">
        <f t="shared" si="8"/>
        <v>131.026492</v>
      </c>
      <c r="K67" s="139"/>
      <c r="L67" s="197"/>
      <c r="M67" s="198"/>
      <c r="N67" s="198"/>
      <c r="O67" s="139"/>
      <c r="P67" s="139"/>
      <c r="Q67" s="176"/>
      <c r="R67" s="141">
        <v>29.5</v>
      </c>
      <c r="S67" s="176">
        <f t="shared" si="9"/>
        <v>2.39</v>
      </c>
      <c r="T67" s="160">
        <f t="shared" si="10"/>
        <v>1</v>
      </c>
      <c r="U67" s="160">
        <f t="shared" si="11"/>
        <v>2.39</v>
      </c>
      <c r="V67" s="282">
        <f t="shared" si="12"/>
        <v>131.026492</v>
      </c>
      <c r="W67" s="176">
        <f t="shared" ref="W67:X67" si="62">C67/100</f>
        <v>1.01</v>
      </c>
      <c r="X67" s="176">
        <f t="shared" si="62"/>
        <v>1.84</v>
      </c>
      <c r="Y67" s="176">
        <f t="shared" si="14"/>
        <v>2.39</v>
      </c>
      <c r="Z67" s="283">
        <f t="shared" si="15"/>
        <v>4.441576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47.0</v>
      </c>
      <c r="B68" s="191" t="s">
        <v>56</v>
      </c>
      <c r="C68" s="191">
        <v>100.0</v>
      </c>
      <c r="D68" s="191">
        <v>184.0</v>
      </c>
      <c r="E68" s="191">
        <v>277.0</v>
      </c>
      <c r="F68" s="191">
        <f t="shared" si="5"/>
        <v>0</v>
      </c>
      <c r="G68" s="191">
        <f t="shared" si="6"/>
        <v>150.3556</v>
      </c>
      <c r="H68" s="219">
        <f t="shared" si="7"/>
        <v>150.3556</v>
      </c>
      <c r="I68" s="218">
        <v>1.0</v>
      </c>
      <c r="J68" s="194">
        <f t="shared" si="8"/>
        <v>150.3556</v>
      </c>
      <c r="K68" s="139"/>
      <c r="L68" s="197"/>
      <c r="M68" s="198"/>
      <c r="N68" s="198"/>
      <c r="O68" s="139"/>
      <c r="P68" s="139"/>
      <c r="Q68" s="176"/>
      <c r="R68" s="141">
        <v>29.5</v>
      </c>
      <c r="S68" s="176">
        <f t="shared" si="9"/>
        <v>2.77</v>
      </c>
      <c r="T68" s="160">
        <f t="shared" si="10"/>
        <v>1</v>
      </c>
      <c r="U68" s="160">
        <f t="shared" si="11"/>
        <v>2.77</v>
      </c>
      <c r="V68" s="282">
        <f t="shared" si="12"/>
        <v>150.3556</v>
      </c>
      <c r="W68" s="176">
        <f t="shared" ref="W68:X68" si="63">C68/100</f>
        <v>1</v>
      </c>
      <c r="X68" s="176">
        <f t="shared" si="63"/>
        <v>1.84</v>
      </c>
      <c r="Y68" s="176">
        <f t="shared" si="14"/>
        <v>2.77</v>
      </c>
      <c r="Z68" s="283">
        <f t="shared" si="15"/>
        <v>5.0968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48.0</v>
      </c>
      <c r="B69" s="182" t="s">
        <v>64</v>
      </c>
      <c r="C69" s="183">
        <v>80.0</v>
      </c>
      <c r="D69" s="183">
        <v>163.0</v>
      </c>
      <c r="E69" s="183">
        <v>240.0</v>
      </c>
      <c r="F69" s="183">
        <f t="shared" si="5"/>
        <v>0.8</v>
      </c>
      <c r="G69" s="183">
        <f t="shared" si="6"/>
        <v>92.3232</v>
      </c>
      <c r="H69" s="184">
        <f t="shared" si="7"/>
        <v>73.85856</v>
      </c>
      <c r="I69" s="183">
        <v>1.0</v>
      </c>
      <c r="J69" s="194">
        <f t="shared" si="8"/>
        <v>73.85856</v>
      </c>
      <c r="K69" s="139"/>
      <c r="L69" s="197"/>
      <c r="M69" s="198"/>
      <c r="N69" s="198"/>
      <c r="O69" s="139"/>
      <c r="P69" s="139"/>
      <c r="Q69" s="176"/>
      <c r="R69" s="141">
        <v>29.5</v>
      </c>
      <c r="S69" s="176">
        <f t="shared" si="9"/>
        <v>2.4</v>
      </c>
      <c r="T69" s="160">
        <f t="shared" si="10"/>
        <v>1</v>
      </c>
      <c r="U69" s="160">
        <f t="shared" si="11"/>
        <v>2.4</v>
      </c>
      <c r="V69" s="282">
        <f t="shared" si="12"/>
        <v>92.3232</v>
      </c>
      <c r="W69" s="176">
        <f t="shared" ref="W69:X69" si="64">C69/100</f>
        <v>0.8</v>
      </c>
      <c r="X69" s="176">
        <f t="shared" si="64"/>
        <v>1.63</v>
      </c>
      <c r="Y69" s="176">
        <f t="shared" si="14"/>
        <v>2.4</v>
      </c>
      <c r="Z69" s="283">
        <f t="shared" si="15"/>
        <v>3.1296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49.0</v>
      </c>
      <c r="B70" s="191" t="s">
        <v>55</v>
      </c>
      <c r="C70" s="191">
        <v>99.0</v>
      </c>
      <c r="D70" s="191">
        <v>163.0</v>
      </c>
      <c r="E70" s="191">
        <v>240.0</v>
      </c>
      <c r="F70" s="191">
        <f t="shared" si="5"/>
        <v>0</v>
      </c>
      <c r="G70" s="191">
        <f t="shared" si="6"/>
        <v>114.24996</v>
      </c>
      <c r="H70" s="219">
        <f t="shared" si="7"/>
        <v>114.24996</v>
      </c>
      <c r="I70" s="218">
        <v>16.0</v>
      </c>
      <c r="J70" s="194">
        <f t="shared" si="8"/>
        <v>1827.99936</v>
      </c>
      <c r="K70" s="139"/>
      <c r="L70" s="197"/>
      <c r="M70" s="198"/>
      <c r="N70" s="198"/>
      <c r="O70" s="139"/>
      <c r="P70" s="139"/>
      <c r="Q70" s="176"/>
      <c r="R70" s="141">
        <v>29.5</v>
      </c>
      <c r="S70" s="176">
        <f t="shared" si="9"/>
        <v>2.4</v>
      </c>
      <c r="T70" s="160">
        <f t="shared" si="10"/>
        <v>16</v>
      </c>
      <c r="U70" s="160">
        <f t="shared" si="11"/>
        <v>38.4</v>
      </c>
      <c r="V70" s="282">
        <f t="shared" si="12"/>
        <v>114.24996</v>
      </c>
      <c r="W70" s="176">
        <f t="shared" ref="W70:X70" si="65">C70/100</f>
        <v>0.99</v>
      </c>
      <c r="X70" s="176">
        <f t="shared" si="65"/>
        <v>1.63</v>
      </c>
      <c r="Y70" s="176">
        <f t="shared" si="14"/>
        <v>38.4</v>
      </c>
      <c r="Z70" s="283">
        <f t="shared" si="15"/>
        <v>61.96608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50.0</v>
      </c>
      <c r="B71" s="191" t="s">
        <v>55</v>
      </c>
      <c r="C71" s="191">
        <v>100.0</v>
      </c>
      <c r="D71" s="191">
        <v>163.0</v>
      </c>
      <c r="E71" s="191">
        <v>240.0</v>
      </c>
      <c r="F71" s="191">
        <f t="shared" si="5"/>
        <v>0</v>
      </c>
      <c r="G71" s="191">
        <f t="shared" si="6"/>
        <v>115.404</v>
      </c>
      <c r="H71" s="219">
        <f t="shared" si="7"/>
        <v>115.404</v>
      </c>
      <c r="I71" s="218">
        <v>15.0</v>
      </c>
      <c r="J71" s="194">
        <f t="shared" si="8"/>
        <v>1731.06</v>
      </c>
      <c r="K71" s="139"/>
      <c r="L71" s="197"/>
      <c r="M71" s="198"/>
      <c r="N71" s="198"/>
      <c r="O71" s="139"/>
      <c r="P71" s="139"/>
      <c r="Q71" s="176"/>
      <c r="R71" s="141">
        <v>29.5</v>
      </c>
      <c r="S71" s="176">
        <f t="shared" si="9"/>
        <v>2.4</v>
      </c>
      <c r="T71" s="160">
        <f t="shared" si="10"/>
        <v>15</v>
      </c>
      <c r="U71" s="160">
        <f t="shared" si="11"/>
        <v>36</v>
      </c>
      <c r="V71" s="282">
        <f t="shared" si="12"/>
        <v>115.404</v>
      </c>
      <c r="W71" s="176">
        <f t="shared" ref="W71:X71" si="66">C71/100</f>
        <v>1</v>
      </c>
      <c r="X71" s="176">
        <f t="shared" si="66"/>
        <v>1.63</v>
      </c>
      <c r="Y71" s="176">
        <f t="shared" si="14"/>
        <v>36</v>
      </c>
      <c r="Z71" s="283">
        <f t="shared" si="15"/>
        <v>58.68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51.0</v>
      </c>
      <c r="B72" s="191" t="s">
        <v>55</v>
      </c>
      <c r="C72" s="191">
        <v>98.0</v>
      </c>
      <c r="D72" s="191">
        <v>163.0</v>
      </c>
      <c r="E72" s="191">
        <v>240.0</v>
      </c>
      <c r="F72" s="191">
        <f t="shared" si="5"/>
        <v>0</v>
      </c>
      <c r="G72" s="191">
        <f t="shared" si="6"/>
        <v>113.09592</v>
      </c>
      <c r="H72" s="219">
        <f t="shared" si="7"/>
        <v>113.09592</v>
      </c>
      <c r="I72" s="218">
        <v>1.0</v>
      </c>
      <c r="J72" s="194">
        <f t="shared" si="8"/>
        <v>113.09592</v>
      </c>
      <c r="K72" s="139"/>
      <c r="L72" s="197"/>
      <c r="M72" s="198"/>
      <c r="N72" s="198"/>
      <c r="O72" s="139"/>
      <c r="P72" s="139"/>
      <c r="Q72" s="176"/>
      <c r="R72" s="141">
        <v>29.5</v>
      </c>
      <c r="S72" s="176">
        <f t="shared" si="9"/>
        <v>2.4</v>
      </c>
      <c r="T72" s="160">
        <f t="shared" si="10"/>
        <v>1</v>
      </c>
      <c r="U72" s="160">
        <f t="shared" si="11"/>
        <v>2.4</v>
      </c>
      <c r="V72" s="282">
        <f t="shared" si="12"/>
        <v>113.09592</v>
      </c>
      <c r="W72" s="176">
        <f t="shared" ref="W72:X72" si="67">C72/100</f>
        <v>0.98</v>
      </c>
      <c r="X72" s="176">
        <f t="shared" si="67"/>
        <v>1.63</v>
      </c>
      <c r="Y72" s="176">
        <f t="shared" si="14"/>
        <v>2.4</v>
      </c>
      <c r="Z72" s="283">
        <f t="shared" si="15"/>
        <v>3.83376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52.0</v>
      </c>
      <c r="B73" s="191" t="s">
        <v>55</v>
      </c>
      <c r="C73" s="191">
        <v>93.0</v>
      </c>
      <c r="D73" s="191">
        <v>163.0</v>
      </c>
      <c r="E73" s="191">
        <v>235.0</v>
      </c>
      <c r="F73" s="191">
        <f t="shared" si="5"/>
        <v>0</v>
      </c>
      <c r="G73" s="191">
        <f t="shared" si="6"/>
        <v>105.0897675</v>
      </c>
      <c r="H73" s="219">
        <f t="shared" si="7"/>
        <v>105.0897675</v>
      </c>
      <c r="I73" s="218">
        <v>1.0</v>
      </c>
      <c r="J73" s="194">
        <f t="shared" si="8"/>
        <v>105.0897675</v>
      </c>
      <c r="K73" s="139"/>
      <c r="L73" s="197"/>
      <c r="M73" s="198"/>
      <c r="N73" s="198"/>
      <c r="O73" s="139"/>
      <c r="P73" s="139"/>
      <c r="Q73" s="176"/>
      <c r="R73" s="141">
        <v>29.5</v>
      </c>
      <c r="S73" s="176">
        <f t="shared" si="9"/>
        <v>2.35</v>
      </c>
      <c r="T73" s="160">
        <f t="shared" si="10"/>
        <v>1</v>
      </c>
      <c r="U73" s="160">
        <f t="shared" si="11"/>
        <v>2.35</v>
      </c>
      <c r="V73" s="282">
        <f t="shared" si="12"/>
        <v>105.0897675</v>
      </c>
      <c r="W73" s="176">
        <f t="shared" ref="W73:X73" si="68">C73/100</f>
        <v>0.93</v>
      </c>
      <c r="X73" s="176">
        <f t="shared" si="68"/>
        <v>1.63</v>
      </c>
      <c r="Y73" s="176">
        <f t="shared" si="14"/>
        <v>2.35</v>
      </c>
      <c r="Z73" s="283">
        <f t="shared" si="15"/>
        <v>3.562365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53.0</v>
      </c>
      <c r="B74" s="191" t="s">
        <v>55</v>
      </c>
      <c r="C74" s="191">
        <v>100.0</v>
      </c>
      <c r="D74" s="191">
        <v>163.0</v>
      </c>
      <c r="E74" s="191">
        <v>239.0</v>
      </c>
      <c r="F74" s="191">
        <f t="shared" si="5"/>
        <v>0</v>
      </c>
      <c r="G74" s="191">
        <f t="shared" si="6"/>
        <v>114.92315</v>
      </c>
      <c r="H74" s="219">
        <f t="shared" si="7"/>
        <v>114.92315</v>
      </c>
      <c r="I74" s="218">
        <v>1.0</v>
      </c>
      <c r="J74" s="194">
        <f t="shared" si="8"/>
        <v>114.92315</v>
      </c>
      <c r="K74" s="139"/>
      <c r="L74" s="197"/>
      <c r="M74" s="198"/>
      <c r="N74" s="198"/>
      <c r="O74" s="139"/>
      <c r="P74" s="139"/>
      <c r="Q74" s="176"/>
      <c r="R74" s="141">
        <v>29.5</v>
      </c>
      <c r="S74" s="176">
        <f t="shared" si="9"/>
        <v>2.39</v>
      </c>
      <c r="T74" s="160">
        <f t="shared" si="10"/>
        <v>1</v>
      </c>
      <c r="U74" s="160">
        <f t="shared" si="11"/>
        <v>2.39</v>
      </c>
      <c r="V74" s="282">
        <f t="shared" si="12"/>
        <v>114.92315</v>
      </c>
      <c r="W74" s="176">
        <f t="shared" ref="W74:X74" si="69">C74/100</f>
        <v>1</v>
      </c>
      <c r="X74" s="176">
        <f t="shared" si="69"/>
        <v>1.63</v>
      </c>
      <c r="Y74" s="176">
        <f t="shared" si="14"/>
        <v>2.39</v>
      </c>
      <c r="Z74" s="283">
        <f t="shared" si="15"/>
        <v>3.8957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54.0</v>
      </c>
      <c r="B75" s="191" t="s">
        <v>55</v>
      </c>
      <c r="C75" s="191">
        <v>102.0</v>
      </c>
      <c r="D75" s="191">
        <v>163.0</v>
      </c>
      <c r="E75" s="191">
        <v>240.0</v>
      </c>
      <c r="F75" s="191">
        <f t="shared" si="5"/>
        <v>0</v>
      </c>
      <c r="G75" s="191">
        <f t="shared" si="6"/>
        <v>117.71208</v>
      </c>
      <c r="H75" s="219">
        <f t="shared" si="7"/>
        <v>117.71208</v>
      </c>
      <c r="I75" s="218">
        <v>5.0</v>
      </c>
      <c r="J75" s="194">
        <f t="shared" si="8"/>
        <v>588.5604</v>
      </c>
      <c r="K75" s="139"/>
      <c r="L75" s="197"/>
      <c r="M75" s="198"/>
      <c r="N75" s="198"/>
      <c r="O75" s="139"/>
      <c r="P75" s="139"/>
      <c r="Q75" s="176"/>
      <c r="R75" s="141">
        <v>29.5</v>
      </c>
      <c r="S75" s="176">
        <f t="shared" si="9"/>
        <v>2.4</v>
      </c>
      <c r="T75" s="160">
        <f t="shared" si="10"/>
        <v>5</v>
      </c>
      <c r="U75" s="160">
        <f t="shared" si="11"/>
        <v>12</v>
      </c>
      <c r="V75" s="282">
        <f t="shared" si="12"/>
        <v>117.71208</v>
      </c>
      <c r="W75" s="176">
        <f t="shared" ref="W75:X75" si="70">C75/100</f>
        <v>1.02</v>
      </c>
      <c r="X75" s="176">
        <f t="shared" si="70"/>
        <v>1.63</v>
      </c>
      <c r="Y75" s="176">
        <f t="shared" si="14"/>
        <v>12</v>
      </c>
      <c r="Z75" s="283">
        <f t="shared" si="15"/>
        <v>19.9512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55.0</v>
      </c>
      <c r="B76" s="182" t="s">
        <v>64</v>
      </c>
      <c r="C76" s="183">
        <v>92.0</v>
      </c>
      <c r="D76" s="183">
        <v>203.0</v>
      </c>
      <c r="E76" s="183">
        <v>202.0</v>
      </c>
      <c r="F76" s="183">
        <f t="shared" si="5"/>
        <v>0.8</v>
      </c>
      <c r="G76" s="183">
        <f t="shared" si="6"/>
        <v>111.290284</v>
      </c>
      <c r="H76" s="184">
        <f t="shared" si="7"/>
        <v>89.0322272</v>
      </c>
      <c r="I76" s="183">
        <v>1.0</v>
      </c>
      <c r="J76" s="194">
        <f t="shared" si="8"/>
        <v>89.0322272</v>
      </c>
      <c r="K76" s="139"/>
      <c r="L76" s="197"/>
      <c r="M76" s="198"/>
      <c r="N76" s="198"/>
      <c r="O76" s="139"/>
      <c r="P76" s="139"/>
      <c r="Q76" s="176"/>
      <c r="R76" s="141">
        <v>29.5</v>
      </c>
      <c r="S76" s="176">
        <f t="shared" si="9"/>
        <v>2.02</v>
      </c>
      <c r="T76" s="160">
        <f t="shared" si="10"/>
        <v>1</v>
      </c>
      <c r="U76" s="160">
        <f t="shared" si="11"/>
        <v>2.02</v>
      </c>
      <c r="V76" s="282">
        <f t="shared" si="12"/>
        <v>111.290284</v>
      </c>
      <c r="W76" s="176">
        <f t="shared" ref="W76:X76" si="71">C76/100</f>
        <v>0.92</v>
      </c>
      <c r="X76" s="176">
        <f t="shared" si="71"/>
        <v>2.03</v>
      </c>
      <c r="Y76" s="176">
        <f t="shared" si="14"/>
        <v>2.02</v>
      </c>
      <c r="Z76" s="283">
        <f t="shared" si="15"/>
        <v>3.772552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56.0</v>
      </c>
      <c r="B77" s="191" t="s">
        <v>55</v>
      </c>
      <c r="C77" s="191">
        <v>96.0</v>
      </c>
      <c r="D77" s="191">
        <v>203.0</v>
      </c>
      <c r="E77" s="191">
        <v>233.0</v>
      </c>
      <c r="F77" s="191">
        <f t="shared" si="5"/>
        <v>0</v>
      </c>
      <c r="G77" s="191">
        <f t="shared" si="6"/>
        <v>133.950768</v>
      </c>
      <c r="H77" s="219">
        <f t="shared" si="7"/>
        <v>133.950768</v>
      </c>
      <c r="I77" s="218">
        <v>7.0</v>
      </c>
      <c r="J77" s="194">
        <f t="shared" si="8"/>
        <v>937.655376</v>
      </c>
      <c r="K77" s="139"/>
      <c r="L77" s="197"/>
      <c r="M77" s="198"/>
      <c r="N77" s="198"/>
      <c r="O77" s="139"/>
      <c r="P77" s="139"/>
      <c r="Q77" s="176"/>
      <c r="R77" s="141">
        <v>29.5</v>
      </c>
      <c r="S77" s="176">
        <f t="shared" si="9"/>
        <v>2.33</v>
      </c>
      <c r="T77" s="160">
        <f t="shared" si="10"/>
        <v>7</v>
      </c>
      <c r="U77" s="160">
        <f t="shared" si="11"/>
        <v>16.31</v>
      </c>
      <c r="V77" s="282">
        <f t="shared" si="12"/>
        <v>133.950768</v>
      </c>
      <c r="W77" s="176">
        <f t="shared" ref="W77:X77" si="72">C77/100</f>
        <v>0.96</v>
      </c>
      <c r="X77" s="176">
        <f t="shared" si="72"/>
        <v>2.03</v>
      </c>
      <c r="Y77" s="176">
        <f t="shared" si="14"/>
        <v>16.31</v>
      </c>
      <c r="Z77" s="283">
        <f t="shared" si="15"/>
        <v>31.784928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57.0</v>
      </c>
      <c r="B78" s="191" t="s">
        <v>55</v>
      </c>
      <c r="C78" s="191">
        <v>95.0</v>
      </c>
      <c r="D78" s="191">
        <v>203.0</v>
      </c>
      <c r="E78" s="191">
        <v>233.0</v>
      </c>
      <c r="F78" s="191">
        <f t="shared" si="5"/>
        <v>0</v>
      </c>
      <c r="G78" s="191">
        <f t="shared" si="6"/>
        <v>132.5554475</v>
      </c>
      <c r="H78" s="219">
        <f t="shared" si="7"/>
        <v>132.5554475</v>
      </c>
      <c r="I78" s="218">
        <v>1.0</v>
      </c>
      <c r="J78" s="194">
        <f t="shared" si="8"/>
        <v>132.5554475</v>
      </c>
      <c r="K78" s="139"/>
      <c r="L78" s="197"/>
      <c r="M78" s="198"/>
      <c r="N78" s="198"/>
      <c r="O78" s="139"/>
      <c r="P78" s="139"/>
      <c r="Q78" s="176"/>
      <c r="R78" s="141">
        <v>29.5</v>
      </c>
      <c r="S78" s="176">
        <f t="shared" si="9"/>
        <v>2.33</v>
      </c>
      <c r="T78" s="160">
        <f t="shared" si="10"/>
        <v>1</v>
      </c>
      <c r="U78" s="160">
        <f t="shared" si="11"/>
        <v>2.33</v>
      </c>
      <c r="V78" s="282">
        <f t="shared" si="12"/>
        <v>132.5554475</v>
      </c>
      <c r="W78" s="176">
        <f t="shared" ref="W78:X78" si="73">C78/100</f>
        <v>0.95</v>
      </c>
      <c r="X78" s="176">
        <f t="shared" si="73"/>
        <v>2.03</v>
      </c>
      <c r="Y78" s="176">
        <f t="shared" si="14"/>
        <v>2.33</v>
      </c>
      <c r="Z78" s="283">
        <f t="shared" si="15"/>
        <v>4.493405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58.0</v>
      </c>
      <c r="B79" s="191" t="s">
        <v>55</v>
      </c>
      <c r="C79" s="191">
        <v>97.0</v>
      </c>
      <c r="D79" s="191">
        <v>203.0</v>
      </c>
      <c r="E79" s="191">
        <v>242.0</v>
      </c>
      <c r="F79" s="191">
        <f t="shared" si="5"/>
        <v>0</v>
      </c>
      <c r="G79" s="191">
        <f t="shared" si="6"/>
        <v>140.574049</v>
      </c>
      <c r="H79" s="219">
        <f t="shared" si="7"/>
        <v>140.574049</v>
      </c>
      <c r="I79" s="218">
        <v>1.0</v>
      </c>
      <c r="J79" s="194">
        <f t="shared" si="8"/>
        <v>140.574049</v>
      </c>
      <c r="K79" s="139"/>
      <c r="L79" s="197"/>
      <c r="M79" s="198"/>
      <c r="N79" s="198"/>
      <c r="O79" s="139"/>
      <c r="P79" s="139"/>
      <c r="Q79" s="176"/>
      <c r="R79" s="141">
        <v>29.5</v>
      </c>
      <c r="S79" s="176">
        <f t="shared" si="9"/>
        <v>2.42</v>
      </c>
      <c r="T79" s="160">
        <f t="shared" si="10"/>
        <v>1</v>
      </c>
      <c r="U79" s="160">
        <f t="shared" si="11"/>
        <v>2.42</v>
      </c>
      <c r="V79" s="282">
        <f t="shared" si="12"/>
        <v>140.574049</v>
      </c>
      <c r="W79" s="176">
        <f t="shared" ref="W79:X79" si="74">C79/100</f>
        <v>0.97</v>
      </c>
      <c r="X79" s="176">
        <f t="shared" si="74"/>
        <v>2.03</v>
      </c>
      <c r="Y79" s="176">
        <f t="shared" si="14"/>
        <v>2.42</v>
      </c>
      <c r="Z79" s="283">
        <f t="shared" si="15"/>
        <v>4.765222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59.0</v>
      </c>
      <c r="B80" s="191" t="s">
        <v>55</v>
      </c>
      <c r="C80" s="191">
        <v>96.0</v>
      </c>
      <c r="D80" s="191">
        <v>203.0</v>
      </c>
      <c r="E80" s="191">
        <v>225.0</v>
      </c>
      <c r="F80" s="191">
        <f t="shared" si="5"/>
        <v>0</v>
      </c>
      <c r="G80" s="191">
        <f t="shared" si="6"/>
        <v>129.3516</v>
      </c>
      <c r="H80" s="219">
        <f t="shared" si="7"/>
        <v>129.3516</v>
      </c>
      <c r="I80" s="218">
        <v>1.0</v>
      </c>
      <c r="J80" s="194">
        <f t="shared" si="8"/>
        <v>129.3516</v>
      </c>
      <c r="K80" s="139"/>
      <c r="L80" s="197"/>
      <c r="M80" s="198"/>
      <c r="N80" s="198"/>
      <c r="O80" s="139"/>
      <c r="P80" s="139"/>
      <c r="Q80" s="176"/>
      <c r="R80" s="141">
        <v>29.5</v>
      </c>
      <c r="S80" s="176">
        <f t="shared" si="9"/>
        <v>2.25</v>
      </c>
      <c r="T80" s="160">
        <f t="shared" si="10"/>
        <v>1</v>
      </c>
      <c r="U80" s="160">
        <f t="shared" si="11"/>
        <v>2.25</v>
      </c>
      <c r="V80" s="282">
        <f t="shared" si="12"/>
        <v>129.3516</v>
      </c>
      <c r="W80" s="176">
        <f t="shared" ref="W80:X80" si="75">C80/100</f>
        <v>0.96</v>
      </c>
      <c r="X80" s="176">
        <f t="shared" si="75"/>
        <v>2.03</v>
      </c>
      <c r="Y80" s="176">
        <f t="shared" si="14"/>
        <v>2.25</v>
      </c>
      <c r="Z80" s="283">
        <f t="shared" si="15"/>
        <v>4.3848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>
        <v>60.0</v>
      </c>
      <c r="B81" s="191" t="s">
        <v>55</v>
      </c>
      <c r="C81" s="191">
        <v>96.0</v>
      </c>
      <c r="D81" s="191">
        <v>203.0</v>
      </c>
      <c r="E81" s="191">
        <v>203.0</v>
      </c>
      <c r="F81" s="191">
        <f t="shared" si="5"/>
        <v>0</v>
      </c>
      <c r="G81" s="191">
        <f t="shared" si="6"/>
        <v>116.703888</v>
      </c>
      <c r="H81" s="219">
        <f t="shared" si="7"/>
        <v>116.703888</v>
      </c>
      <c r="I81" s="218">
        <v>5.0</v>
      </c>
      <c r="J81" s="194">
        <f t="shared" si="8"/>
        <v>583.51944</v>
      </c>
      <c r="K81" s="139"/>
      <c r="L81" s="176">
        <f t="shared" ref="L81:L82" si="77">D81*25.4/1000</f>
        <v>5.1562</v>
      </c>
      <c r="M81" s="160">
        <f t="shared" ref="M81:M91" si="78">+I81</f>
        <v>5</v>
      </c>
      <c r="N81" s="160">
        <f t="shared" ref="N81:N82" si="79">M81*L81</f>
        <v>25.781</v>
      </c>
      <c r="O81" s="139"/>
      <c r="P81" s="139"/>
      <c r="Q81" s="176"/>
      <c r="R81" s="141">
        <v>29.5</v>
      </c>
      <c r="S81" s="176">
        <f t="shared" si="9"/>
        <v>2.03</v>
      </c>
      <c r="T81" s="160">
        <f t="shared" si="10"/>
        <v>5</v>
      </c>
      <c r="U81" s="160">
        <f t="shared" si="11"/>
        <v>10.15</v>
      </c>
      <c r="V81" s="282">
        <f t="shared" si="12"/>
        <v>116.703888</v>
      </c>
      <c r="W81" s="176">
        <f t="shared" ref="W81:X81" si="76">C81/100</f>
        <v>0.96</v>
      </c>
      <c r="X81" s="176">
        <f t="shared" si="76"/>
        <v>2.03</v>
      </c>
      <c r="Y81" s="176">
        <f t="shared" si="14"/>
        <v>10.15</v>
      </c>
      <c r="Z81" s="283">
        <f t="shared" si="15"/>
        <v>19.78032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60">
        <v>61.0</v>
      </c>
      <c r="B82" s="191" t="s">
        <v>55</v>
      </c>
      <c r="C82" s="191">
        <v>96.0</v>
      </c>
      <c r="D82" s="191">
        <v>203.0</v>
      </c>
      <c r="E82" s="191">
        <v>202.0</v>
      </c>
      <c r="F82" s="191">
        <f t="shared" si="5"/>
        <v>0</v>
      </c>
      <c r="G82" s="191">
        <f t="shared" si="6"/>
        <v>116.128992</v>
      </c>
      <c r="H82" s="219">
        <f t="shared" si="7"/>
        <v>116.128992</v>
      </c>
      <c r="I82" s="218">
        <v>9.0</v>
      </c>
      <c r="J82" s="194">
        <f t="shared" si="8"/>
        <v>1045.160928</v>
      </c>
      <c r="K82" s="139"/>
      <c r="L82" s="197">
        <f t="shared" si="77"/>
        <v>5.1562</v>
      </c>
      <c r="M82" s="198">
        <f t="shared" si="78"/>
        <v>9</v>
      </c>
      <c r="N82" s="198">
        <f t="shared" si="79"/>
        <v>46.4058</v>
      </c>
      <c r="O82" s="139"/>
      <c r="P82" s="139"/>
      <c r="Q82" s="176"/>
      <c r="R82" s="141">
        <v>29.5</v>
      </c>
      <c r="S82" s="176">
        <f t="shared" si="9"/>
        <v>2.02</v>
      </c>
      <c r="T82" s="160">
        <f t="shared" si="10"/>
        <v>9</v>
      </c>
      <c r="U82" s="160">
        <f t="shared" si="11"/>
        <v>18.18</v>
      </c>
      <c r="V82" s="282">
        <f t="shared" si="12"/>
        <v>116.128992</v>
      </c>
      <c r="W82" s="176">
        <f t="shared" ref="W82:X82" si="80">C82/100</f>
        <v>0.96</v>
      </c>
      <c r="X82" s="176">
        <f t="shared" si="80"/>
        <v>2.03</v>
      </c>
      <c r="Y82" s="176">
        <f t="shared" si="14"/>
        <v>18.18</v>
      </c>
      <c r="Z82" s="283">
        <f t="shared" si="15"/>
        <v>35.429184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customHeight="1">
      <c r="A83" s="160">
        <v>62.0</v>
      </c>
      <c r="B83" s="191" t="s">
        <v>55</v>
      </c>
      <c r="C83" s="191">
        <v>96.0</v>
      </c>
      <c r="D83" s="191">
        <v>203.0</v>
      </c>
      <c r="E83" s="191">
        <v>232.0</v>
      </c>
      <c r="F83" s="191">
        <f t="shared" si="5"/>
        <v>0</v>
      </c>
      <c r="G83" s="191">
        <f t="shared" si="6"/>
        <v>133.375872</v>
      </c>
      <c r="H83" s="219">
        <f t="shared" si="7"/>
        <v>133.375872</v>
      </c>
      <c r="I83" s="218">
        <v>10.0</v>
      </c>
      <c r="J83" s="194">
        <f t="shared" si="8"/>
        <v>1333.75872</v>
      </c>
      <c r="K83" s="139"/>
      <c r="L83" s="197"/>
      <c r="M83" s="198">
        <f t="shared" si="78"/>
        <v>10</v>
      </c>
      <c r="N83" s="198"/>
      <c r="O83" s="139"/>
      <c r="P83" s="139"/>
      <c r="Q83" s="176"/>
      <c r="R83" s="141">
        <v>29.5</v>
      </c>
      <c r="S83" s="176">
        <f t="shared" si="9"/>
        <v>2.32</v>
      </c>
      <c r="T83" s="160">
        <f t="shared" si="10"/>
        <v>10</v>
      </c>
      <c r="U83" s="160">
        <f t="shared" si="11"/>
        <v>23.2</v>
      </c>
      <c r="V83" s="282">
        <f t="shared" si="12"/>
        <v>133.375872</v>
      </c>
      <c r="W83" s="176">
        <f t="shared" ref="W83:X83" si="81">C83/100</f>
        <v>0.96</v>
      </c>
      <c r="X83" s="176">
        <f t="shared" si="81"/>
        <v>2.03</v>
      </c>
      <c r="Y83" s="176">
        <f t="shared" si="14"/>
        <v>23.2</v>
      </c>
      <c r="Z83" s="283">
        <f t="shared" si="15"/>
        <v>45.21216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customHeight="1">
      <c r="A84" s="160">
        <v>63.0</v>
      </c>
      <c r="B84" s="191" t="s">
        <v>55</v>
      </c>
      <c r="C84" s="191">
        <v>97.0</v>
      </c>
      <c r="D84" s="191">
        <v>203.0</v>
      </c>
      <c r="E84" s="191">
        <v>203.0</v>
      </c>
      <c r="F84" s="191">
        <f t="shared" si="5"/>
        <v>0</v>
      </c>
      <c r="G84" s="191">
        <f t="shared" si="6"/>
        <v>117.9195535</v>
      </c>
      <c r="H84" s="219">
        <f t="shared" si="7"/>
        <v>117.9195535</v>
      </c>
      <c r="I84" s="218">
        <v>1.0</v>
      </c>
      <c r="J84" s="194">
        <f t="shared" si="8"/>
        <v>117.9195535</v>
      </c>
      <c r="K84" s="139"/>
      <c r="L84" s="197"/>
      <c r="M84" s="198">
        <f t="shared" si="78"/>
        <v>1</v>
      </c>
      <c r="N84" s="198"/>
      <c r="O84" s="139"/>
      <c r="P84" s="139"/>
      <c r="Q84" s="176"/>
      <c r="R84" s="141">
        <v>29.5</v>
      </c>
      <c r="S84" s="176">
        <f t="shared" si="9"/>
        <v>2.03</v>
      </c>
      <c r="T84" s="160">
        <f t="shared" si="10"/>
        <v>1</v>
      </c>
      <c r="U84" s="160">
        <f t="shared" si="11"/>
        <v>2.03</v>
      </c>
      <c r="V84" s="282">
        <f t="shared" si="12"/>
        <v>117.9195535</v>
      </c>
      <c r="W84" s="176">
        <f t="shared" ref="W84:X84" si="82">C84/100</f>
        <v>0.97</v>
      </c>
      <c r="X84" s="176">
        <f t="shared" si="82"/>
        <v>2.03</v>
      </c>
      <c r="Y84" s="176">
        <f t="shared" si="14"/>
        <v>2.03</v>
      </c>
      <c r="Z84" s="283">
        <f t="shared" si="15"/>
        <v>3.997273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customHeight="1">
      <c r="A85" s="160">
        <v>64.0</v>
      </c>
      <c r="B85" s="191" t="s">
        <v>55</v>
      </c>
      <c r="C85" s="191">
        <v>95.0</v>
      </c>
      <c r="D85" s="191">
        <v>203.0</v>
      </c>
      <c r="E85" s="191">
        <v>203.0</v>
      </c>
      <c r="F85" s="191">
        <f t="shared" si="5"/>
        <v>0</v>
      </c>
      <c r="G85" s="191">
        <f t="shared" si="6"/>
        <v>115.4882225</v>
      </c>
      <c r="H85" s="219">
        <f t="shared" si="7"/>
        <v>115.4882225</v>
      </c>
      <c r="I85" s="218">
        <v>1.0</v>
      </c>
      <c r="J85" s="194">
        <f t="shared" si="8"/>
        <v>115.4882225</v>
      </c>
      <c r="K85" s="139"/>
      <c r="L85" s="197"/>
      <c r="M85" s="198">
        <f t="shared" si="78"/>
        <v>1</v>
      </c>
      <c r="N85" s="198"/>
      <c r="O85" s="139"/>
      <c r="P85" s="139"/>
      <c r="Q85" s="176"/>
      <c r="R85" s="141">
        <v>29.5</v>
      </c>
      <c r="S85" s="176">
        <f t="shared" si="9"/>
        <v>2.03</v>
      </c>
      <c r="T85" s="160">
        <f t="shared" si="10"/>
        <v>1</v>
      </c>
      <c r="U85" s="160">
        <f t="shared" si="11"/>
        <v>2.03</v>
      </c>
      <c r="V85" s="282">
        <f t="shared" si="12"/>
        <v>115.4882225</v>
      </c>
      <c r="W85" s="176">
        <f t="shared" ref="W85:X85" si="83">C85/100</f>
        <v>0.95</v>
      </c>
      <c r="X85" s="176">
        <f t="shared" si="83"/>
        <v>2.03</v>
      </c>
      <c r="Y85" s="176">
        <f t="shared" si="14"/>
        <v>2.03</v>
      </c>
      <c r="Z85" s="283">
        <f t="shared" si="15"/>
        <v>3.914855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customHeight="1">
      <c r="A86" s="160">
        <v>65.0</v>
      </c>
      <c r="B86" s="191" t="s">
        <v>55</v>
      </c>
      <c r="C86" s="191">
        <v>95.0</v>
      </c>
      <c r="D86" s="191">
        <v>203.0</v>
      </c>
      <c r="E86" s="191">
        <v>202.0</v>
      </c>
      <c r="F86" s="191">
        <f t="shared" si="5"/>
        <v>0</v>
      </c>
      <c r="G86" s="191">
        <f t="shared" si="6"/>
        <v>114.919315</v>
      </c>
      <c r="H86" s="219">
        <f t="shared" si="7"/>
        <v>114.919315</v>
      </c>
      <c r="I86" s="218">
        <v>1.0</v>
      </c>
      <c r="J86" s="194">
        <f t="shared" si="8"/>
        <v>114.919315</v>
      </c>
      <c r="K86" s="139"/>
      <c r="L86" s="197"/>
      <c r="M86" s="198">
        <f t="shared" si="78"/>
        <v>1</v>
      </c>
      <c r="N86" s="198"/>
      <c r="O86" s="139"/>
      <c r="P86" s="139"/>
      <c r="Q86" s="176"/>
      <c r="R86" s="141">
        <v>29.5</v>
      </c>
      <c r="S86" s="176">
        <f t="shared" si="9"/>
        <v>2.02</v>
      </c>
      <c r="T86" s="160">
        <f t="shared" si="10"/>
        <v>1</v>
      </c>
      <c r="U86" s="160">
        <f t="shared" si="11"/>
        <v>2.02</v>
      </c>
      <c r="V86" s="282">
        <f t="shared" si="12"/>
        <v>114.919315</v>
      </c>
      <c r="W86" s="176">
        <f t="shared" ref="W86:X86" si="84">C86/100</f>
        <v>0.95</v>
      </c>
      <c r="X86" s="176">
        <f t="shared" si="84"/>
        <v>2.03</v>
      </c>
      <c r="Y86" s="176">
        <f t="shared" si="14"/>
        <v>2.02</v>
      </c>
      <c r="Z86" s="283">
        <f t="shared" si="15"/>
        <v>3.89557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customHeight="1">
      <c r="A87" s="160">
        <v>66.0</v>
      </c>
      <c r="B87" s="191" t="s">
        <v>55</v>
      </c>
      <c r="C87" s="191">
        <v>97.0</v>
      </c>
      <c r="D87" s="191">
        <v>203.0</v>
      </c>
      <c r="E87" s="191">
        <v>202.0</v>
      </c>
      <c r="F87" s="191">
        <f t="shared" si="5"/>
        <v>0</v>
      </c>
      <c r="G87" s="191">
        <f t="shared" si="6"/>
        <v>117.338669</v>
      </c>
      <c r="H87" s="219">
        <f t="shared" si="7"/>
        <v>117.338669</v>
      </c>
      <c r="I87" s="218">
        <v>4.0</v>
      </c>
      <c r="J87" s="194">
        <f t="shared" si="8"/>
        <v>469.354676</v>
      </c>
      <c r="K87" s="139"/>
      <c r="L87" s="197"/>
      <c r="M87" s="198">
        <f t="shared" si="78"/>
        <v>4</v>
      </c>
      <c r="N87" s="198"/>
      <c r="O87" s="139"/>
      <c r="P87" s="139"/>
      <c r="Q87" s="176"/>
      <c r="R87" s="141">
        <v>29.5</v>
      </c>
      <c r="S87" s="176">
        <f t="shared" si="9"/>
        <v>2.02</v>
      </c>
      <c r="T87" s="160">
        <f t="shared" si="10"/>
        <v>4</v>
      </c>
      <c r="U87" s="160">
        <f t="shared" si="11"/>
        <v>8.08</v>
      </c>
      <c r="V87" s="282">
        <f t="shared" si="12"/>
        <v>117.338669</v>
      </c>
      <c r="W87" s="176">
        <f t="shared" ref="W87:X87" si="85">C87/100</f>
        <v>0.97</v>
      </c>
      <c r="X87" s="176">
        <f t="shared" si="85"/>
        <v>2.03</v>
      </c>
      <c r="Y87" s="176">
        <f t="shared" si="14"/>
        <v>8.08</v>
      </c>
      <c r="Z87" s="283">
        <f t="shared" si="15"/>
        <v>15.910328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customHeight="1">
      <c r="A88" s="160">
        <v>67.0</v>
      </c>
      <c r="B88" s="191" t="s">
        <v>55</v>
      </c>
      <c r="C88" s="191">
        <v>79.0</v>
      </c>
      <c r="D88" s="191">
        <v>203.0</v>
      </c>
      <c r="E88" s="191">
        <v>143.0</v>
      </c>
      <c r="F88" s="191">
        <f t="shared" si="5"/>
        <v>0</v>
      </c>
      <c r="G88" s="191">
        <f t="shared" si="6"/>
        <v>67.6520845</v>
      </c>
      <c r="H88" s="219">
        <f t="shared" si="7"/>
        <v>67.6520845</v>
      </c>
      <c r="I88" s="218">
        <v>1.0</v>
      </c>
      <c r="J88" s="194">
        <f t="shared" si="8"/>
        <v>67.6520845</v>
      </c>
      <c r="K88" s="139"/>
      <c r="L88" s="197"/>
      <c r="M88" s="198">
        <f t="shared" si="78"/>
        <v>1</v>
      </c>
      <c r="N88" s="198"/>
      <c r="O88" s="139"/>
      <c r="P88" s="139"/>
      <c r="Q88" s="176"/>
      <c r="R88" s="141">
        <v>29.5</v>
      </c>
      <c r="S88" s="176">
        <f t="shared" si="9"/>
        <v>1.43</v>
      </c>
      <c r="T88" s="160">
        <f t="shared" si="10"/>
        <v>1</v>
      </c>
      <c r="U88" s="160">
        <f t="shared" si="11"/>
        <v>1.43</v>
      </c>
      <c r="V88" s="282">
        <f t="shared" si="12"/>
        <v>67.6520845</v>
      </c>
      <c r="W88" s="176">
        <f t="shared" ref="W88:X88" si="86">C88/100</f>
        <v>0.79</v>
      </c>
      <c r="X88" s="176">
        <f t="shared" si="86"/>
        <v>2.03</v>
      </c>
      <c r="Y88" s="176">
        <f t="shared" si="14"/>
        <v>1.43</v>
      </c>
      <c r="Z88" s="283">
        <f t="shared" si="15"/>
        <v>2.293291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60">
        <v>68.0</v>
      </c>
      <c r="B89" s="191" t="s">
        <v>55</v>
      </c>
      <c r="C89" s="191">
        <v>92.0</v>
      </c>
      <c r="D89" s="191">
        <v>203.0</v>
      </c>
      <c r="E89" s="191">
        <v>223.0</v>
      </c>
      <c r="F89" s="191">
        <f t="shared" si="5"/>
        <v>0</v>
      </c>
      <c r="G89" s="191">
        <f t="shared" si="6"/>
        <v>122.860066</v>
      </c>
      <c r="H89" s="219">
        <f t="shared" si="7"/>
        <v>122.860066</v>
      </c>
      <c r="I89" s="218">
        <v>1.0</v>
      </c>
      <c r="J89" s="194">
        <f t="shared" si="8"/>
        <v>122.860066</v>
      </c>
      <c r="K89" s="139"/>
      <c r="L89" s="197"/>
      <c r="M89" s="198">
        <f t="shared" si="78"/>
        <v>1</v>
      </c>
      <c r="N89" s="198"/>
      <c r="O89" s="139"/>
      <c r="P89" s="139"/>
      <c r="Q89" s="176"/>
      <c r="R89" s="141">
        <v>29.5</v>
      </c>
      <c r="S89" s="176">
        <f t="shared" si="9"/>
        <v>2.23</v>
      </c>
      <c r="T89" s="160">
        <f t="shared" si="10"/>
        <v>1</v>
      </c>
      <c r="U89" s="160">
        <f t="shared" si="11"/>
        <v>2.23</v>
      </c>
      <c r="V89" s="282">
        <f t="shared" si="12"/>
        <v>122.860066</v>
      </c>
      <c r="W89" s="176">
        <f t="shared" ref="W89:X89" si="87">C89/100</f>
        <v>0.92</v>
      </c>
      <c r="X89" s="176">
        <f t="shared" si="87"/>
        <v>2.03</v>
      </c>
      <c r="Y89" s="176">
        <f t="shared" si="14"/>
        <v>2.23</v>
      </c>
      <c r="Z89" s="283">
        <f t="shared" si="15"/>
        <v>4.164748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customHeight="1">
      <c r="A90" s="160">
        <v>69.0</v>
      </c>
      <c r="B90" s="182" t="s">
        <v>92</v>
      </c>
      <c r="C90" s="191">
        <v>77.0</v>
      </c>
      <c r="D90" s="191">
        <v>200.0</v>
      </c>
      <c r="E90" s="191">
        <v>206.0</v>
      </c>
      <c r="F90" s="191">
        <f t="shared" si="5"/>
        <v>0.8</v>
      </c>
      <c r="G90" s="191">
        <f t="shared" si="6"/>
        <v>99.9306</v>
      </c>
      <c r="H90" s="219">
        <f t="shared" si="7"/>
        <v>79.94448</v>
      </c>
      <c r="I90" s="218">
        <v>1.0</v>
      </c>
      <c r="J90" s="194">
        <f t="shared" si="8"/>
        <v>79.94448</v>
      </c>
      <c r="K90" s="139"/>
      <c r="L90" s="197"/>
      <c r="M90" s="198">
        <f t="shared" si="78"/>
        <v>1</v>
      </c>
      <c r="N90" s="198"/>
      <c r="O90" s="139"/>
      <c r="P90" s="139"/>
      <c r="Q90" s="176"/>
      <c r="R90" s="141">
        <v>31.5</v>
      </c>
      <c r="S90" s="176">
        <f t="shared" si="9"/>
        <v>2.06</v>
      </c>
      <c r="T90" s="160">
        <f t="shared" si="10"/>
        <v>1</v>
      </c>
      <c r="U90" s="160">
        <f t="shared" si="11"/>
        <v>2.06</v>
      </c>
      <c r="V90" s="282">
        <f t="shared" si="12"/>
        <v>99.9306</v>
      </c>
      <c r="W90" s="176">
        <f t="shared" ref="W90:X90" si="88">C90/100</f>
        <v>0.77</v>
      </c>
      <c r="X90" s="176">
        <f t="shared" si="88"/>
        <v>2</v>
      </c>
      <c r="Y90" s="176">
        <f t="shared" si="14"/>
        <v>2.06</v>
      </c>
      <c r="Z90" s="283">
        <f t="shared" si="15"/>
        <v>3.1724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60">
        <v>70.0</v>
      </c>
      <c r="B91" s="191" t="s">
        <v>84</v>
      </c>
      <c r="C91" s="191">
        <v>59.0</v>
      </c>
      <c r="D91" s="191">
        <v>200.0</v>
      </c>
      <c r="E91" s="191">
        <v>96.0</v>
      </c>
      <c r="F91" s="191">
        <f t="shared" si="5"/>
        <v>0</v>
      </c>
      <c r="G91" s="191">
        <f t="shared" si="6"/>
        <v>35.6832</v>
      </c>
      <c r="H91" s="219">
        <f t="shared" si="7"/>
        <v>35.6832</v>
      </c>
      <c r="I91" s="218">
        <v>1.0</v>
      </c>
      <c r="J91" s="194">
        <f t="shared" si="8"/>
        <v>35.6832</v>
      </c>
      <c r="K91" s="139"/>
      <c r="L91" s="197"/>
      <c r="M91" s="198">
        <f t="shared" si="78"/>
        <v>1</v>
      </c>
      <c r="N91" s="198"/>
      <c r="O91" s="139"/>
      <c r="P91" s="139"/>
      <c r="Q91" s="176"/>
      <c r="R91" s="141">
        <v>31.5</v>
      </c>
      <c r="S91" s="176">
        <f t="shared" si="9"/>
        <v>0.96</v>
      </c>
      <c r="T91" s="160">
        <f t="shared" si="10"/>
        <v>1</v>
      </c>
      <c r="U91" s="160">
        <f t="shared" si="11"/>
        <v>0.96</v>
      </c>
      <c r="V91" s="282">
        <f t="shared" si="12"/>
        <v>35.6832</v>
      </c>
      <c r="W91" s="176">
        <f t="shared" ref="W91:X91" si="89">C91/100</f>
        <v>0.59</v>
      </c>
      <c r="X91" s="176">
        <f t="shared" si="89"/>
        <v>2</v>
      </c>
      <c r="Y91" s="176">
        <f t="shared" si="14"/>
        <v>0.96</v>
      </c>
      <c r="Z91" s="283">
        <f t="shared" si="15"/>
        <v>1.1328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60"/>
      <c r="B92" s="176"/>
      <c r="C92" s="176"/>
      <c r="D92" s="176"/>
      <c r="E92" s="176"/>
      <c r="F92" s="176"/>
      <c r="G92" s="176"/>
      <c r="H92" s="179"/>
      <c r="I92" s="160"/>
      <c r="J92" s="203">
        <f>+Q129</f>
        <v>158.8</v>
      </c>
      <c r="K92" s="139"/>
      <c r="L92" s="139"/>
      <c r="M92" s="139"/>
      <c r="N92" s="139"/>
      <c r="O92" s="139"/>
      <c r="P92" s="139"/>
      <c r="Q92" s="139"/>
      <c r="R92" s="204"/>
      <c r="S92" s="187">
        <f t="shared" si="9"/>
        <v>0</v>
      </c>
      <c r="T92" s="181" t="str">
        <f t="shared" si="10"/>
        <v/>
      </c>
      <c r="U92" s="181">
        <f t="shared" si="11"/>
        <v>0</v>
      </c>
      <c r="V92" s="186"/>
      <c r="W92" s="187">
        <f t="shared" ref="W92:X92" si="90">C92/100</f>
        <v>0</v>
      </c>
      <c r="X92" s="187">
        <f t="shared" si="90"/>
        <v>0</v>
      </c>
      <c r="Y92" s="187">
        <f t="shared" si="14"/>
        <v>0</v>
      </c>
      <c r="Z92" s="18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60"/>
      <c r="B93" s="205"/>
      <c r="C93" s="205"/>
      <c r="D93" s="205"/>
      <c r="E93" s="205"/>
      <c r="F93" s="205"/>
      <c r="G93" s="205"/>
      <c r="H93" s="206"/>
      <c r="I93" s="207">
        <f>SUM(I22:I91)</f>
        <v>237</v>
      </c>
      <c r="J93" s="208">
        <f>SUM(J22:J92)</f>
        <v>28880.98186</v>
      </c>
      <c r="K93" s="209"/>
      <c r="L93" s="209"/>
      <c r="M93" s="209"/>
      <c r="N93" s="209"/>
      <c r="O93" s="209"/>
      <c r="P93" s="209"/>
      <c r="Q93" s="209"/>
      <c r="R93" s="141"/>
      <c r="S93" s="209">
        <f>SUMIFS($T$22:$T$91,$S$22:$S$91,"&gt;=3")</f>
        <v>0</v>
      </c>
      <c r="T93" s="209">
        <f t="shared" ref="T93:U93" si="91">SUM(T22:T91)</f>
        <v>237</v>
      </c>
      <c r="U93" s="209">
        <f t="shared" si="91"/>
        <v>559.96</v>
      </c>
      <c r="V93" s="209"/>
      <c r="W93" s="209"/>
      <c r="X93" s="209"/>
      <c r="Y93" s="209"/>
      <c r="Z93" s="210">
        <f>SUM(Z22:Z92)</f>
        <v>1074.370513</v>
      </c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</row>
    <row r="94" ht="29.25" customHeight="1">
      <c r="A94" s="139"/>
      <c r="B94" s="139"/>
      <c r="C94" s="139"/>
      <c r="D94" s="139"/>
      <c r="E94" s="139"/>
      <c r="F94" s="139"/>
      <c r="G94" s="139"/>
      <c r="H94" s="140"/>
      <c r="I94" s="139"/>
      <c r="J94" s="139"/>
      <c r="K94" s="139"/>
      <c r="L94" s="139"/>
      <c r="M94" s="139"/>
      <c r="N94" s="139"/>
      <c r="O94" s="139"/>
      <c r="P94" s="139"/>
      <c r="Q94" s="139"/>
      <c r="R94" s="141"/>
      <c r="S94" s="186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9.25" customHeight="1">
      <c r="A95" s="139"/>
      <c r="B95" s="139"/>
      <c r="C95" s="139"/>
      <c r="D95" s="139"/>
      <c r="E95" s="139"/>
      <c r="F95" s="139"/>
      <c r="G95" s="139"/>
      <c r="H95" s="140"/>
      <c r="I95" s="139"/>
      <c r="J95" s="139"/>
      <c r="K95" s="139"/>
      <c r="L95" s="139"/>
      <c r="M95" s="139"/>
      <c r="N95" s="139"/>
      <c r="O95" s="139"/>
      <c r="P95" s="139"/>
      <c r="Q95" s="139"/>
      <c r="R95" s="204"/>
      <c r="S95" s="139"/>
      <c r="T95" s="139" t="s">
        <v>48</v>
      </c>
      <c r="U95" s="139" t="s">
        <v>72</v>
      </c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9.25" customHeight="1">
      <c r="A96" s="139"/>
      <c r="B96" s="139"/>
      <c r="C96" s="139"/>
      <c r="D96" s="139"/>
      <c r="E96" s="139"/>
      <c r="F96" s="139"/>
      <c r="G96" s="139"/>
      <c r="H96" s="140"/>
      <c r="I96" s="139"/>
      <c r="J96" s="139"/>
      <c r="K96" s="139"/>
      <c r="L96" s="139"/>
      <c r="M96" s="139"/>
      <c r="N96" s="139"/>
      <c r="O96" s="139"/>
      <c r="P96" s="139"/>
      <c r="Q96" s="139"/>
      <c r="R96" s="141"/>
      <c r="S96" s="139" t="s">
        <v>31</v>
      </c>
      <c r="T96" s="211">
        <f>SUMIFS($J$22:$J$91,$S$22:$S$91,"&gt;=3")</f>
        <v>0</v>
      </c>
      <c r="U96" s="212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9.25" customHeight="1">
      <c r="A97" s="139" t="s">
        <v>32</v>
      </c>
      <c r="B97" s="139"/>
      <c r="C97" s="139"/>
      <c r="D97" s="139" t="s">
        <v>33</v>
      </c>
      <c r="E97" s="139"/>
      <c r="F97" s="139"/>
      <c r="G97" s="139"/>
      <c r="H97" s="140"/>
      <c r="I97" s="139"/>
      <c r="J97" s="139"/>
      <c r="K97" s="139"/>
      <c r="L97" s="139"/>
      <c r="M97" s="139"/>
      <c r="N97" s="139"/>
      <c r="O97" s="139"/>
      <c r="P97" s="139"/>
      <c r="Q97" s="139"/>
      <c r="R97" s="141"/>
      <c r="S97" s="139" t="s">
        <v>34</v>
      </c>
      <c r="T97" s="213">
        <f>J93-T96</f>
        <v>28880.98186</v>
      </c>
      <c r="U97" s="212">
        <f>+SUMIFS($U$22:$U$91,$S$22:$S$91,"&gt;=3")</f>
        <v>0</v>
      </c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9.25" customHeight="1">
      <c r="A98" s="139"/>
      <c r="B98" s="139"/>
      <c r="C98" s="139"/>
      <c r="D98" s="139"/>
      <c r="E98" s="139"/>
      <c r="F98" s="139"/>
      <c r="G98" s="139"/>
      <c r="H98" s="140"/>
      <c r="I98" s="139"/>
      <c r="J98" s="139"/>
      <c r="K98" s="139"/>
      <c r="L98" s="139"/>
      <c r="M98" s="139"/>
      <c r="N98" s="139"/>
      <c r="O98" s="139"/>
      <c r="P98" s="139"/>
      <c r="Q98" s="139"/>
      <c r="R98" s="204"/>
      <c r="S98" s="139"/>
      <c r="T98" s="214">
        <f>+I93</f>
        <v>237</v>
      </c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39.0" customHeight="1">
      <c r="A99" s="176"/>
      <c r="B99" s="160" t="s">
        <v>12</v>
      </c>
      <c r="C99" s="177" t="s">
        <v>73</v>
      </c>
      <c r="D99" s="52"/>
      <c r="E99" s="53"/>
      <c r="F99" s="178"/>
      <c r="G99" s="178"/>
      <c r="H99" s="179" t="s">
        <v>14</v>
      </c>
      <c r="I99" s="160" t="s">
        <v>15</v>
      </c>
      <c r="J99" s="160" t="s">
        <v>16</v>
      </c>
      <c r="K99" s="139"/>
      <c r="L99" s="139"/>
      <c r="M99" s="139"/>
      <c r="N99" s="139"/>
      <c r="O99" s="139"/>
      <c r="P99" s="139"/>
      <c r="Q99" s="139"/>
      <c r="R99" s="141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customHeight="1">
      <c r="A100" s="154">
        <v>1.0</v>
      </c>
      <c r="B100" s="215" t="s">
        <v>79</v>
      </c>
      <c r="C100" s="215">
        <v>80.0</v>
      </c>
      <c r="D100" s="215">
        <v>208.0</v>
      </c>
      <c r="E100" s="215">
        <v>288.0</v>
      </c>
      <c r="F100" s="215">
        <f t="shared" ref="F100:F106" si="92">1-VALUE(IF(RIGHT(B100, 1)="%", RIGHT(B100, 3), 0))</f>
        <v>0.2</v>
      </c>
      <c r="G100" s="215">
        <f t="shared" ref="G100:G106" si="93">+Q100*C100/100*D100/100*E100/100</f>
        <v>0</v>
      </c>
      <c r="H100" s="216">
        <f t="shared" ref="H100:H106" si="94">IF(F100=0, G100, F100*G100)</f>
        <v>0</v>
      </c>
      <c r="I100" s="215">
        <v>1.0</v>
      </c>
      <c r="J100" s="217">
        <f t="shared" ref="J100:J106" si="95">+I100*H100</f>
        <v>0</v>
      </c>
      <c r="K100" s="139"/>
      <c r="L100" s="176">
        <f>D100*25.4/1000</f>
        <v>5.2832</v>
      </c>
      <c r="M100" s="160">
        <f>+I100</f>
        <v>1</v>
      </c>
      <c r="N100" s="160">
        <f>M100*L100</f>
        <v>5.2832</v>
      </c>
      <c r="O100" s="139"/>
      <c r="P100" s="139"/>
      <c r="Q100" s="139"/>
      <c r="R100" s="141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customHeight="1">
      <c r="A101" s="154"/>
      <c r="B101" s="215" t="s">
        <v>64</v>
      </c>
      <c r="C101" s="215">
        <v>92.0</v>
      </c>
      <c r="D101" s="215">
        <v>215.0</v>
      </c>
      <c r="E101" s="215">
        <v>241.0</v>
      </c>
      <c r="F101" s="215">
        <f t="shared" si="92"/>
        <v>0.2</v>
      </c>
      <c r="G101" s="215">
        <f t="shared" si="93"/>
        <v>0</v>
      </c>
      <c r="H101" s="216">
        <f t="shared" si="94"/>
        <v>0</v>
      </c>
      <c r="I101" s="215">
        <v>1.0</v>
      </c>
      <c r="J101" s="217">
        <f t="shared" si="95"/>
        <v>0</v>
      </c>
      <c r="K101" s="139"/>
      <c r="L101" s="176"/>
      <c r="M101" s="160"/>
      <c r="N101" s="160"/>
      <c r="O101" s="139"/>
      <c r="P101" s="139"/>
      <c r="Q101" s="139"/>
      <c r="R101" s="141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customHeight="1">
      <c r="A102" s="154">
        <v>2.0</v>
      </c>
      <c r="B102" s="218" t="s">
        <v>80</v>
      </c>
      <c r="C102" s="218">
        <v>89.0</v>
      </c>
      <c r="D102" s="218">
        <v>205.0</v>
      </c>
      <c r="E102" s="218">
        <v>207.0</v>
      </c>
      <c r="F102" s="218">
        <f t="shared" si="92"/>
        <v>0.2</v>
      </c>
      <c r="G102" s="218">
        <f t="shared" si="93"/>
        <v>0</v>
      </c>
      <c r="H102" s="219">
        <f t="shared" si="94"/>
        <v>0</v>
      </c>
      <c r="I102" s="218">
        <v>1.0</v>
      </c>
      <c r="J102" s="194">
        <f t="shared" si="95"/>
        <v>0</v>
      </c>
      <c r="K102" s="139"/>
      <c r="L102" s="176">
        <f t="shared" ref="L102:L106" si="96">D102*25.4/1000</f>
        <v>5.207</v>
      </c>
      <c r="M102" s="160">
        <f t="shared" ref="M102:M105" si="97">+I102</f>
        <v>1</v>
      </c>
      <c r="N102" s="160">
        <f t="shared" ref="N102:N105" si="98">M102*L102</f>
        <v>5.207</v>
      </c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customHeight="1">
      <c r="A103" s="154">
        <v>3.0</v>
      </c>
      <c r="B103" s="218" t="s">
        <v>65</v>
      </c>
      <c r="C103" s="218">
        <v>100.0</v>
      </c>
      <c r="D103" s="218">
        <v>184.0</v>
      </c>
      <c r="E103" s="218">
        <v>232.0</v>
      </c>
      <c r="F103" s="218">
        <f t="shared" si="92"/>
        <v>0.2</v>
      </c>
      <c r="G103" s="218">
        <f t="shared" si="93"/>
        <v>0</v>
      </c>
      <c r="H103" s="219">
        <f t="shared" si="94"/>
        <v>0</v>
      </c>
      <c r="I103" s="218">
        <v>1.0</v>
      </c>
      <c r="J103" s="194">
        <f t="shared" si="95"/>
        <v>0</v>
      </c>
      <c r="K103" s="139"/>
      <c r="L103" s="176">
        <f t="shared" si="96"/>
        <v>4.6736</v>
      </c>
      <c r="M103" s="160">
        <f t="shared" si="97"/>
        <v>1</v>
      </c>
      <c r="N103" s="160">
        <f t="shared" si="98"/>
        <v>4.6736</v>
      </c>
      <c r="O103" s="139"/>
      <c r="P103" s="139"/>
      <c r="Q103" s="139"/>
      <c r="R103" s="139"/>
      <c r="S103" s="220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customHeight="1">
      <c r="A104" s="154">
        <v>4.0</v>
      </c>
      <c r="B104" s="218" t="s">
        <v>64</v>
      </c>
      <c r="C104" s="218">
        <v>80.0</v>
      </c>
      <c r="D104" s="218">
        <v>163.0</v>
      </c>
      <c r="E104" s="218">
        <v>240.0</v>
      </c>
      <c r="F104" s="218">
        <f t="shared" si="92"/>
        <v>0.2</v>
      </c>
      <c r="G104" s="218">
        <f t="shared" si="93"/>
        <v>0</v>
      </c>
      <c r="H104" s="219">
        <f t="shared" si="94"/>
        <v>0</v>
      </c>
      <c r="I104" s="218">
        <v>1.0</v>
      </c>
      <c r="J104" s="194">
        <f t="shared" si="95"/>
        <v>0</v>
      </c>
      <c r="K104" s="139"/>
      <c r="L104" s="176">
        <f t="shared" si="96"/>
        <v>4.1402</v>
      </c>
      <c r="M104" s="160">
        <f t="shared" si="97"/>
        <v>1</v>
      </c>
      <c r="N104" s="160">
        <f t="shared" si="98"/>
        <v>4.1402</v>
      </c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customHeight="1">
      <c r="A105" s="154">
        <v>5.0</v>
      </c>
      <c r="B105" s="218" t="s">
        <v>64</v>
      </c>
      <c r="C105" s="218">
        <v>92.0</v>
      </c>
      <c r="D105" s="218">
        <v>203.0</v>
      </c>
      <c r="E105" s="218">
        <v>202.0</v>
      </c>
      <c r="F105" s="218">
        <f t="shared" si="92"/>
        <v>0.2</v>
      </c>
      <c r="G105" s="218">
        <f t="shared" si="93"/>
        <v>0</v>
      </c>
      <c r="H105" s="219">
        <f t="shared" si="94"/>
        <v>0</v>
      </c>
      <c r="I105" s="218">
        <v>1.0</v>
      </c>
      <c r="J105" s="194">
        <f t="shared" si="95"/>
        <v>0</v>
      </c>
      <c r="K105" s="139"/>
      <c r="L105" s="176">
        <f t="shared" si="96"/>
        <v>5.1562</v>
      </c>
      <c r="M105" s="160">
        <f t="shared" si="97"/>
        <v>1</v>
      </c>
      <c r="N105" s="160">
        <f t="shared" si="98"/>
        <v>5.1562</v>
      </c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customHeight="1">
      <c r="A106" s="154">
        <v>6.0</v>
      </c>
      <c r="B106" s="218" t="s">
        <v>92</v>
      </c>
      <c r="C106" s="218">
        <v>77.0</v>
      </c>
      <c r="D106" s="218">
        <v>200.0</v>
      </c>
      <c r="E106" s="218">
        <v>206.0</v>
      </c>
      <c r="F106" s="218">
        <f t="shared" si="92"/>
        <v>0.2</v>
      </c>
      <c r="G106" s="218">
        <f t="shared" si="93"/>
        <v>0</v>
      </c>
      <c r="H106" s="219">
        <f t="shared" si="94"/>
        <v>0</v>
      </c>
      <c r="I106" s="218">
        <v>1.0</v>
      </c>
      <c r="J106" s="194">
        <f t="shared" si="95"/>
        <v>0</v>
      </c>
      <c r="K106" s="139"/>
      <c r="L106" s="139">
        <f t="shared" si="96"/>
        <v>5.08</v>
      </c>
      <c r="M106" s="221"/>
      <c r="N106" s="221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4.75" customHeight="1">
      <c r="A107" s="160"/>
      <c r="B107" s="197"/>
      <c r="C107" s="197"/>
      <c r="D107" s="197"/>
      <c r="E107" s="197"/>
      <c r="F107" s="197"/>
      <c r="G107" s="197"/>
      <c r="H107" s="269" t="s">
        <v>38</v>
      </c>
      <c r="I107" s="197"/>
      <c r="J107" s="226">
        <f>SUM(J100:J106)</f>
        <v>0</v>
      </c>
      <c r="K107" s="139"/>
      <c r="L107" s="139"/>
      <c r="M107" s="139"/>
      <c r="N107" s="139"/>
      <c r="O107" s="139"/>
      <c r="P107" s="139"/>
      <c r="Q107" s="139"/>
      <c r="R107" s="141"/>
      <c r="S107" s="227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18.75" customHeight="1">
      <c r="A108" s="174"/>
      <c r="B108" s="144"/>
      <c r="C108" s="144"/>
      <c r="D108" s="144"/>
      <c r="E108" s="144"/>
      <c r="F108" s="144"/>
      <c r="G108" s="144"/>
      <c r="H108" s="145"/>
      <c r="I108" s="144"/>
      <c r="J108" s="175"/>
      <c r="K108" s="139"/>
      <c r="L108" s="139"/>
      <c r="M108" s="139"/>
      <c r="N108" s="139"/>
      <c r="O108" s="139"/>
      <c r="P108" s="139"/>
      <c r="Q108" s="139"/>
      <c r="R108" s="141"/>
      <c r="S108" s="227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18.75" customHeight="1">
      <c r="A109" s="139"/>
      <c r="B109" s="139"/>
      <c r="C109" s="139"/>
      <c r="D109" s="139"/>
      <c r="E109" s="139"/>
      <c r="F109" s="139"/>
      <c r="G109" s="139"/>
      <c r="H109" s="140"/>
      <c r="I109" s="139"/>
      <c r="J109" s="139"/>
      <c r="K109" s="139"/>
      <c r="L109" s="139"/>
      <c r="M109" s="139"/>
      <c r="N109" s="139"/>
      <c r="O109" s="139"/>
      <c r="P109" s="139"/>
      <c r="Q109" s="139"/>
      <c r="R109" s="141"/>
      <c r="S109" s="227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18.75" customHeight="1">
      <c r="A110" s="139"/>
      <c r="B110" s="139"/>
      <c r="C110" s="139"/>
      <c r="D110" s="139"/>
      <c r="E110" s="139"/>
      <c r="F110" s="139"/>
      <c r="G110" s="139"/>
      <c r="H110" s="140"/>
      <c r="I110" s="139"/>
      <c r="J110" s="139"/>
      <c r="K110" s="139"/>
      <c r="L110" s="139"/>
      <c r="M110" s="139"/>
      <c r="N110" s="139"/>
      <c r="O110" s="139"/>
      <c r="P110" s="139"/>
      <c r="Q110" s="139"/>
      <c r="R110" s="227"/>
      <c r="S110" s="227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18.75" customHeight="1">
      <c r="A111" s="139" t="s">
        <v>39</v>
      </c>
      <c r="B111" s="139"/>
      <c r="C111" s="139"/>
      <c r="D111" s="139"/>
      <c r="E111" s="139"/>
      <c r="F111" s="139"/>
      <c r="G111" s="139"/>
      <c r="H111" s="140"/>
      <c r="I111" s="139"/>
      <c r="J111" s="139"/>
      <c r="K111" s="139"/>
      <c r="L111" s="139"/>
      <c r="M111" s="139"/>
      <c r="N111" s="139"/>
      <c r="O111" s="139"/>
      <c r="P111" s="139"/>
      <c r="Q111" s="139"/>
      <c r="R111" s="227"/>
      <c r="S111" s="227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18.75" customHeight="1">
      <c r="A112" s="139"/>
      <c r="B112" s="139"/>
      <c r="C112" s="139"/>
      <c r="D112" s="139"/>
      <c r="E112" s="139"/>
      <c r="F112" s="139"/>
      <c r="G112" s="139"/>
      <c r="H112" s="140"/>
      <c r="I112" s="139"/>
      <c r="J112" s="139"/>
      <c r="K112" s="139"/>
      <c r="L112" s="139"/>
      <c r="M112" s="139"/>
      <c r="N112" s="139"/>
      <c r="O112" s="139"/>
      <c r="P112" s="139"/>
      <c r="Q112" s="139"/>
      <c r="R112" s="227"/>
      <c r="S112" s="227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42.0" customHeight="1">
      <c r="A113" s="176"/>
      <c r="B113" s="160" t="s">
        <v>12</v>
      </c>
      <c r="C113" s="177" t="s">
        <v>74</v>
      </c>
      <c r="D113" s="52"/>
      <c r="E113" s="53"/>
      <c r="F113" s="228"/>
      <c r="G113" s="228"/>
      <c r="H113" s="179" t="s">
        <v>14</v>
      </c>
      <c r="I113" s="224" t="s">
        <v>15</v>
      </c>
      <c r="J113" s="160" t="s">
        <v>16</v>
      </c>
      <c r="K113" s="139"/>
      <c r="L113" s="139"/>
      <c r="M113" s="139"/>
      <c r="N113" s="139"/>
      <c r="O113" s="139"/>
      <c r="P113" s="139"/>
      <c r="Q113" s="139"/>
      <c r="R113" s="227"/>
      <c r="S113" s="227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4.75" customHeight="1">
      <c r="A114" s="160">
        <v>1.0</v>
      </c>
      <c r="B114" s="229" t="s">
        <v>76</v>
      </c>
      <c r="C114" s="181"/>
      <c r="D114" s="181"/>
      <c r="E114" s="181"/>
      <c r="F114" s="181"/>
      <c r="G114" s="181"/>
      <c r="H114" s="232">
        <v>50.0</v>
      </c>
      <c r="I114" s="181">
        <v>1.0</v>
      </c>
      <c r="J114" s="194">
        <f t="shared" ref="J114:J125" si="99">+I114*H114</f>
        <v>50</v>
      </c>
      <c r="K114" s="176"/>
      <c r="L114" s="176"/>
      <c r="M114" s="176"/>
      <c r="N114" s="176"/>
      <c r="O114" s="176"/>
      <c r="P114" s="176"/>
      <c r="Q114" s="284"/>
      <c r="R114" s="227"/>
      <c r="S114" s="227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4.75" customHeight="1">
      <c r="A115" s="160">
        <v>2.0</v>
      </c>
      <c r="B115" s="215" t="s">
        <v>76</v>
      </c>
      <c r="C115" s="181"/>
      <c r="D115" s="181"/>
      <c r="E115" s="181"/>
      <c r="F115" s="181"/>
      <c r="G115" s="181"/>
      <c r="H115" s="232">
        <v>15.0</v>
      </c>
      <c r="I115" s="181">
        <v>1.0</v>
      </c>
      <c r="J115" s="194">
        <f t="shared" si="99"/>
        <v>15</v>
      </c>
      <c r="K115" s="176"/>
      <c r="L115" s="176"/>
      <c r="M115" s="176"/>
      <c r="N115" s="176"/>
      <c r="O115" s="176"/>
      <c r="P115" s="176"/>
      <c r="Q115" s="284"/>
      <c r="R115" s="227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4.75" customHeight="1">
      <c r="A116" s="160">
        <v>3.0</v>
      </c>
      <c r="B116" s="182" t="s">
        <v>55</v>
      </c>
      <c r="C116" s="181"/>
      <c r="D116" s="181"/>
      <c r="E116" s="181"/>
      <c r="F116" s="181"/>
      <c r="G116" s="181"/>
      <c r="H116" s="232">
        <v>39.0</v>
      </c>
      <c r="I116" s="181">
        <v>1.0</v>
      </c>
      <c r="J116" s="194">
        <f t="shared" si="99"/>
        <v>39</v>
      </c>
      <c r="K116" s="176"/>
      <c r="L116" s="176"/>
      <c r="M116" s="176"/>
      <c r="N116" s="176"/>
      <c r="O116" s="176"/>
      <c r="P116" s="176"/>
      <c r="Q116" s="284"/>
      <c r="R116" s="227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4.75" customHeight="1">
      <c r="A117" s="160">
        <v>4.0</v>
      </c>
      <c r="B117" s="218" t="s">
        <v>55</v>
      </c>
      <c r="C117" s="181"/>
      <c r="D117" s="181"/>
      <c r="E117" s="181"/>
      <c r="F117" s="181"/>
      <c r="G117" s="181"/>
      <c r="H117" s="232">
        <v>18.0</v>
      </c>
      <c r="I117" s="181">
        <v>1.0</v>
      </c>
      <c r="J117" s="194">
        <f t="shared" si="99"/>
        <v>18</v>
      </c>
      <c r="K117" s="176"/>
      <c r="L117" s="176"/>
      <c r="M117" s="176"/>
      <c r="N117" s="176"/>
      <c r="O117" s="176"/>
      <c r="P117" s="176"/>
      <c r="Q117" s="284"/>
      <c r="R117" s="227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4.75" customHeight="1">
      <c r="A118" s="160">
        <v>5.0</v>
      </c>
      <c r="B118" s="182" t="s">
        <v>77</v>
      </c>
      <c r="C118" s="181"/>
      <c r="D118" s="181"/>
      <c r="E118" s="181"/>
      <c r="F118" s="181"/>
      <c r="G118" s="181"/>
      <c r="H118" s="232">
        <v>30.0</v>
      </c>
      <c r="I118" s="181">
        <v>1.0</v>
      </c>
      <c r="J118" s="194">
        <f t="shared" si="99"/>
        <v>30</v>
      </c>
      <c r="K118" s="176"/>
      <c r="L118" s="176"/>
      <c r="M118" s="176"/>
      <c r="N118" s="176"/>
      <c r="O118" s="176"/>
      <c r="P118" s="176"/>
      <c r="Q118" s="284"/>
      <c r="R118" s="227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4.75" customHeight="1">
      <c r="A119" s="160">
        <v>6.0</v>
      </c>
      <c r="B119" s="218" t="s">
        <v>77</v>
      </c>
      <c r="C119" s="181"/>
      <c r="D119" s="181"/>
      <c r="E119" s="181"/>
      <c r="F119" s="181"/>
      <c r="G119" s="181"/>
      <c r="H119" s="232">
        <v>10.0</v>
      </c>
      <c r="I119" s="181">
        <v>1.0</v>
      </c>
      <c r="J119" s="194">
        <f t="shared" si="99"/>
        <v>10</v>
      </c>
      <c r="K119" s="176"/>
      <c r="L119" s="176"/>
      <c r="M119" s="176"/>
      <c r="N119" s="176"/>
      <c r="O119" s="176"/>
      <c r="P119" s="176"/>
      <c r="Q119" s="284"/>
      <c r="R119" s="227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4.75" customHeight="1">
      <c r="A120" s="160">
        <v>7.0</v>
      </c>
      <c r="B120" s="182" t="s">
        <v>56</v>
      </c>
      <c r="C120" s="181"/>
      <c r="D120" s="181"/>
      <c r="E120" s="181"/>
      <c r="F120" s="181"/>
      <c r="G120" s="181"/>
      <c r="H120" s="232">
        <v>47.0</v>
      </c>
      <c r="I120" s="181">
        <v>1.0</v>
      </c>
      <c r="J120" s="194">
        <f t="shared" si="99"/>
        <v>47</v>
      </c>
      <c r="K120" s="176"/>
      <c r="L120" s="176"/>
      <c r="M120" s="176"/>
      <c r="N120" s="176"/>
      <c r="O120" s="176"/>
      <c r="P120" s="176"/>
      <c r="Q120" s="284"/>
      <c r="R120" s="227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4.75" customHeight="1">
      <c r="A121" s="160">
        <v>8.0</v>
      </c>
      <c r="B121" s="218" t="s">
        <v>56</v>
      </c>
      <c r="C121" s="181"/>
      <c r="D121" s="181"/>
      <c r="E121" s="181"/>
      <c r="F121" s="181"/>
      <c r="G121" s="181"/>
      <c r="H121" s="232">
        <v>23.0</v>
      </c>
      <c r="I121" s="181">
        <v>1.0</v>
      </c>
      <c r="J121" s="194">
        <f t="shared" si="99"/>
        <v>23</v>
      </c>
      <c r="K121" s="176"/>
      <c r="L121" s="176"/>
      <c r="M121" s="176"/>
      <c r="N121" s="176"/>
      <c r="O121" s="176"/>
      <c r="P121" s="176"/>
      <c r="Q121" s="284"/>
      <c r="R121" s="227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4.75" customHeight="1">
      <c r="A122" s="160">
        <v>9.0</v>
      </c>
      <c r="B122" s="182" t="s">
        <v>55</v>
      </c>
      <c r="C122" s="181"/>
      <c r="D122" s="181"/>
      <c r="E122" s="181"/>
      <c r="F122" s="181"/>
      <c r="G122" s="181"/>
      <c r="H122" s="232">
        <v>45.0</v>
      </c>
      <c r="I122" s="181">
        <v>1.0</v>
      </c>
      <c r="J122" s="194">
        <f t="shared" si="99"/>
        <v>45</v>
      </c>
      <c r="K122" s="176"/>
      <c r="L122" s="176"/>
      <c r="M122" s="176"/>
      <c r="N122" s="176"/>
      <c r="O122" s="176"/>
      <c r="P122" s="176"/>
      <c r="Q122" s="284"/>
      <c r="R122" s="227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4.75" customHeight="1">
      <c r="A123" s="160">
        <v>10.0</v>
      </c>
      <c r="B123" s="218" t="s">
        <v>55</v>
      </c>
      <c r="C123" s="181"/>
      <c r="D123" s="181"/>
      <c r="E123" s="181"/>
      <c r="F123" s="181"/>
      <c r="G123" s="181"/>
      <c r="H123" s="232">
        <v>20.0</v>
      </c>
      <c r="I123" s="181">
        <v>1.0</v>
      </c>
      <c r="J123" s="194">
        <f t="shared" si="99"/>
        <v>20</v>
      </c>
      <c r="K123" s="176"/>
      <c r="L123" s="176"/>
      <c r="M123" s="176"/>
      <c r="N123" s="176"/>
      <c r="O123" s="176"/>
      <c r="P123" s="176"/>
      <c r="Q123" s="284"/>
      <c r="R123" s="227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4.75" customHeight="1">
      <c r="A124" s="160">
        <v>11.0</v>
      </c>
      <c r="B124" s="182" t="s">
        <v>55</v>
      </c>
      <c r="C124" s="181"/>
      <c r="D124" s="181"/>
      <c r="E124" s="181"/>
      <c r="F124" s="181"/>
      <c r="G124" s="181"/>
      <c r="H124" s="232">
        <v>50.0</v>
      </c>
      <c r="I124" s="181">
        <v>1.0</v>
      </c>
      <c r="J124" s="194">
        <f t="shared" si="99"/>
        <v>50</v>
      </c>
      <c r="K124" s="176"/>
      <c r="L124" s="176"/>
      <c r="M124" s="176"/>
      <c r="N124" s="176"/>
      <c r="O124" s="176"/>
      <c r="P124" s="176"/>
      <c r="Q124" s="284"/>
      <c r="R124" s="227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4.75" customHeight="1">
      <c r="A125" s="160">
        <v>12.0</v>
      </c>
      <c r="B125" s="191" t="s">
        <v>55</v>
      </c>
      <c r="C125" s="181"/>
      <c r="D125" s="181"/>
      <c r="E125" s="181"/>
      <c r="F125" s="181"/>
      <c r="G125" s="181"/>
      <c r="H125" s="232">
        <v>20.0</v>
      </c>
      <c r="I125" s="181">
        <v>1.0</v>
      </c>
      <c r="J125" s="194">
        <f t="shared" si="99"/>
        <v>20</v>
      </c>
      <c r="K125" s="176"/>
      <c r="L125" s="176"/>
      <c r="M125" s="176"/>
      <c r="N125" s="176"/>
      <c r="O125" s="176"/>
      <c r="P125" s="176"/>
      <c r="Q125" s="284"/>
      <c r="R125" s="227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4.75" customHeight="1">
      <c r="A126" s="160">
        <v>13.0</v>
      </c>
      <c r="B126" s="182" t="s">
        <v>84</v>
      </c>
      <c r="C126" s="181"/>
      <c r="D126" s="181"/>
      <c r="E126" s="181"/>
      <c r="F126" s="181"/>
      <c r="G126" s="181"/>
      <c r="H126" s="232">
        <v>20.0</v>
      </c>
      <c r="I126" s="181">
        <v>1.0</v>
      </c>
      <c r="J126" s="194">
        <f>+H126*I126</f>
        <v>20</v>
      </c>
      <c r="K126" s="176"/>
      <c r="L126" s="176"/>
      <c r="M126" s="176"/>
      <c r="N126" s="176"/>
      <c r="O126" s="176"/>
      <c r="P126" s="176"/>
      <c r="Q126" s="284"/>
      <c r="R126" s="227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4.75" customHeight="1">
      <c r="A127" s="160">
        <v>14.0</v>
      </c>
      <c r="B127" s="218" t="s">
        <v>84</v>
      </c>
      <c r="C127" s="181"/>
      <c r="D127" s="181"/>
      <c r="E127" s="181"/>
      <c r="F127" s="181"/>
      <c r="G127" s="181"/>
      <c r="H127" s="232">
        <v>10.0</v>
      </c>
      <c r="I127" s="181">
        <v>1.0</v>
      </c>
      <c r="J127" s="194">
        <f>+I127*H127</f>
        <v>10</v>
      </c>
      <c r="K127" s="176"/>
      <c r="L127" s="176"/>
      <c r="M127" s="176"/>
      <c r="N127" s="176"/>
      <c r="O127" s="176"/>
      <c r="P127" s="176"/>
      <c r="Q127" s="284"/>
      <c r="R127" s="227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18.75" customHeight="1">
      <c r="A128" s="139"/>
      <c r="B128" s="139"/>
      <c r="C128" s="139"/>
      <c r="D128" s="139"/>
      <c r="E128" s="139"/>
      <c r="F128" s="139"/>
      <c r="G128" s="139"/>
      <c r="H128" s="140" t="s">
        <v>38</v>
      </c>
      <c r="I128" s="139"/>
      <c r="J128" s="235">
        <f>SUM(J114:J127)</f>
        <v>397</v>
      </c>
      <c r="K128" s="236"/>
      <c r="L128" s="236"/>
      <c r="M128" s="236"/>
      <c r="N128" s="236"/>
      <c r="O128" s="236"/>
      <c r="P128" s="236"/>
      <c r="Q128" s="236"/>
      <c r="R128" s="139"/>
      <c r="S128" s="227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18.75" customHeight="1">
      <c r="A129" s="144"/>
      <c r="B129" s="144"/>
      <c r="C129" s="144"/>
      <c r="D129" s="144"/>
      <c r="E129" s="144"/>
      <c r="F129" s="144"/>
      <c r="G129" s="144"/>
      <c r="H129" s="145"/>
      <c r="I129" s="173"/>
      <c r="J129" s="205">
        <f>+J128*60%</f>
        <v>238.2</v>
      </c>
      <c r="K129" s="205"/>
      <c r="L129" s="205"/>
      <c r="M129" s="205"/>
      <c r="N129" s="205"/>
      <c r="O129" s="205"/>
      <c r="P129" s="205"/>
      <c r="Q129" s="205">
        <f>+J128*40%</f>
        <v>158.8</v>
      </c>
      <c r="R129" s="139"/>
      <c r="S129" s="227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18.75" customHeight="1">
      <c r="A130" s="139"/>
      <c r="B130" s="139"/>
      <c r="C130" s="139"/>
      <c r="D130" s="139"/>
      <c r="E130" s="139"/>
      <c r="F130" s="139"/>
      <c r="G130" s="139"/>
      <c r="H130" s="140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227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18.75" customHeight="1">
      <c r="A131" s="139"/>
      <c r="B131" s="139"/>
      <c r="C131" s="139"/>
      <c r="D131" s="139"/>
      <c r="E131" s="139"/>
      <c r="F131" s="139"/>
      <c r="G131" s="139"/>
      <c r="H131" s="140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227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19.5" customHeight="1">
      <c r="A132" s="238" t="s">
        <v>41</v>
      </c>
      <c r="B132" s="139"/>
      <c r="C132" s="139"/>
      <c r="D132" s="139"/>
      <c r="E132" s="139"/>
      <c r="F132" s="139"/>
      <c r="G132" s="139"/>
      <c r="H132" s="140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227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57.0" customHeight="1">
      <c r="A133" s="239"/>
      <c r="B133" s="240" t="s">
        <v>42</v>
      </c>
      <c r="C133" s="240" t="s">
        <v>43</v>
      </c>
      <c r="D133" s="240" t="s">
        <v>44</v>
      </c>
      <c r="E133" s="240" t="s">
        <v>45</v>
      </c>
      <c r="F133" s="240"/>
      <c r="G133" s="240"/>
      <c r="H133" s="241" t="s">
        <v>46</v>
      </c>
      <c r="I133" s="242" t="s">
        <v>47</v>
      </c>
      <c r="J133" s="139"/>
      <c r="K133" s="139"/>
      <c r="L133" s="139"/>
      <c r="M133" s="139"/>
      <c r="N133" s="139"/>
      <c r="O133" s="139"/>
      <c r="P133" s="139"/>
      <c r="Q133" s="139"/>
      <c r="R133" s="141"/>
      <c r="S133" s="227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18.75" customHeight="1">
      <c r="A134" s="243" t="s">
        <v>48</v>
      </c>
      <c r="B134" s="244">
        <f>+E15</f>
        <v>33020.12586</v>
      </c>
      <c r="C134" s="245">
        <f>+J93</f>
        <v>28880.98186</v>
      </c>
      <c r="D134" s="245">
        <f>+J107</f>
        <v>0</v>
      </c>
      <c r="E134" s="246">
        <f>J129</f>
        <v>238.2</v>
      </c>
      <c r="F134" s="246"/>
      <c r="G134" s="246"/>
      <c r="H134" s="247">
        <f>+I15</f>
        <v>1208.084291</v>
      </c>
      <c r="I134" s="248">
        <f>+B134-C134-D134-E134-H134</f>
        <v>2692.859711</v>
      </c>
      <c r="J134" s="139"/>
      <c r="K134" s="139"/>
      <c r="L134" s="139"/>
      <c r="M134" s="139"/>
      <c r="N134" s="139"/>
      <c r="O134" s="139"/>
      <c r="P134" s="139"/>
      <c r="Q134" s="139"/>
      <c r="R134" s="141"/>
      <c r="S134" s="227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19.5" customHeight="1">
      <c r="A135" s="249" t="s">
        <v>49</v>
      </c>
      <c r="B135" s="250"/>
      <c r="C135" s="251">
        <f>+C134/B134</f>
        <v>0.874647843</v>
      </c>
      <c r="D135" s="251">
        <f>+D134/B134</f>
        <v>0</v>
      </c>
      <c r="E135" s="251">
        <f>+E134/B134</f>
        <v>0.007213782316</v>
      </c>
      <c r="F135" s="251"/>
      <c r="G135" s="251"/>
      <c r="H135" s="252">
        <f>+H134/B134</f>
        <v>0.03658630181</v>
      </c>
      <c r="I135" s="253">
        <f>+I134/B134</f>
        <v>0.0815520729</v>
      </c>
      <c r="J135" s="139"/>
      <c r="K135" s="139"/>
      <c r="L135" s="139"/>
      <c r="M135" s="139"/>
      <c r="N135" s="139"/>
      <c r="O135" s="139"/>
      <c r="P135" s="139"/>
      <c r="Q135" s="139"/>
      <c r="R135" s="141"/>
      <c r="S135" s="227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19.5" customHeight="1">
      <c r="A136" s="163"/>
      <c r="B136" s="221"/>
      <c r="C136" s="254"/>
      <c r="D136" s="254"/>
      <c r="E136" s="254"/>
      <c r="F136" s="254"/>
      <c r="G136" s="254"/>
      <c r="H136" s="255"/>
      <c r="I136" s="256"/>
      <c r="J136" s="139"/>
      <c r="K136" s="139"/>
      <c r="L136" s="139"/>
      <c r="M136" s="139"/>
      <c r="N136" s="139"/>
      <c r="O136" s="139"/>
      <c r="P136" s="139"/>
      <c r="Q136" s="139"/>
      <c r="R136" s="141"/>
      <c r="S136" s="227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18.75" customHeight="1">
      <c r="A137" s="257"/>
      <c r="B137" s="258"/>
      <c r="C137" s="258"/>
      <c r="D137" s="258" t="s">
        <v>50</v>
      </c>
      <c r="E137" s="258" t="s">
        <v>48</v>
      </c>
      <c r="F137" s="258"/>
      <c r="G137" s="258"/>
      <c r="H137" s="259">
        <f>+D134+E134+H134+I134</f>
        <v>4139.144002</v>
      </c>
      <c r="I137" s="260"/>
      <c r="J137" s="139"/>
      <c r="K137" s="139"/>
      <c r="L137" s="139"/>
      <c r="M137" s="139"/>
      <c r="N137" s="139"/>
      <c r="O137" s="139"/>
      <c r="P137" s="139"/>
      <c r="Q137" s="139"/>
      <c r="R137" s="141"/>
      <c r="S137" s="140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18.75" customHeight="1">
      <c r="A138" s="261"/>
      <c r="B138" s="139"/>
      <c r="C138" s="139"/>
      <c r="D138" s="139"/>
      <c r="E138" s="139" t="s">
        <v>49</v>
      </c>
      <c r="F138" s="139"/>
      <c r="G138" s="139"/>
      <c r="H138" s="255">
        <f>+H137/B134</f>
        <v>0.125352157</v>
      </c>
      <c r="I138" s="262"/>
      <c r="J138" s="139"/>
      <c r="K138" s="139"/>
      <c r="L138" s="139"/>
      <c r="M138" s="139"/>
      <c r="N138" s="139"/>
      <c r="O138" s="139"/>
      <c r="P138" s="139"/>
      <c r="Q138" s="139"/>
      <c r="R138" s="141"/>
      <c r="S138" s="140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18.75" customHeight="1">
      <c r="A139" s="261"/>
      <c r="B139" s="139"/>
      <c r="C139" s="139" t="s">
        <v>51</v>
      </c>
      <c r="D139" s="139"/>
      <c r="E139" s="139"/>
      <c r="F139" s="139"/>
      <c r="G139" s="139"/>
      <c r="H139" s="140"/>
      <c r="I139" s="262"/>
      <c r="J139" s="139"/>
      <c r="K139" s="139"/>
      <c r="L139" s="139"/>
      <c r="M139" s="139"/>
      <c r="N139" s="139"/>
      <c r="O139" s="139"/>
      <c r="P139" s="139"/>
      <c r="Q139" s="139"/>
      <c r="R139" s="141"/>
      <c r="S139" s="140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18.75" customHeight="1">
      <c r="A140" s="261"/>
      <c r="B140" s="139"/>
      <c r="C140" s="139"/>
      <c r="D140" s="139" t="s">
        <v>52</v>
      </c>
      <c r="E140" s="139"/>
      <c r="F140" s="139"/>
      <c r="G140" s="139"/>
      <c r="H140" s="140">
        <f>+H139*(H137-H134)</f>
        <v>0</v>
      </c>
      <c r="I140" s="262"/>
      <c r="J140" s="139"/>
      <c r="K140" s="139"/>
      <c r="L140" s="139"/>
      <c r="M140" s="139"/>
      <c r="N140" s="139"/>
      <c r="O140" s="139"/>
      <c r="P140" s="139"/>
      <c r="Q140" s="139"/>
      <c r="R140" s="141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19.5" customHeight="1">
      <c r="A141" s="263"/>
      <c r="B141" s="264"/>
      <c r="C141" s="264"/>
      <c r="D141" s="264"/>
      <c r="E141" s="264"/>
      <c r="F141" s="264"/>
      <c r="G141" s="264"/>
      <c r="H141" s="265"/>
      <c r="I141" s="266"/>
      <c r="J141" s="139"/>
      <c r="K141" s="139"/>
      <c r="L141" s="139"/>
      <c r="M141" s="139"/>
      <c r="N141" s="139"/>
      <c r="O141" s="139"/>
      <c r="P141" s="139"/>
      <c r="Q141" s="139"/>
      <c r="R141" s="141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18.75" customHeight="1">
      <c r="A142" s="139"/>
      <c r="B142" s="139"/>
      <c r="C142" s="139"/>
      <c r="D142" s="139"/>
      <c r="E142" s="139"/>
      <c r="F142" s="139"/>
      <c r="G142" s="139"/>
      <c r="H142" s="140"/>
      <c r="I142" s="139"/>
      <c r="J142" s="139"/>
      <c r="K142" s="139"/>
      <c r="L142" s="139"/>
      <c r="M142" s="139"/>
      <c r="N142" s="139"/>
      <c r="O142" s="139"/>
      <c r="P142" s="139"/>
      <c r="Q142" s="139"/>
      <c r="R142" s="141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18.75" customHeight="1">
      <c r="A143" s="139"/>
      <c r="B143" s="139"/>
      <c r="C143" s="139"/>
      <c r="D143" s="139"/>
      <c r="E143" s="139"/>
      <c r="F143" s="139"/>
      <c r="G143" s="139"/>
      <c r="H143" s="140"/>
      <c r="I143" s="139"/>
      <c r="J143" s="139"/>
      <c r="K143" s="139"/>
      <c r="L143" s="139"/>
      <c r="M143" s="139"/>
      <c r="N143" s="139"/>
      <c r="O143" s="139"/>
      <c r="P143" s="139"/>
      <c r="Q143" s="139"/>
      <c r="R143" s="141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18.75" customHeight="1">
      <c r="A144" s="139"/>
      <c r="B144" s="139"/>
      <c r="C144" s="139"/>
      <c r="D144" s="139"/>
      <c r="E144" s="139"/>
      <c r="F144" s="139"/>
      <c r="G144" s="139"/>
      <c r="H144" s="140"/>
      <c r="I144" s="139"/>
      <c r="J144" s="139"/>
      <c r="K144" s="139"/>
      <c r="L144" s="139"/>
      <c r="M144" s="139"/>
      <c r="N144" s="139"/>
      <c r="O144" s="139"/>
      <c r="P144" s="139"/>
      <c r="Q144" s="139"/>
      <c r="R144" s="141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7"/>
      <c r="R145" s="268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7"/>
      <c r="R146" s="268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7"/>
      <c r="R147" s="268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7"/>
      <c r="R148" s="268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7"/>
      <c r="R149" s="268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7"/>
      <c r="R150" s="268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7"/>
      <c r="R151" s="268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7"/>
      <c r="R152" s="268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7"/>
      <c r="R153" s="268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7"/>
      <c r="R154" s="268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7"/>
      <c r="R155" s="268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7"/>
      <c r="R156" s="268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7"/>
      <c r="R157" s="268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7"/>
      <c r="R158" s="26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7"/>
      <c r="R159" s="26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7"/>
      <c r="R160" s="26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7"/>
      <c r="R161" s="26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7"/>
      <c r="R162" s="26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7"/>
      <c r="R163" s="26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7"/>
      <c r="R164" s="26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7"/>
      <c r="R165" s="26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7"/>
      <c r="R166" s="26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7"/>
      <c r="R167" s="26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7"/>
      <c r="R168" s="26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7"/>
      <c r="R169" s="26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7"/>
      <c r="R170" s="26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7"/>
      <c r="R171" s="26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7"/>
      <c r="R172" s="26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7"/>
      <c r="R173" s="26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7"/>
      <c r="R174" s="26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7"/>
      <c r="R175" s="26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7"/>
      <c r="R176" s="26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7"/>
      <c r="R177" s="26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7"/>
      <c r="R178" s="26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7"/>
      <c r="R179" s="26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7"/>
      <c r="R180" s="26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7"/>
      <c r="R181" s="26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7"/>
      <c r="R182" s="26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7"/>
      <c r="R183" s="26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7"/>
      <c r="R184" s="26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7"/>
      <c r="R185" s="26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7"/>
      <c r="R186" s="26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7"/>
      <c r="R187" s="26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7"/>
      <c r="R188" s="26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7"/>
      <c r="R189" s="26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7"/>
      <c r="R190" s="26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7"/>
      <c r="R191" s="26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7"/>
      <c r="R192" s="26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7"/>
      <c r="R193" s="26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7"/>
      <c r="R194" s="26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7"/>
      <c r="R252" s="26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7"/>
      <c r="R253" s="26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7"/>
      <c r="R254" s="26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7"/>
      <c r="R255" s="26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7"/>
      <c r="R256" s="26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7"/>
      <c r="R257" s="26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7"/>
      <c r="R258" s="26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7"/>
      <c r="R259" s="26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7"/>
      <c r="R260" s="26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7"/>
      <c r="R261" s="26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7"/>
      <c r="R262" s="26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7"/>
      <c r="R263" s="26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7"/>
      <c r="R264" s="26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7"/>
      <c r="R265" s="26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7"/>
      <c r="R266" s="26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7"/>
      <c r="R267" s="26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7"/>
      <c r="R268" s="26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7"/>
      <c r="R269" s="26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7"/>
      <c r="R270" s="26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7"/>
      <c r="R271" s="26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7"/>
      <c r="R272" s="26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7"/>
      <c r="R273" s="26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7"/>
      <c r="R274" s="26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7"/>
      <c r="R275" s="26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7"/>
      <c r="R276" s="26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7"/>
      <c r="R277" s="26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7"/>
      <c r="R278" s="26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7"/>
      <c r="R279" s="26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7"/>
      <c r="R280" s="26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7"/>
      <c r="R281" s="26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7"/>
      <c r="R282" s="26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7"/>
      <c r="R283" s="26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7"/>
      <c r="R284" s="26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7"/>
      <c r="R285" s="26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7"/>
      <c r="R286" s="26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7"/>
      <c r="R287" s="26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7"/>
      <c r="R288" s="26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7"/>
      <c r="R289" s="26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7"/>
      <c r="R290" s="26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7"/>
      <c r="R291" s="26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7"/>
      <c r="R292" s="26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7"/>
      <c r="R293" s="26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7"/>
      <c r="R294" s="26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7"/>
      <c r="R295" s="26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7"/>
      <c r="R296" s="26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7"/>
      <c r="R297" s="26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7"/>
      <c r="R298" s="26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7"/>
      <c r="R299" s="26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7"/>
      <c r="R300" s="26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7"/>
      <c r="R301" s="26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7"/>
      <c r="R302" s="26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7"/>
      <c r="R303" s="268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7"/>
      <c r="R304" s="268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7"/>
      <c r="R305" s="268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7"/>
      <c r="R306" s="268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7"/>
      <c r="R307" s="268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7"/>
      <c r="R308" s="268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7"/>
      <c r="R309" s="268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7"/>
      <c r="R310" s="268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7"/>
      <c r="R311" s="268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7"/>
      <c r="R312" s="268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7"/>
      <c r="R313" s="268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7"/>
      <c r="R314" s="268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7"/>
      <c r="R315" s="268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7"/>
      <c r="R316" s="268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7"/>
      <c r="R317" s="268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7"/>
      <c r="R318" s="268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7"/>
      <c r="R319" s="268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7"/>
      <c r="R320" s="268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7"/>
      <c r="R321" s="268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7"/>
      <c r="R322" s="268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7"/>
      <c r="R323" s="268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7"/>
      <c r="R324" s="268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7"/>
      <c r="R325" s="268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7"/>
      <c r="R326" s="268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7"/>
      <c r="R327" s="268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7"/>
      <c r="R328" s="268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7"/>
      <c r="R329" s="268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7"/>
      <c r="R330" s="268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7"/>
      <c r="R331" s="268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7"/>
      <c r="R332" s="268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7"/>
      <c r="R333" s="268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7"/>
      <c r="R334" s="268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7"/>
      <c r="R335" s="268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7"/>
      <c r="R336" s="268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7"/>
      <c r="R337" s="268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7"/>
      <c r="R338" s="268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7"/>
      <c r="R339" s="268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7"/>
      <c r="R340" s="268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99:E99"/>
    <mergeCell ref="C113:E113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44358.0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</row>
    <row r="7" ht="36.0" customHeight="1">
      <c r="A7" s="146" t="s">
        <v>6</v>
      </c>
      <c r="B7" s="147"/>
      <c r="C7" s="148" t="s">
        <v>131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</row>
    <row r="8" ht="26.25" customHeight="1">
      <c r="A8" s="153">
        <v>1.0</v>
      </c>
      <c r="B8" s="154" t="s">
        <v>76</v>
      </c>
      <c r="C8" s="154">
        <v>22.5</v>
      </c>
      <c r="D8" s="155">
        <v>0.1086</v>
      </c>
      <c r="E8" s="156">
        <f>208.598*17</f>
        <v>3546.166</v>
      </c>
      <c r="F8" s="156"/>
      <c r="G8" s="156"/>
      <c r="H8" s="157">
        <v>17.0</v>
      </c>
      <c r="I8" s="158">
        <f t="shared" ref="I8:I12" si="1">+D8*E8</f>
        <v>385.1136276</v>
      </c>
      <c r="J8" s="159">
        <f t="shared" ref="J8:J12" si="2">E8-I8</f>
        <v>3161.052372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</row>
    <row r="9" ht="26.25" customHeight="1">
      <c r="A9" s="153">
        <v>2.0</v>
      </c>
      <c r="B9" s="160" t="s">
        <v>57</v>
      </c>
      <c r="C9" s="154">
        <v>20.5</v>
      </c>
      <c r="D9" s="161">
        <v>0.0846</v>
      </c>
      <c r="E9" s="162">
        <f>219.537*14.915</f>
        <v>3274.394355</v>
      </c>
      <c r="F9" s="162"/>
      <c r="G9" s="162"/>
      <c r="H9" s="157">
        <v>14.915</v>
      </c>
      <c r="I9" s="158">
        <f t="shared" si="1"/>
        <v>277.0137624</v>
      </c>
      <c r="J9" s="159">
        <f t="shared" si="2"/>
        <v>2997.380593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</row>
    <row r="10" ht="26.25" customHeight="1">
      <c r="A10" s="153">
        <v>3.0</v>
      </c>
      <c r="B10" s="160" t="s">
        <v>55</v>
      </c>
      <c r="C10" s="154">
        <v>29.5</v>
      </c>
      <c r="D10" s="155">
        <v>0.0155</v>
      </c>
      <c r="E10" s="156">
        <f>253.135*29.502</f>
        <v>7467.98877</v>
      </c>
      <c r="F10" s="156"/>
      <c r="G10" s="156"/>
      <c r="H10" s="157">
        <v>29.502</v>
      </c>
      <c r="I10" s="158">
        <f t="shared" si="1"/>
        <v>115.7538259</v>
      </c>
      <c r="J10" s="159">
        <f t="shared" si="2"/>
        <v>7352.234944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</row>
    <row r="11" ht="26.25" customHeight="1">
      <c r="A11" s="153">
        <v>4.0</v>
      </c>
      <c r="B11" s="160" t="s">
        <v>84</v>
      </c>
      <c r="C11" s="154">
        <v>31.5</v>
      </c>
      <c r="D11" s="161">
        <v>0.0146</v>
      </c>
      <c r="E11" s="162">
        <f>226.763*1.21</f>
        <v>274.38323</v>
      </c>
      <c r="F11" s="162"/>
      <c r="G11" s="162"/>
      <c r="H11" s="157">
        <v>1.21</v>
      </c>
      <c r="I11" s="158">
        <f t="shared" si="1"/>
        <v>4.005995158</v>
      </c>
      <c r="J11" s="159">
        <f t="shared" si="2"/>
        <v>270.3772348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</row>
    <row r="12" ht="26.25" customHeight="1">
      <c r="A12" s="153">
        <v>5.0</v>
      </c>
      <c r="B12" s="160" t="s">
        <v>84</v>
      </c>
      <c r="C12" s="154">
        <v>31.5</v>
      </c>
      <c r="D12" s="161">
        <v>0.0146</v>
      </c>
      <c r="E12" s="162">
        <f>226.763*1.31</f>
        <v>297.05953</v>
      </c>
      <c r="F12" s="162"/>
      <c r="G12" s="162"/>
      <c r="H12" s="157">
        <v>1.0</v>
      </c>
      <c r="I12" s="158">
        <f t="shared" si="1"/>
        <v>4.337069138</v>
      </c>
      <c r="J12" s="159">
        <f t="shared" si="2"/>
        <v>292.7224609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</row>
    <row r="13" ht="18.75" customHeight="1">
      <c r="A13" s="163"/>
      <c r="B13" s="164"/>
      <c r="C13" s="165"/>
      <c r="D13" s="166"/>
      <c r="E13" s="167">
        <f>SUM(E8:E12)</f>
        <v>14859.99189</v>
      </c>
      <c r="F13" s="168"/>
      <c r="G13" s="168"/>
      <c r="H13" s="169"/>
      <c r="I13" s="170">
        <f t="shared" ref="I13:J13" si="3">SUM(I8:I12)</f>
        <v>786.2242803</v>
      </c>
      <c r="J13" s="171">
        <f t="shared" si="3"/>
        <v>14073.7676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</row>
    <row r="14" ht="18.75" customHeight="1">
      <c r="A14" s="172"/>
      <c r="B14" s="144"/>
      <c r="C14" s="144"/>
      <c r="D14" s="173"/>
      <c r="E14" s="174"/>
      <c r="F14" s="151"/>
      <c r="G14" s="151"/>
      <c r="H14" s="147"/>
      <c r="I14" s="175"/>
      <c r="J14" s="139"/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</row>
    <row r="15" ht="18.75" customHeight="1">
      <c r="A15" s="139"/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</row>
    <row r="17" ht="18.75" customHeight="1">
      <c r="A17" s="139" t="s">
        <v>11</v>
      </c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</row>
    <row r="19" ht="40.5" customHeight="1">
      <c r="A19" s="176"/>
      <c r="B19" s="160" t="s">
        <v>12</v>
      </c>
      <c r="C19" s="177" t="s">
        <v>62</v>
      </c>
      <c r="D19" s="52"/>
      <c r="E19" s="53"/>
      <c r="F19" s="178"/>
      <c r="G19" s="178"/>
      <c r="H19" s="179" t="s">
        <v>14</v>
      </c>
      <c r="I19" s="160" t="s">
        <v>15</v>
      </c>
      <c r="J19" s="160" t="s">
        <v>16</v>
      </c>
      <c r="K19" s="139"/>
      <c r="L19" s="160" t="s">
        <v>17</v>
      </c>
      <c r="M19" s="160" t="s">
        <v>15</v>
      </c>
      <c r="N19" s="176" t="s">
        <v>18</v>
      </c>
      <c r="O19" s="139"/>
      <c r="P19" s="139"/>
      <c r="Q19" s="180"/>
      <c r="R19" s="160" t="s">
        <v>17</v>
      </c>
      <c r="S19" s="160" t="s">
        <v>15</v>
      </c>
      <c r="T19" s="176" t="s">
        <v>18</v>
      </c>
      <c r="U19" s="139"/>
      <c r="V19" s="176" t="s">
        <v>19</v>
      </c>
      <c r="W19" s="176" t="s">
        <v>20</v>
      </c>
      <c r="X19" s="176" t="s">
        <v>21</v>
      </c>
      <c r="Y19" s="176" t="s">
        <v>132</v>
      </c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</row>
    <row r="20" ht="27.0" customHeight="1">
      <c r="A20" s="181">
        <v>1.0</v>
      </c>
      <c r="B20" s="182" t="s">
        <v>79</v>
      </c>
      <c r="C20" s="183">
        <v>81.0</v>
      </c>
      <c r="D20" s="183">
        <v>209.0</v>
      </c>
      <c r="E20" s="183">
        <v>194.0</v>
      </c>
      <c r="F20" s="183">
        <f t="shared" ref="F20:F60" si="5">VALUE(IF(RIGHT(B20, 1)="%", RIGHT(B20, 3), 0))</f>
        <v>0.8</v>
      </c>
      <c r="G20" s="183">
        <f t="shared" ref="G20:G60" si="6">+Q20*C20/100*D20/100*E20/100</f>
        <v>73.895085</v>
      </c>
      <c r="H20" s="184">
        <f t="shared" ref="H20:H60" si="7">IF(F20=0, G20, F20*G20)</f>
        <v>59.116068</v>
      </c>
      <c r="I20" s="183">
        <v>1.0</v>
      </c>
      <c r="J20" s="193">
        <f t="shared" ref="J20:J60" si="8">+I20*H20</f>
        <v>59.116068</v>
      </c>
      <c r="K20" s="186"/>
      <c r="L20" s="187">
        <f>D20*25.4/1000</f>
        <v>5.3086</v>
      </c>
      <c r="M20" s="181">
        <f>+I20</f>
        <v>1</v>
      </c>
      <c r="N20" s="181">
        <f>M20*L20</f>
        <v>5.3086</v>
      </c>
      <c r="O20" s="186"/>
      <c r="P20" s="186"/>
      <c r="Q20" s="188">
        <v>22.5</v>
      </c>
      <c r="R20" s="187">
        <f t="shared" ref="R20:R61" si="9">E20/100</f>
        <v>1.94</v>
      </c>
      <c r="S20" s="181">
        <f t="shared" ref="S20:S61" si="10">I20</f>
        <v>1</v>
      </c>
      <c r="T20" s="181">
        <f t="shared" ref="T20:T61" si="11">S20*R20</f>
        <v>1.94</v>
      </c>
      <c r="U20" s="186">
        <f t="shared" ref="U20:U60" si="12">Q20*C20/100*D20/100*E20/100</f>
        <v>73.895085</v>
      </c>
      <c r="V20" s="187">
        <f t="shared" ref="V20:W20" si="4">C20/100</f>
        <v>0.81</v>
      </c>
      <c r="W20" s="187">
        <f t="shared" si="4"/>
        <v>2.09</v>
      </c>
      <c r="X20" s="187">
        <f t="shared" ref="X20:X61" si="14">T20</f>
        <v>1.94</v>
      </c>
      <c r="Y20" s="189">
        <f t="shared" ref="Y20:Y61" si="15">V20*W20*X20</f>
        <v>3.284226</v>
      </c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6"/>
    </row>
    <row r="21" ht="27.0" customHeight="1">
      <c r="A21" s="181">
        <v>2.0</v>
      </c>
      <c r="B21" s="191" t="s">
        <v>76</v>
      </c>
      <c r="C21" s="191">
        <v>98.0</v>
      </c>
      <c r="D21" s="191">
        <v>209.0</v>
      </c>
      <c r="E21" s="191">
        <v>155.0</v>
      </c>
      <c r="F21" s="191">
        <f t="shared" si="5"/>
        <v>0</v>
      </c>
      <c r="G21" s="191">
        <f t="shared" si="6"/>
        <v>71.430975</v>
      </c>
      <c r="H21" s="219">
        <f t="shared" si="7"/>
        <v>71.430975</v>
      </c>
      <c r="I21" s="218">
        <v>2.0</v>
      </c>
      <c r="J21" s="193">
        <f t="shared" si="8"/>
        <v>142.86195</v>
      </c>
      <c r="K21" s="186"/>
      <c r="L21" s="187"/>
      <c r="M21" s="181"/>
      <c r="N21" s="181"/>
      <c r="O21" s="186"/>
      <c r="P21" s="186"/>
      <c r="Q21" s="188">
        <v>22.5</v>
      </c>
      <c r="R21" s="187">
        <f t="shared" si="9"/>
        <v>1.55</v>
      </c>
      <c r="S21" s="181">
        <f t="shared" si="10"/>
        <v>2</v>
      </c>
      <c r="T21" s="181">
        <f t="shared" si="11"/>
        <v>3.1</v>
      </c>
      <c r="U21" s="186">
        <f t="shared" si="12"/>
        <v>71.430975</v>
      </c>
      <c r="V21" s="187">
        <f t="shared" ref="V21:W21" si="13">C21/100</f>
        <v>0.98</v>
      </c>
      <c r="W21" s="187">
        <f t="shared" si="13"/>
        <v>2.09</v>
      </c>
      <c r="X21" s="187">
        <f t="shared" si="14"/>
        <v>3.1</v>
      </c>
      <c r="Y21" s="189">
        <f t="shared" si="15"/>
        <v>6.34942</v>
      </c>
      <c r="Z21" s="186"/>
      <c r="AA21" s="186"/>
      <c r="AB21" s="186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</row>
    <row r="22" ht="27.0" customHeight="1">
      <c r="A22" s="181">
        <v>3.0</v>
      </c>
      <c r="B22" s="191" t="s">
        <v>76</v>
      </c>
      <c r="C22" s="191">
        <v>101.0</v>
      </c>
      <c r="D22" s="191">
        <v>209.0</v>
      </c>
      <c r="E22" s="191">
        <v>194.0</v>
      </c>
      <c r="F22" s="191">
        <f t="shared" si="5"/>
        <v>0</v>
      </c>
      <c r="G22" s="191">
        <f t="shared" si="6"/>
        <v>92.140785</v>
      </c>
      <c r="H22" s="219">
        <f t="shared" si="7"/>
        <v>92.140785</v>
      </c>
      <c r="I22" s="218">
        <v>3.0</v>
      </c>
      <c r="J22" s="193">
        <f t="shared" si="8"/>
        <v>276.422355</v>
      </c>
      <c r="K22" s="186"/>
      <c r="L22" s="187">
        <f t="shared" ref="L22:L37" si="17">D22*25.4/1000</f>
        <v>5.3086</v>
      </c>
      <c r="M22" s="181">
        <f t="shared" ref="M22:M40" si="18">+I22</f>
        <v>3</v>
      </c>
      <c r="N22" s="181">
        <f t="shared" ref="N22:N37" si="19">M22*L22</f>
        <v>15.9258</v>
      </c>
      <c r="O22" s="186"/>
      <c r="P22" s="186"/>
      <c r="Q22" s="188">
        <v>22.5</v>
      </c>
      <c r="R22" s="187">
        <f t="shared" si="9"/>
        <v>1.94</v>
      </c>
      <c r="S22" s="181">
        <f t="shared" si="10"/>
        <v>3</v>
      </c>
      <c r="T22" s="181">
        <f t="shared" si="11"/>
        <v>5.82</v>
      </c>
      <c r="U22" s="186">
        <f t="shared" si="12"/>
        <v>92.140785</v>
      </c>
      <c r="V22" s="187">
        <f t="shared" ref="V22:W22" si="16">C22/100</f>
        <v>1.01</v>
      </c>
      <c r="W22" s="187">
        <f t="shared" si="16"/>
        <v>2.09</v>
      </c>
      <c r="X22" s="187">
        <f t="shared" si="14"/>
        <v>5.82</v>
      </c>
      <c r="Y22" s="189">
        <f t="shared" si="15"/>
        <v>12.285438</v>
      </c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</row>
    <row r="23" ht="27.0" customHeight="1">
      <c r="A23" s="181">
        <v>4.0</v>
      </c>
      <c r="B23" s="191" t="s">
        <v>76</v>
      </c>
      <c r="C23" s="191">
        <v>93.0</v>
      </c>
      <c r="D23" s="191">
        <v>209.0</v>
      </c>
      <c r="E23" s="191">
        <v>194.0</v>
      </c>
      <c r="F23" s="191">
        <f t="shared" si="5"/>
        <v>0</v>
      </c>
      <c r="G23" s="191">
        <f t="shared" si="6"/>
        <v>84.842505</v>
      </c>
      <c r="H23" s="219">
        <f t="shared" si="7"/>
        <v>84.842505</v>
      </c>
      <c r="I23" s="218">
        <v>1.0</v>
      </c>
      <c r="J23" s="193">
        <f t="shared" si="8"/>
        <v>84.842505</v>
      </c>
      <c r="K23" s="186"/>
      <c r="L23" s="187">
        <f t="shared" si="17"/>
        <v>5.3086</v>
      </c>
      <c r="M23" s="181">
        <f t="shared" si="18"/>
        <v>1</v>
      </c>
      <c r="N23" s="181">
        <f t="shared" si="19"/>
        <v>5.3086</v>
      </c>
      <c r="O23" s="186"/>
      <c r="P23" s="186"/>
      <c r="Q23" s="188">
        <v>22.5</v>
      </c>
      <c r="R23" s="187">
        <f t="shared" si="9"/>
        <v>1.94</v>
      </c>
      <c r="S23" s="181">
        <f t="shared" si="10"/>
        <v>1</v>
      </c>
      <c r="T23" s="181">
        <f t="shared" si="11"/>
        <v>1.94</v>
      </c>
      <c r="U23" s="186">
        <f t="shared" si="12"/>
        <v>84.842505</v>
      </c>
      <c r="V23" s="187">
        <f t="shared" ref="V23:W23" si="20">C23/100</f>
        <v>0.93</v>
      </c>
      <c r="W23" s="187">
        <f t="shared" si="20"/>
        <v>2.09</v>
      </c>
      <c r="X23" s="187">
        <f t="shared" si="14"/>
        <v>1.94</v>
      </c>
      <c r="Y23" s="189">
        <f t="shared" si="15"/>
        <v>3.770778</v>
      </c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</row>
    <row r="24" ht="27.0" customHeight="1">
      <c r="A24" s="181">
        <v>5.0</v>
      </c>
      <c r="B24" s="191" t="s">
        <v>76</v>
      </c>
      <c r="C24" s="191">
        <v>100.0</v>
      </c>
      <c r="D24" s="191">
        <v>209.0</v>
      </c>
      <c r="E24" s="191">
        <v>194.0</v>
      </c>
      <c r="F24" s="191">
        <f t="shared" si="5"/>
        <v>0</v>
      </c>
      <c r="G24" s="191">
        <f t="shared" si="6"/>
        <v>91.2285</v>
      </c>
      <c r="H24" s="219">
        <f t="shared" si="7"/>
        <v>91.2285</v>
      </c>
      <c r="I24" s="218">
        <v>5.0</v>
      </c>
      <c r="J24" s="193">
        <f t="shared" si="8"/>
        <v>456.1425</v>
      </c>
      <c r="K24" s="186"/>
      <c r="L24" s="187">
        <f t="shared" si="17"/>
        <v>5.3086</v>
      </c>
      <c r="M24" s="181">
        <f t="shared" si="18"/>
        <v>5</v>
      </c>
      <c r="N24" s="181">
        <f t="shared" si="19"/>
        <v>26.543</v>
      </c>
      <c r="O24" s="186"/>
      <c r="P24" s="186"/>
      <c r="Q24" s="188">
        <v>22.5</v>
      </c>
      <c r="R24" s="187">
        <f t="shared" si="9"/>
        <v>1.94</v>
      </c>
      <c r="S24" s="181">
        <f t="shared" si="10"/>
        <v>5</v>
      </c>
      <c r="T24" s="181">
        <f t="shared" si="11"/>
        <v>9.7</v>
      </c>
      <c r="U24" s="186">
        <f t="shared" si="12"/>
        <v>91.2285</v>
      </c>
      <c r="V24" s="187">
        <f t="shared" ref="V24:W24" si="21">C24/100</f>
        <v>1</v>
      </c>
      <c r="W24" s="187">
        <f t="shared" si="21"/>
        <v>2.09</v>
      </c>
      <c r="X24" s="187">
        <f t="shared" si="14"/>
        <v>9.7</v>
      </c>
      <c r="Y24" s="189">
        <f t="shared" si="15"/>
        <v>20.273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</row>
    <row r="25" ht="27.0" customHeight="1">
      <c r="A25" s="181">
        <v>6.0</v>
      </c>
      <c r="B25" s="191" t="s">
        <v>76</v>
      </c>
      <c r="C25" s="191">
        <v>100.0</v>
      </c>
      <c r="D25" s="191">
        <v>209.0</v>
      </c>
      <c r="E25" s="191">
        <v>193.0</v>
      </c>
      <c r="F25" s="191">
        <f t="shared" si="5"/>
        <v>0</v>
      </c>
      <c r="G25" s="191">
        <f t="shared" si="6"/>
        <v>90.75825</v>
      </c>
      <c r="H25" s="219">
        <f t="shared" si="7"/>
        <v>90.75825</v>
      </c>
      <c r="I25" s="218">
        <v>2.0</v>
      </c>
      <c r="J25" s="193">
        <f t="shared" si="8"/>
        <v>181.5165</v>
      </c>
      <c r="K25" s="186"/>
      <c r="L25" s="187">
        <f t="shared" si="17"/>
        <v>5.3086</v>
      </c>
      <c r="M25" s="181">
        <f t="shared" si="18"/>
        <v>2</v>
      </c>
      <c r="N25" s="181">
        <f t="shared" si="19"/>
        <v>10.6172</v>
      </c>
      <c r="O25" s="186"/>
      <c r="P25" s="186"/>
      <c r="Q25" s="188">
        <v>22.5</v>
      </c>
      <c r="R25" s="187">
        <f t="shared" si="9"/>
        <v>1.93</v>
      </c>
      <c r="S25" s="181">
        <f t="shared" si="10"/>
        <v>2</v>
      </c>
      <c r="T25" s="181">
        <f t="shared" si="11"/>
        <v>3.86</v>
      </c>
      <c r="U25" s="186">
        <f t="shared" si="12"/>
        <v>90.75825</v>
      </c>
      <c r="V25" s="187">
        <f t="shared" ref="V25:W25" si="22">C25/100</f>
        <v>1</v>
      </c>
      <c r="W25" s="187">
        <f t="shared" si="22"/>
        <v>2.09</v>
      </c>
      <c r="X25" s="187">
        <f t="shared" si="14"/>
        <v>3.86</v>
      </c>
      <c r="Y25" s="189">
        <f t="shared" si="15"/>
        <v>8.0674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</row>
    <row r="26" ht="27.0" customHeight="1">
      <c r="A26" s="181">
        <v>7.0</v>
      </c>
      <c r="B26" s="191" t="s">
        <v>76</v>
      </c>
      <c r="C26" s="191">
        <v>99.0</v>
      </c>
      <c r="D26" s="191">
        <v>209.0</v>
      </c>
      <c r="E26" s="191">
        <v>194.0</v>
      </c>
      <c r="F26" s="191">
        <f t="shared" si="5"/>
        <v>0</v>
      </c>
      <c r="G26" s="191">
        <f t="shared" si="6"/>
        <v>90.316215</v>
      </c>
      <c r="H26" s="219">
        <f t="shared" si="7"/>
        <v>90.316215</v>
      </c>
      <c r="I26" s="218">
        <v>2.0</v>
      </c>
      <c r="J26" s="193">
        <f t="shared" si="8"/>
        <v>180.63243</v>
      </c>
      <c r="K26" s="186"/>
      <c r="L26" s="187">
        <f t="shared" si="17"/>
        <v>5.3086</v>
      </c>
      <c r="M26" s="181">
        <f t="shared" si="18"/>
        <v>2</v>
      </c>
      <c r="N26" s="181">
        <f t="shared" si="19"/>
        <v>10.6172</v>
      </c>
      <c r="O26" s="186"/>
      <c r="P26" s="186"/>
      <c r="Q26" s="188">
        <v>22.5</v>
      </c>
      <c r="R26" s="187">
        <f t="shared" si="9"/>
        <v>1.94</v>
      </c>
      <c r="S26" s="181">
        <f t="shared" si="10"/>
        <v>2</v>
      </c>
      <c r="T26" s="181">
        <f t="shared" si="11"/>
        <v>3.88</v>
      </c>
      <c r="U26" s="186">
        <f t="shared" si="12"/>
        <v>90.316215</v>
      </c>
      <c r="V26" s="187">
        <f t="shared" ref="V26:W26" si="23">C26/100</f>
        <v>0.99</v>
      </c>
      <c r="W26" s="187">
        <f t="shared" si="23"/>
        <v>2.09</v>
      </c>
      <c r="X26" s="187">
        <f t="shared" si="14"/>
        <v>3.88</v>
      </c>
      <c r="Y26" s="189">
        <f t="shared" si="15"/>
        <v>8.028108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</row>
    <row r="27" ht="27.0" customHeight="1">
      <c r="A27" s="181">
        <v>8.0</v>
      </c>
      <c r="B27" s="191" t="s">
        <v>76</v>
      </c>
      <c r="C27" s="191">
        <v>98.0</v>
      </c>
      <c r="D27" s="191">
        <v>209.0</v>
      </c>
      <c r="E27" s="191">
        <v>194.0</v>
      </c>
      <c r="F27" s="191">
        <f t="shared" si="5"/>
        <v>0</v>
      </c>
      <c r="G27" s="191">
        <f t="shared" si="6"/>
        <v>89.40393</v>
      </c>
      <c r="H27" s="219">
        <f t="shared" si="7"/>
        <v>89.40393</v>
      </c>
      <c r="I27" s="218">
        <v>3.0</v>
      </c>
      <c r="J27" s="193">
        <f t="shared" si="8"/>
        <v>268.21179</v>
      </c>
      <c r="K27" s="186"/>
      <c r="L27" s="187">
        <f t="shared" si="17"/>
        <v>5.3086</v>
      </c>
      <c r="M27" s="181">
        <f t="shared" si="18"/>
        <v>3</v>
      </c>
      <c r="N27" s="181">
        <f t="shared" si="19"/>
        <v>15.9258</v>
      </c>
      <c r="O27" s="186"/>
      <c r="P27" s="186"/>
      <c r="Q27" s="188">
        <v>22.5</v>
      </c>
      <c r="R27" s="187">
        <f t="shared" si="9"/>
        <v>1.94</v>
      </c>
      <c r="S27" s="181">
        <f t="shared" si="10"/>
        <v>3</v>
      </c>
      <c r="T27" s="181">
        <f t="shared" si="11"/>
        <v>5.82</v>
      </c>
      <c r="U27" s="186">
        <f t="shared" si="12"/>
        <v>89.40393</v>
      </c>
      <c r="V27" s="187">
        <f t="shared" ref="V27:W27" si="24">C27/100</f>
        <v>0.98</v>
      </c>
      <c r="W27" s="187">
        <f t="shared" si="24"/>
        <v>2.09</v>
      </c>
      <c r="X27" s="187">
        <f t="shared" si="14"/>
        <v>5.82</v>
      </c>
      <c r="Y27" s="189">
        <f t="shared" si="15"/>
        <v>11.920524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</row>
    <row r="28" ht="27.0" customHeight="1">
      <c r="A28" s="181">
        <v>9.0</v>
      </c>
      <c r="B28" s="191" t="s">
        <v>76</v>
      </c>
      <c r="C28" s="191">
        <v>98.0</v>
      </c>
      <c r="D28" s="191">
        <v>209.0</v>
      </c>
      <c r="E28" s="191">
        <v>156.0</v>
      </c>
      <c r="F28" s="191">
        <f t="shared" si="5"/>
        <v>0</v>
      </c>
      <c r="G28" s="191">
        <f t="shared" si="6"/>
        <v>71.89182</v>
      </c>
      <c r="H28" s="219">
        <f t="shared" si="7"/>
        <v>71.89182</v>
      </c>
      <c r="I28" s="218">
        <v>6.0</v>
      </c>
      <c r="J28" s="193">
        <f t="shared" si="8"/>
        <v>431.35092</v>
      </c>
      <c r="K28" s="186"/>
      <c r="L28" s="187">
        <f t="shared" si="17"/>
        <v>5.3086</v>
      </c>
      <c r="M28" s="181">
        <f t="shared" si="18"/>
        <v>6</v>
      </c>
      <c r="N28" s="181">
        <f t="shared" si="19"/>
        <v>31.8516</v>
      </c>
      <c r="O28" s="186"/>
      <c r="P28" s="186"/>
      <c r="Q28" s="188">
        <v>22.5</v>
      </c>
      <c r="R28" s="187">
        <f t="shared" si="9"/>
        <v>1.56</v>
      </c>
      <c r="S28" s="181">
        <f t="shared" si="10"/>
        <v>6</v>
      </c>
      <c r="T28" s="181">
        <f t="shared" si="11"/>
        <v>9.36</v>
      </c>
      <c r="U28" s="186">
        <f t="shared" si="12"/>
        <v>71.89182</v>
      </c>
      <c r="V28" s="187">
        <f t="shared" ref="V28:W28" si="25">C28/100</f>
        <v>0.98</v>
      </c>
      <c r="W28" s="187">
        <f t="shared" si="25"/>
        <v>2.09</v>
      </c>
      <c r="X28" s="187">
        <f t="shared" si="14"/>
        <v>9.36</v>
      </c>
      <c r="Y28" s="189">
        <f t="shared" si="15"/>
        <v>19.171152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10.0</v>
      </c>
      <c r="B29" s="191" t="s">
        <v>76</v>
      </c>
      <c r="C29" s="191">
        <v>97.0</v>
      </c>
      <c r="D29" s="191">
        <v>209.0</v>
      </c>
      <c r="E29" s="191">
        <v>193.0</v>
      </c>
      <c r="F29" s="191">
        <f t="shared" si="5"/>
        <v>0</v>
      </c>
      <c r="G29" s="191">
        <f t="shared" si="6"/>
        <v>88.0355025</v>
      </c>
      <c r="H29" s="219">
        <f t="shared" si="7"/>
        <v>88.0355025</v>
      </c>
      <c r="I29" s="218">
        <v>1.0</v>
      </c>
      <c r="J29" s="193">
        <f t="shared" si="8"/>
        <v>88.0355025</v>
      </c>
      <c r="K29" s="186"/>
      <c r="L29" s="187">
        <f t="shared" si="17"/>
        <v>5.3086</v>
      </c>
      <c r="M29" s="181">
        <f t="shared" si="18"/>
        <v>1</v>
      </c>
      <c r="N29" s="181">
        <f t="shared" si="19"/>
        <v>5.3086</v>
      </c>
      <c r="O29" s="186"/>
      <c r="P29" s="186"/>
      <c r="Q29" s="188">
        <v>22.5</v>
      </c>
      <c r="R29" s="187">
        <f t="shared" si="9"/>
        <v>1.93</v>
      </c>
      <c r="S29" s="181">
        <f t="shared" si="10"/>
        <v>1</v>
      </c>
      <c r="T29" s="181">
        <f t="shared" si="11"/>
        <v>1.93</v>
      </c>
      <c r="U29" s="186">
        <f t="shared" si="12"/>
        <v>88.0355025</v>
      </c>
      <c r="V29" s="187">
        <f t="shared" ref="V29:W29" si="26">C29/100</f>
        <v>0.97</v>
      </c>
      <c r="W29" s="187">
        <f t="shared" si="26"/>
        <v>2.09</v>
      </c>
      <c r="X29" s="187">
        <f t="shared" si="14"/>
        <v>1.93</v>
      </c>
      <c r="Y29" s="189">
        <f t="shared" si="15"/>
        <v>3.912689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11.0</v>
      </c>
      <c r="B30" s="191" t="s">
        <v>76</v>
      </c>
      <c r="C30" s="191">
        <v>94.0</v>
      </c>
      <c r="D30" s="191">
        <v>209.0</v>
      </c>
      <c r="E30" s="191">
        <v>161.0</v>
      </c>
      <c r="F30" s="191">
        <f t="shared" si="5"/>
        <v>0</v>
      </c>
      <c r="G30" s="191">
        <f t="shared" si="6"/>
        <v>71.167635</v>
      </c>
      <c r="H30" s="219">
        <f t="shared" si="7"/>
        <v>71.167635</v>
      </c>
      <c r="I30" s="218">
        <v>1.0</v>
      </c>
      <c r="J30" s="193">
        <f t="shared" si="8"/>
        <v>71.167635</v>
      </c>
      <c r="K30" s="186"/>
      <c r="L30" s="187">
        <f t="shared" si="17"/>
        <v>5.3086</v>
      </c>
      <c r="M30" s="181">
        <f t="shared" si="18"/>
        <v>1</v>
      </c>
      <c r="N30" s="181">
        <f t="shared" si="19"/>
        <v>5.3086</v>
      </c>
      <c r="O30" s="186"/>
      <c r="P30" s="186"/>
      <c r="Q30" s="188">
        <v>22.5</v>
      </c>
      <c r="R30" s="187">
        <f t="shared" si="9"/>
        <v>1.61</v>
      </c>
      <c r="S30" s="181">
        <f t="shared" si="10"/>
        <v>1</v>
      </c>
      <c r="T30" s="181">
        <f t="shared" si="11"/>
        <v>1.61</v>
      </c>
      <c r="U30" s="186">
        <f t="shared" si="12"/>
        <v>71.167635</v>
      </c>
      <c r="V30" s="187">
        <f t="shared" ref="V30:W30" si="27">C30/100</f>
        <v>0.94</v>
      </c>
      <c r="W30" s="187">
        <f t="shared" si="27"/>
        <v>2.09</v>
      </c>
      <c r="X30" s="187">
        <f t="shared" si="14"/>
        <v>1.61</v>
      </c>
      <c r="Y30" s="189">
        <f t="shared" si="15"/>
        <v>3.163006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12.0</v>
      </c>
      <c r="B31" s="191" t="s">
        <v>76</v>
      </c>
      <c r="C31" s="191">
        <v>80.0</v>
      </c>
      <c r="D31" s="191">
        <v>209.0</v>
      </c>
      <c r="E31" s="191">
        <v>205.0</v>
      </c>
      <c r="F31" s="191">
        <f t="shared" si="5"/>
        <v>0</v>
      </c>
      <c r="G31" s="191">
        <f t="shared" si="6"/>
        <v>77.121</v>
      </c>
      <c r="H31" s="219">
        <f t="shared" si="7"/>
        <v>77.121</v>
      </c>
      <c r="I31" s="218">
        <v>1.0</v>
      </c>
      <c r="J31" s="193">
        <f t="shared" si="8"/>
        <v>77.121</v>
      </c>
      <c r="K31" s="186"/>
      <c r="L31" s="187">
        <f t="shared" si="17"/>
        <v>5.3086</v>
      </c>
      <c r="M31" s="181">
        <f t="shared" si="18"/>
        <v>1</v>
      </c>
      <c r="N31" s="181">
        <f t="shared" si="19"/>
        <v>5.3086</v>
      </c>
      <c r="O31" s="186"/>
      <c r="P31" s="186"/>
      <c r="Q31" s="188">
        <v>22.5</v>
      </c>
      <c r="R31" s="187">
        <f t="shared" si="9"/>
        <v>2.05</v>
      </c>
      <c r="S31" s="181">
        <f t="shared" si="10"/>
        <v>1</v>
      </c>
      <c r="T31" s="181">
        <f t="shared" si="11"/>
        <v>2.05</v>
      </c>
      <c r="U31" s="186">
        <f t="shared" si="12"/>
        <v>77.121</v>
      </c>
      <c r="V31" s="187">
        <f t="shared" ref="V31:W31" si="28">C31/100</f>
        <v>0.8</v>
      </c>
      <c r="W31" s="187">
        <f t="shared" si="28"/>
        <v>2.09</v>
      </c>
      <c r="X31" s="187">
        <f t="shared" si="14"/>
        <v>2.05</v>
      </c>
      <c r="Y31" s="189">
        <f t="shared" si="15"/>
        <v>3.4276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13.0</v>
      </c>
      <c r="B32" s="191" t="s">
        <v>76</v>
      </c>
      <c r="C32" s="191">
        <v>98.0</v>
      </c>
      <c r="D32" s="191">
        <v>209.0</v>
      </c>
      <c r="E32" s="191">
        <v>205.0</v>
      </c>
      <c r="F32" s="191">
        <f t="shared" si="5"/>
        <v>0</v>
      </c>
      <c r="G32" s="191">
        <f t="shared" si="6"/>
        <v>94.473225</v>
      </c>
      <c r="H32" s="219">
        <f t="shared" si="7"/>
        <v>94.473225</v>
      </c>
      <c r="I32" s="218">
        <v>1.0</v>
      </c>
      <c r="J32" s="193">
        <f t="shared" si="8"/>
        <v>94.473225</v>
      </c>
      <c r="K32" s="186"/>
      <c r="L32" s="187">
        <f t="shared" si="17"/>
        <v>5.3086</v>
      </c>
      <c r="M32" s="181">
        <f t="shared" si="18"/>
        <v>1</v>
      </c>
      <c r="N32" s="181">
        <f t="shared" si="19"/>
        <v>5.3086</v>
      </c>
      <c r="O32" s="186"/>
      <c r="P32" s="186"/>
      <c r="Q32" s="188">
        <v>22.5</v>
      </c>
      <c r="R32" s="187">
        <f t="shared" si="9"/>
        <v>2.05</v>
      </c>
      <c r="S32" s="181">
        <f t="shared" si="10"/>
        <v>1</v>
      </c>
      <c r="T32" s="181">
        <f t="shared" si="11"/>
        <v>2.05</v>
      </c>
      <c r="U32" s="186">
        <f t="shared" si="12"/>
        <v>94.473225</v>
      </c>
      <c r="V32" s="187">
        <f t="shared" ref="V32:W32" si="29">C32/100</f>
        <v>0.98</v>
      </c>
      <c r="W32" s="187">
        <f t="shared" si="29"/>
        <v>2.09</v>
      </c>
      <c r="X32" s="187">
        <f t="shared" si="14"/>
        <v>2.05</v>
      </c>
      <c r="Y32" s="189">
        <f t="shared" si="15"/>
        <v>4.19881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14.0</v>
      </c>
      <c r="B33" s="191" t="s">
        <v>76</v>
      </c>
      <c r="C33" s="191">
        <v>98.0</v>
      </c>
      <c r="D33" s="191">
        <v>209.0</v>
      </c>
      <c r="E33" s="191">
        <v>157.0</v>
      </c>
      <c r="F33" s="191">
        <f t="shared" si="5"/>
        <v>0</v>
      </c>
      <c r="G33" s="191">
        <f t="shared" si="6"/>
        <v>72.352665</v>
      </c>
      <c r="H33" s="219">
        <f t="shared" si="7"/>
        <v>72.352665</v>
      </c>
      <c r="I33" s="218">
        <v>5.0</v>
      </c>
      <c r="J33" s="193">
        <f t="shared" si="8"/>
        <v>361.763325</v>
      </c>
      <c r="K33" s="186"/>
      <c r="L33" s="187">
        <f t="shared" si="17"/>
        <v>5.3086</v>
      </c>
      <c r="M33" s="181">
        <f t="shared" si="18"/>
        <v>5</v>
      </c>
      <c r="N33" s="181">
        <f t="shared" si="19"/>
        <v>26.543</v>
      </c>
      <c r="O33" s="186"/>
      <c r="P33" s="186"/>
      <c r="Q33" s="188">
        <v>22.5</v>
      </c>
      <c r="R33" s="187">
        <f t="shared" si="9"/>
        <v>1.57</v>
      </c>
      <c r="S33" s="181">
        <f t="shared" si="10"/>
        <v>5</v>
      </c>
      <c r="T33" s="181">
        <f t="shared" si="11"/>
        <v>7.85</v>
      </c>
      <c r="U33" s="186">
        <f t="shared" si="12"/>
        <v>72.352665</v>
      </c>
      <c r="V33" s="187">
        <f t="shared" ref="V33:W33" si="30">C33/100</f>
        <v>0.98</v>
      </c>
      <c r="W33" s="187">
        <f t="shared" si="30"/>
        <v>2.09</v>
      </c>
      <c r="X33" s="187">
        <f t="shared" si="14"/>
        <v>7.85</v>
      </c>
      <c r="Y33" s="189">
        <f t="shared" si="15"/>
        <v>16.07837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15.0</v>
      </c>
      <c r="B34" s="191" t="s">
        <v>76</v>
      </c>
      <c r="C34" s="191">
        <v>98.0</v>
      </c>
      <c r="D34" s="191">
        <v>209.0</v>
      </c>
      <c r="E34" s="191">
        <v>162.0</v>
      </c>
      <c r="F34" s="191">
        <f t="shared" si="5"/>
        <v>0</v>
      </c>
      <c r="G34" s="191">
        <f t="shared" si="6"/>
        <v>74.65689</v>
      </c>
      <c r="H34" s="219">
        <f t="shared" si="7"/>
        <v>74.65689</v>
      </c>
      <c r="I34" s="218">
        <v>1.0</v>
      </c>
      <c r="J34" s="193">
        <f t="shared" si="8"/>
        <v>74.65689</v>
      </c>
      <c r="K34" s="186"/>
      <c r="L34" s="187">
        <f t="shared" si="17"/>
        <v>5.3086</v>
      </c>
      <c r="M34" s="181">
        <f t="shared" si="18"/>
        <v>1</v>
      </c>
      <c r="N34" s="181">
        <f t="shared" si="19"/>
        <v>5.3086</v>
      </c>
      <c r="O34" s="186"/>
      <c r="P34" s="186"/>
      <c r="Q34" s="188">
        <v>22.5</v>
      </c>
      <c r="R34" s="187">
        <f t="shared" si="9"/>
        <v>1.62</v>
      </c>
      <c r="S34" s="181">
        <f t="shared" si="10"/>
        <v>1</v>
      </c>
      <c r="T34" s="181">
        <f t="shared" si="11"/>
        <v>1.62</v>
      </c>
      <c r="U34" s="186">
        <f t="shared" si="12"/>
        <v>74.65689</v>
      </c>
      <c r="V34" s="187">
        <f t="shared" ref="V34:W34" si="31">C34/100</f>
        <v>0.98</v>
      </c>
      <c r="W34" s="187">
        <f t="shared" si="31"/>
        <v>2.09</v>
      </c>
      <c r="X34" s="187">
        <f t="shared" si="14"/>
        <v>1.62</v>
      </c>
      <c r="Y34" s="189">
        <f t="shared" si="15"/>
        <v>3.318084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16.0</v>
      </c>
      <c r="B35" s="191" t="s">
        <v>76</v>
      </c>
      <c r="C35" s="191">
        <v>97.0</v>
      </c>
      <c r="D35" s="191">
        <v>209.0</v>
      </c>
      <c r="E35" s="191">
        <v>157.0</v>
      </c>
      <c r="F35" s="191">
        <f t="shared" si="5"/>
        <v>0</v>
      </c>
      <c r="G35" s="191">
        <f t="shared" si="6"/>
        <v>71.6143725</v>
      </c>
      <c r="H35" s="219">
        <f t="shared" si="7"/>
        <v>71.6143725</v>
      </c>
      <c r="I35" s="218">
        <v>1.0</v>
      </c>
      <c r="J35" s="193">
        <f t="shared" si="8"/>
        <v>71.6143725</v>
      </c>
      <c r="K35" s="186"/>
      <c r="L35" s="187">
        <f t="shared" si="17"/>
        <v>5.3086</v>
      </c>
      <c r="M35" s="181">
        <f t="shared" si="18"/>
        <v>1</v>
      </c>
      <c r="N35" s="181">
        <f t="shared" si="19"/>
        <v>5.3086</v>
      </c>
      <c r="O35" s="186"/>
      <c r="P35" s="186"/>
      <c r="Q35" s="188">
        <v>22.5</v>
      </c>
      <c r="R35" s="187">
        <f t="shared" si="9"/>
        <v>1.57</v>
      </c>
      <c r="S35" s="181">
        <f t="shared" si="10"/>
        <v>1</v>
      </c>
      <c r="T35" s="181">
        <f t="shared" si="11"/>
        <v>1.57</v>
      </c>
      <c r="U35" s="186">
        <f t="shared" si="12"/>
        <v>71.6143725</v>
      </c>
      <c r="V35" s="187">
        <f t="shared" ref="V35:W35" si="32">C35/100</f>
        <v>0.97</v>
      </c>
      <c r="W35" s="187">
        <f t="shared" si="32"/>
        <v>2.09</v>
      </c>
      <c r="X35" s="187">
        <f t="shared" si="14"/>
        <v>1.57</v>
      </c>
      <c r="Y35" s="189">
        <f t="shared" si="15"/>
        <v>3.182861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17.0</v>
      </c>
      <c r="B36" s="182" t="s">
        <v>67</v>
      </c>
      <c r="C36" s="183">
        <v>88.0</v>
      </c>
      <c r="D36" s="183">
        <v>205.0</v>
      </c>
      <c r="E36" s="183">
        <v>210.0</v>
      </c>
      <c r="F36" s="183">
        <f t="shared" si="5"/>
        <v>0.8</v>
      </c>
      <c r="G36" s="183">
        <f t="shared" si="6"/>
        <v>77.6622</v>
      </c>
      <c r="H36" s="184">
        <f t="shared" si="7"/>
        <v>62.12976</v>
      </c>
      <c r="I36" s="183">
        <v>1.0</v>
      </c>
      <c r="J36" s="193">
        <f t="shared" si="8"/>
        <v>62.12976</v>
      </c>
      <c r="K36" s="186"/>
      <c r="L36" s="187">
        <f t="shared" si="17"/>
        <v>5.207</v>
      </c>
      <c r="M36" s="181">
        <f t="shared" si="18"/>
        <v>1</v>
      </c>
      <c r="N36" s="181">
        <f t="shared" si="19"/>
        <v>5.207</v>
      </c>
      <c r="O36" s="186"/>
      <c r="P36" s="186"/>
      <c r="Q36" s="188">
        <v>20.5</v>
      </c>
      <c r="R36" s="187">
        <f t="shared" si="9"/>
        <v>2.1</v>
      </c>
      <c r="S36" s="181">
        <f t="shared" si="10"/>
        <v>1</v>
      </c>
      <c r="T36" s="181">
        <f t="shared" si="11"/>
        <v>2.1</v>
      </c>
      <c r="U36" s="186">
        <f t="shared" si="12"/>
        <v>77.6622</v>
      </c>
      <c r="V36" s="187">
        <f t="shared" ref="V36:W36" si="33">C36/100</f>
        <v>0.88</v>
      </c>
      <c r="W36" s="187">
        <f t="shared" si="33"/>
        <v>2.05</v>
      </c>
      <c r="X36" s="187">
        <f t="shared" si="14"/>
        <v>2.1</v>
      </c>
      <c r="Y36" s="189">
        <f t="shared" si="15"/>
        <v>3.7884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18.0</v>
      </c>
      <c r="B37" s="191" t="s">
        <v>57</v>
      </c>
      <c r="C37" s="191">
        <v>100.0</v>
      </c>
      <c r="D37" s="191">
        <v>205.0</v>
      </c>
      <c r="E37" s="191">
        <v>210.0</v>
      </c>
      <c r="F37" s="191">
        <f t="shared" si="5"/>
        <v>0</v>
      </c>
      <c r="G37" s="191">
        <f t="shared" si="6"/>
        <v>88.2525</v>
      </c>
      <c r="H37" s="219">
        <f t="shared" si="7"/>
        <v>88.2525</v>
      </c>
      <c r="I37" s="218">
        <v>9.0</v>
      </c>
      <c r="J37" s="193">
        <f t="shared" si="8"/>
        <v>794.2725</v>
      </c>
      <c r="K37" s="186"/>
      <c r="L37" s="164">
        <f t="shared" si="17"/>
        <v>5.207</v>
      </c>
      <c r="M37" s="195">
        <f t="shared" si="18"/>
        <v>9</v>
      </c>
      <c r="N37" s="195">
        <f t="shared" si="19"/>
        <v>46.863</v>
      </c>
      <c r="O37" s="186"/>
      <c r="P37" s="186"/>
      <c r="Q37" s="188">
        <v>20.5</v>
      </c>
      <c r="R37" s="187">
        <f t="shared" si="9"/>
        <v>2.1</v>
      </c>
      <c r="S37" s="181">
        <f t="shared" si="10"/>
        <v>9</v>
      </c>
      <c r="T37" s="181">
        <f t="shared" si="11"/>
        <v>18.9</v>
      </c>
      <c r="U37" s="186">
        <f t="shared" si="12"/>
        <v>88.2525</v>
      </c>
      <c r="V37" s="187">
        <f t="shared" ref="V37:W37" si="34">C37/100</f>
        <v>1</v>
      </c>
      <c r="W37" s="187">
        <f t="shared" si="34"/>
        <v>2.05</v>
      </c>
      <c r="X37" s="187">
        <f t="shared" si="14"/>
        <v>18.9</v>
      </c>
      <c r="Y37" s="189">
        <f t="shared" si="15"/>
        <v>38.745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19.0</v>
      </c>
      <c r="B38" s="191" t="s">
        <v>57</v>
      </c>
      <c r="C38" s="191">
        <v>105.0</v>
      </c>
      <c r="D38" s="191">
        <v>205.0</v>
      </c>
      <c r="E38" s="191">
        <v>210.0</v>
      </c>
      <c r="F38" s="191">
        <f t="shared" si="5"/>
        <v>0</v>
      </c>
      <c r="G38" s="191">
        <f t="shared" si="6"/>
        <v>92.665125</v>
      </c>
      <c r="H38" s="219">
        <f t="shared" si="7"/>
        <v>92.665125</v>
      </c>
      <c r="I38" s="218">
        <v>1.0</v>
      </c>
      <c r="J38" s="193">
        <f t="shared" si="8"/>
        <v>92.665125</v>
      </c>
      <c r="K38" s="186"/>
      <c r="L38" s="164"/>
      <c r="M38" s="195">
        <f t="shared" si="18"/>
        <v>1</v>
      </c>
      <c r="N38" s="195"/>
      <c r="O38" s="186"/>
      <c r="P38" s="186"/>
      <c r="Q38" s="188">
        <v>20.5</v>
      </c>
      <c r="R38" s="187">
        <f t="shared" si="9"/>
        <v>2.1</v>
      </c>
      <c r="S38" s="181">
        <f t="shared" si="10"/>
        <v>1</v>
      </c>
      <c r="T38" s="181">
        <f t="shared" si="11"/>
        <v>2.1</v>
      </c>
      <c r="U38" s="186">
        <f t="shared" si="12"/>
        <v>92.665125</v>
      </c>
      <c r="V38" s="187">
        <f t="shared" ref="V38:W38" si="35">C38/100</f>
        <v>1.05</v>
      </c>
      <c r="W38" s="187">
        <f t="shared" si="35"/>
        <v>2.05</v>
      </c>
      <c r="X38" s="187">
        <f t="shared" si="14"/>
        <v>2.1</v>
      </c>
      <c r="Y38" s="189">
        <f t="shared" si="15"/>
        <v>4.52025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20.0</v>
      </c>
      <c r="B39" s="191" t="s">
        <v>57</v>
      </c>
      <c r="C39" s="191">
        <v>97.0</v>
      </c>
      <c r="D39" s="191">
        <v>205.0</v>
      </c>
      <c r="E39" s="191">
        <v>210.0</v>
      </c>
      <c r="F39" s="191">
        <f t="shared" si="5"/>
        <v>0</v>
      </c>
      <c r="G39" s="191">
        <f t="shared" si="6"/>
        <v>85.604925</v>
      </c>
      <c r="H39" s="219">
        <f t="shared" si="7"/>
        <v>85.604925</v>
      </c>
      <c r="I39" s="218">
        <v>2.0</v>
      </c>
      <c r="J39" s="193">
        <f t="shared" si="8"/>
        <v>171.20985</v>
      </c>
      <c r="K39" s="186"/>
      <c r="L39" s="164"/>
      <c r="M39" s="195">
        <f t="shared" si="18"/>
        <v>2</v>
      </c>
      <c r="N39" s="195"/>
      <c r="O39" s="186"/>
      <c r="P39" s="186"/>
      <c r="Q39" s="188">
        <v>20.5</v>
      </c>
      <c r="R39" s="187">
        <f t="shared" si="9"/>
        <v>2.1</v>
      </c>
      <c r="S39" s="181">
        <f t="shared" si="10"/>
        <v>2</v>
      </c>
      <c r="T39" s="181">
        <f t="shared" si="11"/>
        <v>4.2</v>
      </c>
      <c r="U39" s="186">
        <f t="shared" si="12"/>
        <v>85.604925</v>
      </c>
      <c r="V39" s="187">
        <f t="shared" ref="V39:W39" si="36">C39/100</f>
        <v>0.97</v>
      </c>
      <c r="W39" s="187">
        <f t="shared" si="36"/>
        <v>2.05</v>
      </c>
      <c r="X39" s="187">
        <f t="shared" si="14"/>
        <v>4.2</v>
      </c>
      <c r="Y39" s="189">
        <f t="shared" si="15"/>
        <v>8.3517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21.0</v>
      </c>
      <c r="B40" s="191" t="s">
        <v>57</v>
      </c>
      <c r="C40" s="191">
        <v>99.0</v>
      </c>
      <c r="D40" s="191">
        <v>205.0</v>
      </c>
      <c r="E40" s="191">
        <v>210.0</v>
      </c>
      <c r="F40" s="191">
        <f t="shared" si="5"/>
        <v>0</v>
      </c>
      <c r="G40" s="191">
        <f t="shared" si="6"/>
        <v>87.369975</v>
      </c>
      <c r="H40" s="219">
        <f t="shared" si="7"/>
        <v>87.369975</v>
      </c>
      <c r="I40" s="218">
        <v>5.0</v>
      </c>
      <c r="J40" s="193">
        <f t="shared" si="8"/>
        <v>436.849875</v>
      </c>
      <c r="K40" s="186"/>
      <c r="L40" s="164"/>
      <c r="M40" s="195">
        <f t="shared" si="18"/>
        <v>5</v>
      </c>
      <c r="N40" s="195"/>
      <c r="O40" s="186"/>
      <c r="P40" s="186"/>
      <c r="Q40" s="188">
        <v>20.5</v>
      </c>
      <c r="R40" s="187">
        <f t="shared" si="9"/>
        <v>2.1</v>
      </c>
      <c r="S40" s="181">
        <f t="shared" si="10"/>
        <v>5</v>
      </c>
      <c r="T40" s="181">
        <f t="shared" si="11"/>
        <v>10.5</v>
      </c>
      <c r="U40" s="186">
        <f t="shared" si="12"/>
        <v>87.369975</v>
      </c>
      <c r="V40" s="187">
        <f t="shared" ref="V40:W40" si="37">C40/100</f>
        <v>0.99</v>
      </c>
      <c r="W40" s="187">
        <f t="shared" si="37"/>
        <v>2.05</v>
      </c>
      <c r="X40" s="187">
        <f t="shared" si="14"/>
        <v>10.5</v>
      </c>
      <c r="Y40" s="189">
        <f t="shared" si="15"/>
        <v>21.30975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22.0</v>
      </c>
      <c r="B41" s="191" t="s">
        <v>57</v>
      </c>
      <c r="C41" s="191">
        <v>102.0</v>
      </c>
      <c r="D41" s="191">
        <v>205.0</v>
      </c>
      <c r="E41" s="191">
        <v>210.0</v>
      </c>
      <c r="F41" s="191">
        <f t="shared" si="5"/>
        <v>0</v>
      </c>
      <c r="G41" s="191">
        <f t="shared" si="6"/>
        <v>90.01755</v>
      </c>
      <c r="H41" s="219">
        <f t="shared" si="7"/>
        <v>90.01755</v>
      </c>
      <c r="I41" s="218">
        <v>3.0</v>
      </c>
      <c r="J41" s="193">
        <f t="shared" si="8"/>
        <v>270.05265</v>
      </c>
      <c r="K41" s="186"/>
      <c r="L41" s="164"/>
      <c r="M41" s="195"/>
      <c r="N41" s="195"/>
      <c r="O41" s="186"/>
      <c r="P41" s="186"/>
      <c r="Q41" s="188">
        <v>20.5</v>
      </c>
      <c r="R41" s="187">
        <f t="shared" si="9"/>
        <v>2.1</v>
      </c>
      <c r="S41" s="181">
        <f t="shared" si="10"/>
        <v>3</v>
      </c>
      <c r="T41" s="181">
        <f t="shared" si="11"/>
        <v>6.3</v>
      </c>
      <c r="U41" s="186">
        <f t="shared" si="12"/>
        <v>90.01755</v>
      </c>
      <c r="V41" s="187">
        <f t="shared" ref="V41:W41" si="38">C41/100</f>
        <v>1.02</v>
      </c>
      <c r="W41" s="187">
        <f t="shared" si="38"/>
        <v>2.05</v>
      </c>
      <c r="X41" s="187">
        <f t="shared" si="14"/>
        <v>6.3</v>
      </c>
      <c r="Y41" s="189">
        <f t="shared" si="15"/>
        <v>13.1733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23.0</v>
      </c>
      <c r="B42" s="191" t="s">
        <v>57</v>
      </c>
      <c r="C42" s="191">
        <v>101.0</v>
      </c>
      <c r="D42" s="191">
        <v>205.0</v>
      </c>
      <c r="E42" s="191">
        <v>210.0</v>
      </c>
      <c r="F42" s="191">
        <f t="shared" si="5"/>
        <v>0</v>
      </c>
      <c r="G42" s="191">
        <f t="shared" si="6"/>
        <v>89.135025</v>
      </c>
      <c r="H42" s="219">
        <f t="shared" si="7"/>
        <v>89.135025</v>
      </c>
      <c r="I42" s="218">
        <v>4.0</v>
      </c>
      <c r="J42" s="193">
        <f t="shared" si="8"/>
        <v>356.5401</v>
      </c>
      <c r="K42" s="186"/>
      <c r="L42" s="164"/>
      <c r="M42" s="195"/>
      <c r="N42" s="195"/>
      <c r="O42" s="186"/>
      <c r="P42" s="186"/>
      <c r="Q42" s="188">
        <v>20.5</v>
      </c>
      <c r="R42" s="187">
        <f t="shared" si="9"/>
        <v>2.1</v>
      </c>
      <c r="S42" s="181">
        <f t="shared" si="10"/>
        <v>4</v>
      </c>
      <c r="T42" s="181">
        <f t="shared" si="11"/>
        <v>8.4</v>
      </c>
      <c r="U42" s="186">
        <f t="shared" si="12"/>
        <v>89.135025</v>
      </c>
      <c r="V42" s="187">
        <f t="shared" ref="V42:W42" si="39">C42/100</f>
        <v>1.01</v>
      </c>
      <c r="W42" s="187">
        <f t="shared" si="39"/>
        <v>2.05</v>
      </c>
      <c r="X42" s="187">
        <f t="shared" si="14"/>
        <v>8.4</v>
      </c>
      <c r="Y42" s="189">
        <f t="shared" si="15"/>
        <v>17.3922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24.0</v>
      </c>
      <c r="B43" s="191" t="s">
        <v>57</v>
      </c>
      <c r="C43" s="191">
        <v>98.0</v>
      </c>
      <c r="D43" s="191">
        <v>205.0</v>
      </c>
      <c r="E43" s="191">
        <v>210.0</v>
      </c>
      <c r="F43" s="191">
        <f t="shared" si="5"/>
        <v>0</v>
      </c>
      <c r="G43" s="191">
        <f t="shared" si="6"/>
        <v>86.48745</v>
      </c>
      <c r="H43" s="219">
        <f t="shared" si="7"/>
        <v>86.48745</v>
      </c>
      <c r="I43" s="218">
        <v>5.0</v>
      </c>
      <c r="J43" s="193">
        <f t="shared" si="8"/>
        <v>432.43725</v>
      </c>
      <c r="K43" s="186"/>
      <c r="L43" s="164"/>
      <c r="M43" s="195"/>
      <c r="N43" s="195"/>
      <c r="O43" s="186"/>
      <c r="P43" s="186"/>
      <c r="Q43" s="188">
        <v>20.5</v>
      </c>
      <c r="R43" s="187">
        <f t="shared" si="9"/>
        <v>2.1</v>
      </c>
      <c r="S43" s="181">
        <f t="shared" si="10"/>
        <v>5</v>
      </c>
      <c r="T43" s="181">
        <f t="shared" si="11"/>
        <v>10.5</v>
      </c>
      <c r="U43" s="186">
        <f t="shared" si="12"/>
        <v>86.48745</v>
      </c>
      <c r="V43" s="187">
        <f t="shared" ref="V43:W43" si="40">C43/100</f>
        <v>0.98</v>
      </c>
      <c r="W43" s="187">
        <f t="shared" si="40"/>
        <v>2.05</v>
      </c>
      <c r="X43" s="187">
        <f t="shared" si="14"/>
        <v>10.5</v>
      </c>
      <c r="Y43" s="189">
        <f t="shared" si="15"/>
        <v>21.0945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</row>
    <row r="44" ht="27.0" customHeight="1">
      <c r="A44" s="181">
        <v>25.0</v>
      </c>
      <c r="B44" s="191" t="s">
        <v>57</v>
      </c>
      <c r="C44" s="191">
        <v>93.0</v>
      </c>
      <c r="D44" s="191">
        <v>205.0</v>
      </c>
      <c r="E44" s="191">
        <v>137.0</v>
      </c>
      <c r="F44" s="191">
        <f t="shared" si="5"/>
        <v>0</v>
      </c>
      <c r="G44" s="191">
        <f t="shared" si="6"/>
        <v>53.5440525</v>
      </c>
      <c r="H44" s="219">
        <f t="shared" si="7"/>
        <v>53.5440525</v>
      </c>
      <c r="I44" s="218">
        <v>1.0</v>
      </c>
      <c r="J44" s="193">
        <f t="shared" si="8"/>
        <v>53.5440525</v>
      </c>
      <c r="K44" s="186"/>
      <c r="L44" s="164"/>
      <c r="M44" s="195"/>
      <c r="N44" s="195"/>
      <c r="O44" s="186"/>
      <c r="P44" s="186"/>
      <c r="Q44" s="196">
        <v>20.5</v>
      </c>
      <c r="R44" s="187">
        <f t="shared" si="9"/>
        <v>1.37</v>
      </c>
      <c r="S44" s="181">
        <f t="shared" si="10"/>
        <v>1</v>
      </c>
      <c r="T44" s="181">
        <f t="shared" si="11"/>
        <v>1.37</v>
      </c>
      <c r="U44" s="186">
        <f t="shared" si="12"/>
        <v>53.5440525</v>
      </c>
      <c r="V44" s="187">
        <f t="shared" ref="V44:W44" si="41">C44/100</f>
        <v>0.93</v>
      </c>
      <c r="W44" s="187">
        <f t="shared" si="41"/>
        <v>2.05</v>
      </c>
      <c r="X44" s="187">
        <f t="shared" si="14"/>
        <v>1.37</v>
      </c>
      <c r="Y44" s="189">
        <f t="shared" si="15"/>
        <v>2.611905</v>
      </c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</row>
    <row r="45" ht="27.0" customHeight="1">
      <c r="A45" s="181">
        <v>26.0</v>
      </c>
      <c r="B45" s="182" t="s">
        <v>64</v>
      </c>
      <c r="C45" s="183">
        <v>95.0</v>
      </c>
      <c r="D45" s="183">
        <v>203.0</v>
      </c>
      <c r="E45" s="183">
        <v>232.0</v>
      </c>
      <c r="F45" s="183">
        <f t="shared" si="5"/>
        <v>0.8</v>
      </c>
      <c r="G45" s="183">
        <f t="shared" si="6"/>
        <v>131.98654</v>
      </c>
      <c r="H45" s="184">
        <f t="shared" si="7"/>
        <v>105.589232</v>
      </c>
      <c r="I45" s="183">
        <v>1.0</v>
      </c>
      <c r="J45" s="193">
        <f t="shared" si="8"/>
        <v>105.589232</v>
      </c>
      <c r="K45" s="186"/>
      <c r="L45" s="164"/>
      <c r="M45" s="195"/>
      <c r="N45" s="195"/>
      <c r="O45" s="186"/>
      <c r="P45" s="186"/>
      <c r="Q45" s="196">
        <v>29.5</v>
      </c>
      <c r="R45" s="187">
        <f t="shared" si="9"/>
        <v>2.32</v>
      </c>
      <c r="S45" s="181">
        <f t="shared" si="10"/>
        <v>1</v>
      </c>
      <c r="T45" s="181">
        <f t="shared" si="11"/>
        <v>2.32</v>
      </c>
      <c r="U45" s="186">
        <f t="shared" si="12"/>
        <v>131.98654</v>
      </c>
      <c r="V45" s="187">
        <f t="shared" ref="V45:W45" si="42">C45/100</f>
        <v>0.95</v>
      </c>
      <c r="W45" s="187">
        <f t="shared" si="42"/>
        <v>2.03</v>
      </c>
      <c r="X45" s="187">
        <f t="shared" si="14"/>
        <v>2.32</v>
      </c>
      <c r="Y45" s="189">
        <f t="shared" si="15"/>
        <v>4.47412</v>
      </c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</row>
    <row r="46" ht="27.0" customHeight="1">
      <c r="A46" s="181">
        <v>27.0</v>
      </c>
      <c r="B46" s="191" t="s">
        <v>55</v>
      </c>
      <c r="C46" s="191">
        <v>97.0</v>
      </c>
      <c r="D46" s="191">
        <v>203.0</v>
      </c>
      <c r="E46" s="191">
        <v>201.0</v>
      </c>
      <c r="F46" s="191">
        <f t="shared" si="5"/>
        <v>0</v>
      </c>
      <c r="G46" s="191">
        <f t="shared" si="6"/>
        <v>116.7577845</v>
      </c>
      <c r="H46" s="219">
        <f t="shared" si="7"/>
        <v>116.7577845</v>
      </c>
      <c r="I46" s="218">
        <v>10.0</v>
      </c>
      <c r="J46" s="193">
        <f t="shared" si="8"/>
        <v>1167.577845</v>
      </c>
      <c r="K46" s="186"/>
      <c r="L46" s="164"/>
      <c r="M46" s="195"/>
      <c r="N46" s="195"/>
      <c r="O46" s="186"/>
      <c r="P46" s="186"/>
      <c r="Q46" s="196">
        <v>29.5</v>
      </c>
      <c r="R46" s="187">
        <f t="shared" si="9"/>
        <v>2.01</v>
      </c>
      <c r="S46" s="181">
        <f t="shared" si="10"/>
        <v>10</v>
      </c>
      <c r="T46" s="181">
        <f t="shared" si="11"/>
        <v>20.1</v>
      </c>
      <c r="U46" s="186">
        <f t="shared" si="12"/>
        <v>116.7577845</v>
      </c>
      <c r="V46" s="187">
        <f t="shared" ref="V46:W46" si="43">C46/100</f>
        <v>0.97</v>
      </c>
      <c r="W46" s="187">
        <f t="shared" si="43"/>
        <v>2.03</v>
      </c>
      <c r="X46" s="187">
        <f t="shared" si="14"/>
        <v>20.1</v>
      </c>
      <c r="Y46" s="189">
        <f t="shared" si="15"/>
        <v>39.57891</v>
      </c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</row>
    <row r="47" ht="27.0" customHeight="1">
      <c r="A47" s="181">
        <v>28.0</v>
      </c>
      <c r="B47" s="191" t="s">
        <v>55</v>
      </c>
      <c r="C47" s="191">
        <v>97.0</v>
      </c>
      <c r="D47" s="191">
        <v>203.0</v>
      </c>
      <c r="E47" s="191">
        <v>201.0</v>
      </c>
      <c r="F47" s="191">
        <f t="shared" si="5"/>
        <v>0</v>
      </c>
      <c r="G47" s="191">
        <f t="shared" si="6"/>
        <v>116.7577845</v>
      </c>
      <c r="H47" s="219">
        <f t="shared" si="7"/>
        <v>116.7577845</v>
      </c>
      <c r="I47" s="218">
        <v>4.0</v>
      </c>
      <c r="J47" s="194">
        <f t="shared" si="8"/>
        <v>467.031138</v>
      </c>
      <c r="K47" s="139"/>
      <c r="L47" s="197"/>
      <c r="M47" s="198"/>
      <c r="N47" s="198"/>
      <c r="O47" s="139"/>
      <c r="P47" s="139"/>
      <c r="Q47" s="141">
        <v>29.5</v>
      </c>
      <c r="R47" s="187">
        <f t="shared" si="9"/>
        <v>2.01</v>
      </c>
      <c r="S47" s="181">
        <f t="shared" si="10"/>
        <v>4</v>
      </c>
      <c r="T47" s="181">
        <f t="shared" si="11"/>
        <v>8.04</v>
      </c>
      <c r="U47" s="186">
        <f t="shared" si="12"/>
        <v>116.7577845</v>
      </c>
      <c r="V47" s="187">
        <f t="shared" ref="V47:W47" si="44">C47/100</f>
        <v>0.97</v>
      </c>
      <c r="W47" s="187">
        <f t="shared" si="44"/>
        <v>2.03</v>
      </c>
      <c r="X47" s="187">
        <f t="shared" si="14"/>
        <v>8.04</v>
      </c>
      <c r="Y47" s="189">
        <f t="shared" si="15"/>
        <v>15.831564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</row>
    <row r="48" ht="27.0" customHeight="1">
      <c r="A48" s="181">
        <v>29.0</v>
      </c>
      <c r="B48" s="191" t="s">
        <v>55</v>
      </c>
      <c r="C48" s="191">
        <v>96.0</v>
      </c>
      <c r="D48" s="191">
        <v>203.0</v>
      </c>
      <c r="E48" s="191">
        <v>201.0</v>
      </c>
      <c r="F48" s="191">
        <f t="shared" si="5"/>
        <v>0</v>
      </c>
      <c r="G48" s="191">
        <f t="shared" si="6"/>
        <v>115.554096</v>
      </c>
      <c r="H48" s="219">
        <f t="shared" si="7"/>
        <v>115.554096</v>
      </c>
      <c r="I48" s="218">
        <v>4.0</v>
      </c>
      <c r="J48" s="194">
        <f t="shared" si="8"/>
        <v>462.216384</v>
      </c>
      <c r="K48" s="139"/>
      <c r="L48" s="197"/>
      <c r="M48" s="198"/>
      <c r="N48" s="198"/>
      <c r="O48" s="139"/>
      <c r="P48" s="139"/>
      <c r="Q48" s="141">
        <v>29.5</v>
      </c>
      <c r="R48" s="187">
        <f t="shared" si="9"/>
        <v>2.01</v>
      </c>
      <c r="S48" s="181">
        <f t="shared" si="10"/>
        <v>4</v>
      </c>
      <c r="T48" s="181">
        <f t="shared" si="11"/>
        <v>8.04</v>
      </c>
      <c r="U48" s="186">
        <f t="shared" si="12"/>
        <v>115.554096</v>
      </c>
      <c r="V48" s="187">
        <f t="shared" ref="V48:W48" si="45">C48/100</f>
        <v>0.96</v>
      </c>
      <c r="W48" s="187">
        <f t="shared" si="45"/>
        <v>2.03</v>
      </c>
      <c r="X48" s="187">
        <f t="shared" si="14"/>
        <v>8.04</v>
      </c>
      <c r="Y48" s="189">
        <f t="shared" si="15"/>
        <v>15.668352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</row>
    <row r="49" ht="27.0" customHeight="1">
      <c r="A49" s="181">
        <v>30.0</v>
      </c>
      <c r="B49" s="191" t="s">
        <v>55</v>
      </c>
      <c r="C49" s="191">
        <v>94.0</v>
      </c>
      <c r="D49" s="191">
        <v>203.0</v>
      </c>
      <c r="E49" s="191">
        <v>206.0</v>
      </c>
      <c r="F49" s="191">
        <f t="shared" si="5"/>
        <v>0</v>
      </c>
      <c r="G49" s="191">
        <f t="shared" si="6"/>
        <v>115.961314</v>
      </c>
      <c r="H49" s="219">
        <f t="shared" si="7"/>
        <v>115.961314</v>
      </c>
      <c r="I49" s="218">
        <v>1.0</v>
      </c>
      <c r="J49" s="194">
        <f t="shared" si="8"/>
        <v>115.961314</v>
      </c>
      <c r="K49" s="139"/>
      <c r="L49" s="197"/>
      <c r="M49" s="198"/>
      <c r="N49" s="198"/>
      <c r="O49" s="139"/>
      <c r="P49" s="139"/>
      <c r="Q49" s="141">
        <v>29.5</v>
      </c>
      <c r="R49" s="187">
        <f t="shared" si="9"/>
        <v>2.06</v>
      </c>
      <c r="S49" s="181">
        <f t="shared" si="10"/>
        <v>1</v>
      </c>
      <c r="T49" s="181">
        <f t="shared" si="11"/>
        <v>2.06</v>
      </c>
      <c r="U49" s="186">
        <f t="shared" si="12"/>
        <v>115.961314</v>
      </c>
      <c r="V49" s="187">
        <f t="shared" ref="V49:W49" si="46">C49/100</f>
        <v>0.94</v>
      </c>
      <c r="W49" s="187">
        <f t="shared" si="46"/>
        <v>2.03</v>
      </c>
      <c r="X49" s="187">
        <f t="shared" si="14"/>
        <v>2.06</v>
      </c>
      <c r="Y49" s="189">
        <f t="shared" si="15"/>
        <v>3.930892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</row>
    <row r="50" ht="27.0" customHeight="1">
      <c r="A50" s="181">
        <v>31.0</v>
      </c>
      <c r="B50" s="191" t="s">
        <v>55</v>
      </c>
      <c r="C50" s="191">
        <v>83.0</v>
      </c>
      <c r="D50" s="191">
        <v>203.0</v>
      </c>
      <c r="E50" s="191">
        <v>134.0</v>
      </c>
      <c r="F50" s="191">
        <f t="shared" si="5"/>
        <v>0</v>
      </c>
      <c r="G50" s="191">
        <f t="shared" si="6"/>
        <v>66.604097</v>
      </c>
      <c r="H50" s="219">
        <f t="shared" si="7"/>
        <v>66.604097</v>
      </c>
      <c r="I50" s="218">
        <v>1.0</v>
      </c>
      <c r="J50" s="194">
        <f t="shared" si="8"/>
        <v>66.604097</v>
      </c>
      <c r="K50" s="139"/>
      <c r="L50" s="197"/>
      <c r="M50" s="198"/>
      <c r="N50" s="198"/>
      <c r="O50" s="139"/>
      <c r="P50" s="139"/>
      <c r="Q50" s="141">
        <v>29.5</v>
      </c>
      <c r="R50" s="187">
        <f t="shared" si="9"/>
        <v>1.34</v>
      </c>
      <c r="S50" s="181">
        <f t="shared" si="10"/>
        <v>1</v>
      </c>
      <c r="T50" s="181">
        <f t="shared" si="11"/>
        <v>1.34</v>
      </c>
      <c r="U50" s="186">
        <f t="shared" si="12"/>
        <v>66.604097</v>
      </c>
      <c r="V50" s="187">
        <f t="shared" ref="V50:W50" si="47">C50/100</f>
        <v>0.83</v>
      </c>
      <c r="W50" s="187">
        <f t="shared" si="47"/>
        <v>2.03</v>
      </c>
      <c r="X50" s="187">
        <f t="shared" si="14"/>
        <v>1.34</v>
      </c>
      <c r="Y50" s="189">
        <f t="shared" si="15"/>
        <v>2.257766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ht="27.0" customHeight="1">
      <c r="A51" s="181">
        <v>32.0</v>
      </c>
      <c r="B51" s="191" t="s">
        <v>55</v>
      </c>
      <c r="C51" s="191">
        <v>97.0</v>
      </c>
      <c r="D51" s="191">
        <v>203.0</v>
      </c>
      <c r="E51" s="191">
        <v>232.0</v>
      </c>
      <c r="F51" s="191">
        <f t="shared" si="5"/>
        <v>0</v>
      </c>
      <c r="G51" s="191">
        <f t="shared" si="6"/>
        <v>134.765204</v>
      </c>
      <c r="H51" s="219">
        <f t="shared" si="7"/>
        <v>134.765204</v>
      </c>
      <c r="I51" s="218">
        <v>14.0</v>
      </c>
      <c r="J51" s="194">
        <f t="shared" si="8"/>
        <v>1886.712856</v>
      </c>
      <c r="K51" s="139"/>
      <c r="L51" s="197"/>
      <c r="M51" s="198"/>
      <c r="N51" s="198"/>
      <c r="O51" s="139"/>
      <c r="P51" s="139"/>
      <c r="Q51" s="141">
        <v>29.5</v>
      </c>
      <c r="R51" s="187">
        <f t="shared" si="9"/>
        <v>2.32</v>
      </c>
      <c r="S51" s="181">
        <f t="shared" si="10"/>
        <v>14</v>
      </c>
      <c r="T51" s="181">
        <f t="shared" si="11"/>
        <v>32.48</v>
      </c>
      <c r="U51" s="186">
        <f t="shared" si="12"/>
        <v>134.765204</v>
      </c>
      <c r="V51" s="187">
        <f t="shared" ref="V51:W51" si="48">C51/100</f>
        <v>0.97</v>
      </c>
      <c r="W51" s="187">
        <f t="shared" si="48"/>
        <v>2.03</v>
      </c>
      <c r="X51" s="187">
        <f t="shared" si="14"/>
        <v>32.48</v>
      </c>
      <c r="Y51" s="189">
        <f t="shared" si="15"/>
        <v>63.956368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</row>
    <row r="52" ht="27.0" customHeight="1">
      <c r="A52" s="181">
        <v>33.0</v>
      </c>
      <c r="B52" s="191" t="s">
        <v>55</v>
      </c>
      <c r="C52" s="191">
        <v>98.0</v>
      </c>
      <c r="D52" s="191">
        <v>203.0</v>
      </c>
      <c r="E52" s="191">
        <v>232.0</v>
      </c>
      <c r="F52" s="191">
        <f t="shared" si="5"/>
        <v>0</v>
      </c>
      <c r="G52" s="191">
        <f t="shared" si="6"/>
        <v>136.154536</v>
      </c>
      <c r="H52" s="219">
        <f t="shared" si="7"/>
        <v>136.154536</v>
      </c>
      <c r="I52" s="218">
        <v>9.0</v>
      </c>
      <c r="J52" s="194">
        <f t="shared" si="8"/>
        <v>1225.390824</v>
      </c>
      <c r="K52" s="139"/>
      <c r="L52" s="197"/>
      <c r="M52" s="198"/>
      <c r="N52" s="198"/>
      <c r="O52" s="139"/>
      <c r="P52" s="139"/>
      <c r="Q52" s="141">
        <v>29.5</v>
      </c>
      <c r="R52" s="187">
        <f t="shared" si="9"/>
        <v>2.32</v>
      </c>
      <c r="S52" s="181">
        <f t="shared" si="10"/>
        <v>9</v>
      </c>
      <c r="T52" s="181">
        <f t="shared" si="11"/>
        <v>20.88</v>
      </c>
      <c r="U52" s="186">
        <f t="shared" si="12"/>
        <v>136.154536</v>
      </c>
      <c r="V52" s="187">
        <f t="shared" ref="V52:W52" si="49">C52/100</f>
        <v>0.98</v>
      </c>
      <c r="W52" s="187">
        <f t="shared" si="49"/>
        <v>2.03</v>
      </c>
      <c r="X52" s="187">
        <f t="shared" si="14"/>
        <v>20.88</v>
      </c>
      <c r="Y52" s="189">
        <f t="shared" si="15"/>
        <v>41.538672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7.0" customHeight="1">
      <c r="A53" s="181">
        <v>34.0</v>
      </c>
      <c r="B53" s="191" t="s">
        <v>55</v>
      </c>
      <c r="C53" s="191">
        <v>96.0</v>
      </c>
      <c r="D53" s="191">
        <v>203.0</v>
      </c>
      <c r="E53" s="191">
        <v>201.0</v>
      </c>
      <c r="F53" s="191">
        <f t="shared" si="5"/>
        <v>0</v>
      </c>
      <c r="G53" s="191">
        <f t="shared" si="6"/>
        <v>115.554096</v>
      </c>
      <c r="H53" s="219">
        <f t="shared" si="7"/>
        <v>115.554096</v>
      </c>
      <c r="I53" s="218">
        <v>3.0</v>
      </c>
      <c r="J53" s="194">
        <f t="shared" si="8"/>
        <v>346.662288</v>
      </c>
      <c r="K53" s="139"/>
      <c r="L53" s="197"/>
      <c r="M53" s="198"/>
      <c r="N53" s="198"/>
      <c r="O53" s="139"/>
      <c r="P53" s="139"/>
      <c r="Q53" s="141">
        <v>29.5</v>
      </c>
      <c r="R53" s="187">
        <f t="shared" si="9"/>
        <v>2.01</v>
      </c>
      <c r="S53" s="181">
        <f t="shared" si="10"/>
        <v>3</v>
      </c>
      <c r="T53" s="181">
        <f t="shared" si="11"/>
        <v>6.03</v>
      </c>
      <c r="U53" s="186">
        <f t="shared" si="12"/>
        <v>115.554096</v>
      </c>
      <c r="V53" s="187">
        <f t="shared" ref="V53:W53" si="50">C53/100</f>
        <v>0.96</v>
      </c>
      <c r="W53" s="187">
        <f t="shared" si="50"/>
        <v>2.03</v>
      </c>
      <c r="X53" s="187">
        <f t="shared" si="14"/>
        <v>6.03</v>
      </c>
      <c r="Y53" s="189">
        <f t="shared" si="15"/>
        <v>11.751264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7.0" customHeight="1">
      <c r="A54" s="181">
        <v>35.0</v>
      </c>
      <c r="B54" s="191" t="s">
        <v>55</v>
      </c>
      <c r="C54" s="191">
        <v>96.0</v>
      </c>
      <c r="D54" s="191">
        <v>203.0</v>
      </c>
      <c r="E54" s="191">
        <v>232.0</v>
      </c>
      <c r="F54" s="191">
        <f t="shared" si="5"/>
        <v>0</v>
      </c>
      <c r="G54" s="191">
        <f t="shared" si="6"/>
        <v>133.375872</v>
      </c>
      <c r="H54" s="219">
        <f t="shared" si="7"/>
        <v>133.375872</v>
      </c>
      <c r="I54" s="218">
        <v>5.0</v>
      </c>
      <c r="J54" s="194">
        <f t="shared" si="8"/>
        <v>666.87936</v>
      </c>
      <c r="K54" s="139"/>
      <c r="L54" s="197"/>
      <c r="M54" s="198"/>
      <c r="N54" s="198"/>
      <c r="O54" s="139"/>
      <c r="P54" s="139"/>
      <c r="Q54" s="141">
        <v>29.5</v>
      </c>
      <c r="R54" s="187">
        <f t="shared" si="9"/>
        <v>2.32</v>
      </c>
      <c r="S54" s="181">
        <f t="shared" si="10"/>
        <v>5</v>
      </c>
      <c r="T54" s="181">
        <f t="shared" si="11"/>
        <v>11.6</v>
      </c>
      <c r="U54" s="186">
        <f t="shared" si="12"/>
        <v>133.375872</v>
      </c>
      <c r="V54" s="187">
        <f t="shared" ref="V54:W54" si="51">C54/100</f>
        <v>0.96</v>
      </c>
      <c r="W54" s="187">
        <f t="shared" si="51"/>
        <v>2.03</v>
      </c>
      <c r="X54" s="187">
        <f t="shared" si="14"/>
        <v>11.6</v>
      </c>
      <c r="Y54" s="189">
        <f t="shared" si="15"/>
        <v>22.60608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27.0" customHeight="1">
      <c r="A55" s="181">
        <v>36.0</v>
      </c>
      <c r="B55" s="191" t="s">
        <v>55</v>
      </c>
      <c r="C55" s="191">
        <v>98.0</v>
      </c>
      <c r="D55" s="191">
        <v>203.0</v>
      </c>
      <c r="E55" s="191">
        <v>231.0</v>
      </c>
      <c r="F55" s="191">
        <f t="shared" si="5"/>
        <v>0</v>
      </c>
      <c r="G55" s="191">
        <f t="shared" si="6"/>
        <v>135.567663</v>
      </c>
      <c r="H55" s="219">
        <f t="shared" si="7"/>
        <v>135.567663</v>
      </c>
      <c r="I55" s="218">
        <v>1.0</v>
      </c>
      <c r="J55" s="194">
        <f t="shared" si="8"/>
        <v>135.567663</v>
      </c>
      <c r="K55" s="139"/>
      <c r="L55" s="197"/>
      <c r="M55" s="198"/>
      <c r="N55" s="198"/>
      <c r="O55" s="139"/>
      <c r="P55" s="139"/>
      <c r="Q55" s="141">
        <v>29.5</v>
      </c>
      <c r="R55" s="187">
        <f t="shared" si="9"/>
        <v>2.31</v>
      </c>
      <c r="S55" s="181">
        <f t="shared" si="10"/>
        <v>1</v>
      </c>
      <c r="T55" s="181">
        <f t="shared" si="11"/>
        <v>2.31</v>
      </c>
      <c r="U55" s="186">
        <f t="shared" si="12"/>
        <v>135.567663</v>
      </c>
      <c r="V55" s="187">
        <f t="shared" ref="V55:W55" si="52">C55/100</f>
        <v>0.98</v>
      </c>
      <c r="W55" s="187">
        <f t="shared" si="52"/>
        <v>2.03</v>
      </c>
      <c r="X55" s="187">
        <f t="shared" si="14"/>
        <v>2.31</v>
      </c>
      <c r="Y55" s="189">
        <f t="shared" si="15"/>
        <v>4.595514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81">
        <v>37.0</v>
      </c>
      <c r="B56" s="191" t="s">
        <v>55</v>
      </c>
      <c r="C56" s="191">
        <v>97.0</v>
      </c>
      <c r="D56" s="191">
        <v>203.0</v>
      </c>
      <c r="E56" s="191">
        <v>231.0</v>
      </c>
      <c r="F56" s="191">
        <f t="shared" si="5"/>
        <v>0</v>
      </c>
      <c r="G56" s="191">
        <f t="shared" si="6"/>
        <v>134.1843195</v>
      </c>
      <c r="H56" s="219">
        <f t="shared" si="7"/>
        <v>134.1843195</v>
      </c>
      <c r="I56" s="218">
        <v>1.0</v>
      </c>
      <c r="J56" s="194">
        <f t="shared" si="8"/>
        <v>134.1843195</v>
      </c>
      <c r="K56" s="139"/>
      <c r="L56" s="197"/>
      <c r="M56" s="198"/>
      <c r="N56" s="198"/>
      <c r="O56" s="139"/>
      <c r="P56" s="139"/>
      <c r="Q56" s="141">
        <v>29.5</v>
      </c>
      <c r="R56" s="187">
        <f t="shared" si="9"/>
        <v>2.31</v>
      </c>
      <c r="S56" s="181">
        <f t="shared" si="10"/>
        <v>1</v>
      </c>
      <c r="T56" s="181">
        <f t="shared" si="11"/>
        <v>2.31</v>
      </c>
      <c r="U56" s="186">
        <f t="shared" si="12"/>
        <v>134.1843195</v>
      </c>
      <c r="V56" s="187">
        <f t="shared" ref="V56:W56" si="53">C56/100</f>
        <v>0.97</v>
      </c>
      <c r="W56" s="187">
        <f t="shared" si="53"/>
        <v>2.03</v>
      </c>
      <c r="X56" s="187">
        <f t="shared" si="14"/>
        <v>2.31</v>
      </c>
      <c r="Y56" s="189">
        <f t="shared" si="15"/>
        <v>4.548621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38.0</v>
      </c>
      <c r="B57" s="182" t="s">
        <v>92</v>
      </c>
      <c r="C57" s="191">
        <v>79.0</v>
      </c>
      <c r="D57" s="191">
        <v>203.0</v>
      </c>
      <c r="E57" s="191">
        <v>192.0</v>
      </c>
      <c r="F57" s="191">
        <f t="shared" si="5"/>
        <v>0.8</v>
      </c>
      <c r="G57" s="191">
        <f t="shared" si="6"/>
        <v>96.991776</v>
      </c>
      <c r="H57" s="219">
        <f t="shared" si="7"/>
        <v>77.5934208</v>
      </c>
      <c r="I57" s="218">
        <v>1.0</v>
      </c>
      <c r="J57" s="194">
        <f t="shared" si="8"/>
        <v>77.5934208</v>
      </c>
      <c r="K57" s="139"/>
      <c r="L57" s="197"/>
      <c r="M57" s="198"/>
      <c r="N57" s="198"/>
      <c r="O57" s="139"/>
      <c r="P57" s="139"/>
      <c r="Q57" s="141">
        <v>31.5</v>
      </c>
      <c r="R57" s="187">
        <f t="shared" si="9"/>
        <v>1.92</v>
      </c>
      <c r="S57" s="181">
        <f t="shared" si="10"/>
        <v>1</v>
      </c>
      <c r="T57" s="181">
        <f t="shared" si="11"/>
        <v>1.92</v>
      </c>
      <c r="U57" s="186">
        <f t="shared" si="12"/>
        <v>96.991776</v>
      </c>
      <c r="V57" s="187">
        <f t="shared" ref="V57:W57" si="54">C57/100</f>
        <v>0.79</v>
      </c>
      <c r="W57" s="187">
        <f t="shared" si="54"/>
        <v>2.03</v>
      </c>
      <c r="X57" s="187">
        <f t="shared" si="14"/>
        <v>1.92</v>
      </c>
      <c r="Y57" s="189">
        <f t="shared" si="15"/>
        <v>3.079104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39.0</v>
      </c>
      <c r="B58" s="191" t="s">
        <v>84</v>
      </c>
      <c r="C58" s="191">
        <v>68.0</v>
      </c>
      <c r="D58" s="191">
        <v>203.0</v>
      </c>
      <c r="E58" s="191">
        <v>157.0</v>
      </c>
      <c r="F58" s="191">
        <f t="shared" si="5"/>
        <v>0</v>
      </c>
      <c r="G58" s="191">
        <f t="shared" si="6"/>
        <v>68.267682</v>
      </c>
      <c r="H58" s="219">
        <f t="shared" si="7"/>
        <v>68.267682</v>
      </c>
      <c r="I58" s="218">
        <v>1.0</v>
      </c>
      <c r="J58" s="194">
        <f t="shared" si="8"/>
        <v>68.267682</v>
      </c>
      <c r="K58" s="139"/>
      <c r="L58" s="197"/>
      <c r="M58" s="198"/>
      <c r="N58" s="198"/>
      <c r="O58" s="139"/>
      <c r="P58" s="139"/>
      <c r="Q58" s="141">
        <v>31.5</v>
      </c>
      <c r="R58" s="187">
        <f t="shared" si="9"/>
        <v>1.57</v>
      </c>
      <c r="S58" s="181">
        <f t="shared" si="10"/>
        <v>1</v>
      </c>
      <c r="T58" s="181">
        <f t="shared" si="11"/>
        <v>1.57</v>
      </c>
      <c r="U58" s="186">
        <f t="shared" si="12"/>
        <v>68.267682</v>
      </c>
      <c r="V58" s="187">
        <f t="shared" ref="V58:W58" si="55">C58/100</f>
        <v>0.68</v>
      </c>
      <c r="W58" s="187">
        <f t="shared" si="55"/>
        <v>2.03</v>
      </c>
      <c r="X58" s="187">
        <f t="shared" si="14"/>
        <v>1.57</v>
      </c>
      <c r="Y58" s="189">
        <f t="shared" si="15"/>
        <v>2.167228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40.0</v>
      </c>
      <c r="B59" s="182" t="s">
        <v>92</v>
      </c>
      <c r="C59" s="191">
        <v>59.0</v>
      </c>
      <c r="D59" s="191">
        <v>203.0</v>
      </c>
      <c r="E59" s="191">
        <v>166.0</v>
      </c>
      <c r="F59" s="191">
        <f t="shared" si="5"/>
        <v>0.8</v>
      </c>
      <c r="G59" s="191">
        <f t="shared" si="6"/>
        <v>62.627733</v>
      </c>
      <c r="H59" s="219">
        <f t="shared" si="7"/>
        <v>50.1021864</v>
      </c>
      <c r="I59" s="218">
        <v>1.0</v>
      </c>
      <c r="J59" s="194">
        <f t="shared" si="8"/>
        <v>50.1021864</v>
      </c>
      <c r="K59" s="139"/>
      <c r="L59" s="197"/>
      <c r="M59" s="198"/>
      <c r="N59" s="198"/>
      <c r="O59" s="139"/>
      <c r="P59" s="139"/>
      <c r="Q59" s="141">
        <v>31.5</v>
      </c>
      <c r="R59" s="187">
        <f t="shared" si="9"/>
        <v>1.66</v>
      </c>
      <c r="S59" s="181">
        <f t="shared" si="10"/>
        <v>1</v>
      </c>
      <c r="T59" s="181">
        <f t="shared" si="11"/>
        <v>1.66</v>
      </c>
      <c r="U59" s="186">
        <f t="shared" si="12"/>
        <v>62.627733</v>
      </c>
      <c r="V59" s="187">
        <f t="shared" ref="V59:W59" si="56">C59/100</f>
        <v>0.59</v>
      </c>
      <c r="W59" s="187">
        <f t="shared" si="56"/>
        <v>2.03</v>
      </c>
      <c r="X59" s="187">
        <f t="shared" si="14"/>
        <v>1.66</v>
      </c>
      <c r="Y59" s="189">
        <f t="shared" si="15"/>
        <v>1.988182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41.0</v>
      </c>
      <c r="B60" s="191" t="s">
        <v>84</v>
      </c>
      <c r="C60" s="191">
        <v>65.0</v>
      </c>
      <c r="D60" s="191">
        <v>203.0</v>
      </c>
      <c r="E60" s="191">
        <v>117.0</v>
      </c>
      <c r="F60" s="191">
        <f t="shared" si="5"/>
        <v>0</v>
      </c>
      <c r="G60" s="191">
        <f t="shared" si="6"/>
        <v>48.6301725</v>
      </c>
      <c r="H60" s="219">
        <f t="shared" si="7"/>
        <v>48.6301725</v>
      </c>
      <c r="I60" s="218">
        <v>1.0</v>
      </c>
      <c r="J60" s="194">
        <f t="shared" si="8"/>
        <v>48.6301725</v>
      </c>
      <c r="K60" s="139"/>
      <c r="L60" s="197"/>
      <c r="M60" s="198"/>
      <c r="N60" s="198"/>
      <c r="O60" s="139"/>
      <c r="P60" s="139"/>
      <c r="Q60" s="141">
        <v>31.5</v>
      </c>
      <c r="R60" s="187">
        <f t="shared" si="9"/>
        <v>1.17</v>
      </c>
      <c r="S60" s="181">
        <f t="shared" si="10"/>
        <v>1</v>
      </c>
      <c r="T60" s="181">
        <f t="shared" si="11"/>
        <v>1.17</v>
      </c>
      <c r="U60" s="186">
        <f t="shared" si="12"/>
        <v>48.6301725</v>
      </c>
      <c r="V60" s="187">
        <f t="shared" ref="V60:W60" si="57">C60/100</f>
        <v>0.65</v>
      </c>
      <c r="W60" s="187">
        <f t="shared" si="57"/>
        <v>2.03</v>
      </c>
      <c r="X60" s="187">
        <f t="shared" si="14"/>
        <v>1.17</v>
      </c>
      <c r="Y60" s="189">
        <f t="shared" si="15"/>
        <v>1.543815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60"/>
      <c r="B61" s="176"/>
      <c r="C61" s="176"/>
      <c r="D61" s="176"/>
      <c r="E61" s="176"/>
      <c r="F61" s="176"/>
      <c r="G61" s="176"/>
      <c r="H61" s="179"/>
      <c r="I61" s="160"/>
      <c r="J61" s="203">
        <f>+Q92</f>
        <v>92.4</v>
      </c>
      <c r="K61" s="139"/>
      <c r="L61" s="139"/>
      <c r="M61" s="139"/>
      <c r="N61" s="139"/>
      <c r="O61" s="139"/>
      <c r="P61" s="139"/>
      <c r="Q61" s="204"/>
      <c r="R61" s="187">
        <f t="shared" si="9"/>
        <v>0</v>
      </c>
      <c r="S61" s="181" t="str">
        <f t="shared" si="10"/>
        <v/>
      </c>
      <c r="T61" s="181">
        <f t="shared" si="11"/>
        <v>0</v>
      </c>
      <c r="U61" s="186"/>
      <c r="V61" s="187">
        <f t="shared" ref="V61:W61" si="58">C61/100</f>
        <v>0</v>
      </c>
      <c r="W61" s="187">
        <f t="shared" si="58"/>
        <v>0</v>
      </c>
      <c r="X61" s="187">
        <f t="shared" si="14"/>
        <v>0</v>
      </c>
      <c r="Y61" s="189">
        <f t="shared" si="15"/>
        <v>0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60"/>
      <c r="B62" s="205"/>
      <c r="C62" s="205"/>
      <c r="D62" s="205"/>
      <c r="E62" s="205"/>
      <c r="F62" s="205"/>
      <c r="G62" s="205"/>
      <c r="H62" s="206"/>
      <c r="I62" s="207">
        <f>SUM(I20:I60)</f>
        <v>125</v>
      </c>
      <c r="J62" s="208">
        <f>SUM(J20:J61)</f>
        <v>12707.00091</v>
      </c>
      <c r="K62" s="209"/>
      <c r="L62" s="209"/>
      <c r="M62" s="209"/>
      <c r="N62" s="209"/>
      <c r="O62" s="209"/>
      <c r="P62" s="209"/>
      <c r="Q62" s="141"/>
      <c r="R62" s="209">
        <f>SUMIFS($S$20:$S$60,$R$20:$R$60,"&gt;=3")</f>
        <v>0</v>
      </c>
      <c r="S62" s="209">
        <f t="shared" ref="S62:T62" si="59">SUM(S20:S60)</f>
        <v>125</v>
      </c>
      <c r="T62" s="209">
        <f t="shared" si="59"/>
        <v>252.3</v>
      </c>
      <c r="U62" s="209"/>
      <c r="V62" s="209"/>
      <c r="W62" s="209"/>
      <c r="X62" s="209"/>
      <c r="Y62" s="210">
        <f>SUM(Y20:Y61)</f>
        <v>500.934923</v>
      </c>
      <c r="Z62" s="209"/>
      <c r="AA62" s="209"/>
      <c r="AB62" s="209"/>
      <c r="AC62" s="209"/>
      <c r="AD62" s="209"/>
      <c r="AE62" s="209"/>
      <c r="AF62" s="209"/>
      <c r="AG62" s="209"/>
      <c r="AH62" s="209"/>
      <c r="AI62" s="209"/>
      <c r="AJ62" s="209"/>
      <c r="AK62" s="209"/>
      <c r="AL62" s="209"/>
      <c r="AM62" s="209"/>
      <c r="AN62" s="209"/>
      <c r="AO62" s="209"/>
      <c r="AP62" s="209"/>
      <c r="AQ62" s="209"/>
      <c r="AR62" s="209"/>
      <c r="AS62" s="209"/>
    </row>
    <row r="63" ht="29.25" customHeight="1">
      <c r="A63" s="139"/>
      <c r="B63" s="139"/>
      <c r="C63" s="139"/>
      <c r="D63" s="139"/>
      <c r="E63" s="139"/>
      <c r="F63" s="139"/>
      <c r="G63" s="139"/>
      <c r="H63" s="140"/>
      <c r="I63" s="139"/>
      <c r="J63" s="139"/>
      <c r="K63" s="139"/>
      <c r="L63" s="139"/>
      <c r="M63" s="139"/>
      <c r="N63" s="139"/>
      <c r="O63" s="139"/>
      <c r="P63" s="139"/>
      <c r="Q63" s="141"/>
      <c r="R63" s="186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9.25" customHeight="1">
      <c r="A64" s="139"/>
      <c r="B64" s="139"/>
      <c r="C64" s="139"/>
      <c r="D64" s="139"/>
      <c r="E64" s="139"/>
      <c r="F64" s="139"/>
      <c r="G64" s="139"/>
      <c r="H64" s="140"/>
      <c r="I64" s="139"/>
      <c r="J64" s="139"/>
      <c r="K64" s="139"/>
      <c r="L64" s="139"/>
      <c r="M64" s="139"/>
      <c r="N64" s="139"/>
      <c r="O64" s="139"/>
      <c r="P64" s="139"/>
      <c r="Q64" s="204"/>
      <c r="R64" s="139"/>
      <c r="S64" s="139" t="s">
        <v>48</v>
      </c>
      <c r="T64" s="139" t="s">
        <v>72</v>
      </c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9.25" customHeight="1">
      <c r="A65" s="139"/>
      <c r="B65" s="139"/>
      <c r="C65" s="139"/>
      <c r="D65" s="139"/>
      <c r="E65" s="139"/>
      <c r="F65" s="139"/>
      <c r="G65" s="139"/>
      <c r="H65" s="140"/>
      <c r="I65" s="139"/>
      <c r="J65" s="139"/>
      <c r="K65" s="139"/>
      <c r="L65" s="139"/>
      <c r="M65" s="139"/>
      <c r="N65" s="139"/>
      <c r="O65" s="139"/>
      <c r="P65" s="139"/>
      <c r="Q65" s="141"/>
      <c r="R65" s="139" t="s">
        <v>31</v>
      </c>
      <c r="S65" s="211">
        <f>SUMIFS($J$20:$J$60,$R$20:$R$60,"&gt;=3")</f>
        <v>0</v>
      </c>
      <c r="T65" s="212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9.25" customHeight="1">
      <c r="A66" s="139" t="s">
        <v>32</v>
      </c>
      <c r="B66" s="139"/>
      <c r="C66" s="139"/>
      <c r="D66" s="139" t="s">
        <v>33</v>
      </c>
      <c r="E66" s="139"/>
      <c r="F66" s="139"/>
      <c r="G66" s="139"/>
      <c r="H66" s="140"/>
      <c r="I66" s="139"/>
      <c r="J66" s="139"/>
      <c r="K66" s="139"/>
      <c r="L66" s="139"/>
      <c r="M66" s="139"/>
      <c r="N66" s="139"/>
      <c r="O66" s="139"/>
      <c r="P66" s="139"/>
      <c r="Q66" s="141"/>
      <c r="R66" s="139" t="s">
        <v>34</v>
      </c>
      <c r="S66" s="213">
        <f>J62-S65</f>
        <v>12707.00091</v>
      </c>
      <c r="T66" s="212">
        <f>+SUMIFS($T$20:$T$60,$R$20:$R$60,"&gt;=3")</f>
        <v>0</v>
      </c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9.25" customHeight="1">
      <c r="A67" s="139"/>
      <c r="B67" s="139"/>
      <c r="C67" s="139"/>
      <c r="D67" s="139"/>
      <c r="E67" s="139"/>
      <c r="F67" s="139"/>
      <c r="G67" s="139"/>
      <c r="H67" s="140"/>
      <c r="I67" s="139"/>
      <c r="J67" s="139"/>
      <c r="K67" s="139"/>
      <c r="L67" s="139"/>
      <c r="M67" s="139"/>
      <c r="N67" s="139"/>
      <c r="O67" s="139"/>
      <c r="P67" s="139"/>
      <c r="Q67" s="204"/>
      <c r="R67" s="139"/>
      <c r="S67" s="214">
        <f>+I62</f>
        <v>125</v>
      </c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39.0" customHeight="1">
      <c r="A68" s="176"/>
      <c r="B68" s="160" t="s">
        <v>12</v>
      </c>
      <c r="C68" s="177" t="s">
        <v>73</v>
      </c>
      <c r="D68" s="52"/>
      <c r="E68" s="53"/>
      <c r="F68" s="178"/>
      <c r="G68" s="178"/>
      <c r="H68" s="179" t="s">
        <v>14</v>
      </c>
      <c r="I68" s="160" t="s">
        <v>15</v>
      </c>
      <c r="J68" s="160" t="s">
        <v>16</v>
      </c>
      <c r="K68" s="139"/>
      <c r="L68" s="139"/>
      <c r="M68" s="139"/>
      <c r="N68" s="139"/>
      <c r="O68" s="139"/>
      <c r="P68" s="139"/>
      <c r="Q68" s="141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54">
        <v>1.0</v>
      </c>
      <c r="B69" s="215" t="s">
        <v>79</v>
      </c>
      <c r="C69" s="215">
        <v>81.0</v>
      </c>
      <c r="D69" s="215">
        <v>209.0</v>
      </c>
      <c r="E69" s="215">
        <v>194.0</v>
      </c>
      <c r="F69" s="215">
        <f t="shared" ref="F69:F73" si="60">1-VALUE(IF(RIGHT(B69, 1)="%", RIGHT(B69, 3), 0))</f>
        <v>0.2</v>
      </c>
      <c r="G69" s="215">
        <f t="shared" ref="G69:G73" si="61">+Q69*C69/100*D69/100*E69/100</f>
        <v>0</v>
      </c>
      <c r="H69" s="216">
        <f t="shared" ref="H69:H73" si="62">IF(F69=0, G69, F69*G69)</f>
        <v>0</v>
      </c>
      <c r="I69" s="215">
        <v>1.0</v>
      </c>
      <c r="J69" s="217">
        <f t="shared" ref="J69:J73" si="63">+I69*H69</f>
        <v>0</v>
      </c>
      <c r="K69" s="139"/>
      <c r="L69" s="176">
        <f>D69*25.4/1000</f>
        <v>5.3086</v>
      </c>
      <c r="M69" s="160">
        <f>+I69</f>
        <v>1</v>
      </c>
      <c r="N69" s="160">
        <f>M69*L69</f>
        <v>5.3086</v>
      </c>
      <c r="O69" s="139"/>
      <c r="P69" s="139"/>
      <c r="Q69" s="141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54"/>
      <c r="B70" s="215" t="s">
        <v>67</v>
      </c>
      <c r="C70" s="215">
        <v>88.0</v>
      </c>
      <c r="D70" s="215">
        <v>205.0</v>
      </c>
      <c r="E70" s="215">
        <v>210.0</v>
      </c>
      <c r="F70" s="215">
        <f t="shared" si="60"/>
        <v>0.2</v>
      </c>
      <c r="G70" s="215">
        <f t="shared" si="61"/>
        <v>0</v>
      </c>
      <c r="H70" s="216">
        <f t="shared" si="62"/>
        <v>0</v>
      </c>
      <c r="I70" s="215">
        <v>1.0</v>
      </c>
      <c r="J70" s="217">
        <f t="shared" si="63"/>
        <v>0</v>
      </c>
      <c r="K70" s="139"/>
      <c r="L70" s="176"/>
      <c r="M70" s="160"/>
      <c r="N70" s="160"/>
      <c r="O70" s="139"/>
      <c r="P70" s="139"/>
      <c r="Q70" s="141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54"/>
      <c r="B71" s="215" t="s">
        <v>64</v>
      </c>
      <c r="C71" s="215">
        <v>95.0</v>
      </c>
      <c r="D71" s="215">
        <v>203.0</v>
      </c>
      <c r="E71" s="215">
        <v>232.0</v>
      </c>
      <c r="F71" s="215">
        <f t="shared" si="60"/>
        <v>0.2</v>
      </c>
      <c r="G71" s="215">
        <f t="shared" si="61"/>
        <v>0</v>
      </c>
      <c r="H71" s="216">
        <f t="shared" si="62"/>
        <v>0</v>
      </c>
      <c r="I71" s="215">
        <v>1.0</v>
      </c>
      <c r="J71" s="217">
        <f t="shared" si="63"/>
        <v>0</v>
      </c>
      <c r="K71" s="139"/>
      <c r="L71" s="176"/>
      <c r="M71" s="160"/>
      <c r="N71" s="160"/>
      <c r="O71" s="139"/>
      <c r="P71" s="139"/>
      <c r="Q71" s="141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60">
        <v>2.0</v>
      </c>
      <c r="B72" s="218" t="s">
        <v>92</v>
      </c>
      <c r="C72" s="218">
        <v>79.0</v>
      </c>
      <c r="D72" s="218">
        <v>203.0</v>
      </c>
      <c r="E72" s="218">
        <v>192.0</v>
      </c>
      <c r="F72" s="218">
        <f t="shared" si="60"/>
        <v>0.2</v>
      </c>
      <c r="G72" s="218">
        <f t="shared" si="61"/>
        <v>0</v>
      </c>
      <c r="H72" s="219">
        <f t="shared" si="62"/>
        <v>0</v>
      </c>
      <c r="I72" s="218">
        <v>1.0</v>
      </c>
      <c r="J72" s="194">
        <f t="shared" si="63"/>
        <v>0</v>
      </c>
      <c r="K72" s="139"/>
      <c r="L72" s="176">
        <f t="shared" ref="L72:L73" si="64">D72*25.4/1000</f>
        <v>5.1562</v>
      </c>
      <c r="M72" s="160">
        <f t="shared" ref="M72:M73" si="65">+I72</f>
        <v>1</v>
      </c>
      <c r="N72" s="160">
        <f t="shared" ref="N72:N73" si="66">M72*L72</f>
        <v>5.1562</v>
      </c>
      <c r="O72" s="139"/>
      <c r="P72" s="139"/>
      <c r="Q72" s="141"/>
      <c r="R72" s="139"/>
      <c r="S72" s="220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60">
        <v>3.0</v>
      </c>
      <c r="B73" s="218" t="s">
        <v>92</v>
      </c>
      <c r="C73" s="218">
        <v>59.0</v>
      </c>
      <c r="D73" s="218">
        <v>203.0</v>
      </c>
      <c r="E73" s="218">
        <v>166.0</v>
      </c>
      <c r="F73" s="218">
        <f t="shared" si="60"/>
        <v>0.2</v>
      </c>
      <c r="G73" s="218">
        <f t="shared" si="61"/>
        <v>0</v>
      </c>
      <c r="H73" s="219">
        <f t="shared" si="62"/>
        <v>0</v>
      </c>
      <c r="I73" s="218">
        <v>1.0</v>
      </c>
      <c r="J73" s="194">
        <f t="shared" si="63"/>
        <v>0</v>
      </c>
      <c r="K73" s="139"/>
      <c r="L73" s="176">
        <f t="shared" si="64"/>
        <v>5.1562</v>
      </c>
      <c r="M73" s="160">
        <f t="shared" si="65"/>
        <v>1</v>
      </c>
      <c r="N73" s="160">
        <f t="shared" si="66"/>
        <v>5.1562</v>
      </c>
      <c r="O73" s="139"/>
      <c r="P73" s="139"/>
      <c r="Q73" s="141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4.75" customHeight="1">
      <c r="A74" s="160"/>
      <c r="B74" s="197"/>
      <c r="C74" s="197"/>
      <c r="D74" s="197"/>
      <c r="E74" s="197"/>
      <c r="F74" s="197"/>
      <c r="G74" s="197"/>
      <c r="H74" s="269" t="s">
        <v>38</v>
      </c>
      <c r="I74" s="197"/>
      <c r="J74" s="226">
        <f>SUM(J69:J73)</f>
        <v>0</v>
      </c>
      <c r="K74" s="139"/>
      <c r="L74" s="139"/>
      <c r="M74" s="139"/>
      <c r="N74" s="139"/>
      <c r="O74" s="139"/>
      <c r="P74" s="139"/>
      <c r="Q74" s="141"/>
      <c r="R74" s="227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18.75" customHeight="1">
      <c r="A75" s="174"/>
      <c r="B75" s="144"/>
      <c r="C75" s="144"/>
      <c r="D75" s="144"/>
      <c r="E75" s="144"/>
      <c r="F75" s="144"/>
      <c r="G75" s="144"/>
      <c r="H75" s="145"/>
      <c r="I75" s="144"/>
      <c r="J75" s="175"/>
      <c r="K75" s="139"/>
      <c r="L75" s="139"/>
      <c r="M75" s="139"/>
      <c r="N75" s="139"/>
      <c r="O75" s="139"/>
      <c r="P75" s="139"/>
      <c r="Q75" s="141"/>
      <c r="R75" s="227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18.75" customHeight="1">
      <c r="A76" s="139"/>
      <c r="B76" s="139"/>
      <c r="C76" s="139"/>
      <c r="D76" s="139"/>
      <c r="E76" s="139"/>
      <c r="F76" s="139"/>
      <c r="G76" s="139"/>
      <c r="H76" s="140"/>
      <c r="I76" s="139"/>
      <c r="J76" s="139"/>
      <c r="K76" s="139"/>
      <c r="L76" s="139"/>
      <c r="M76" s="139"/>
      <c r="N76" s="139"/>
      <c r="O76" s="139"/>
      <c r="P76" s="139"/>
      <c r="Q76" s="141"/>
      <c r="R76" s="227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18.75" customHeight="1">
      <c r="A77" s="139"/>
      <c r="B77" s="139"/>
      <c r="C77" s="139"/>
      <c r="D77" s="139"/>
      <c r="E77" s="139"/>
      <c r="F77" s="139"/>
      <c r="G77" s="139"/>
      <c r="H77" s="140"/>
      <c r="I77" s="139"/>
      <c r="J77" s="139"/>
      <c r="K77" s="139"/>
      <c r="L77" s="139"/>
      <c r="M77" s="139"/>
      <c r="N77" s="139"/>
      <c r="O77" s="139"/>
      <c r="P77" s="139"/>
      <c r="Q77" s="141"/>
      <c r="R77" s="227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18.75" customHeight="1">
      <c r="A78" s="139" t="s">
        <v>39</v>
      </c>
      <c r="B78" s="139"/>
      <c r="C78" s="139"/>
      <c r="D78" s="139"/>
      <c r="E78" s="139"/>
      <c r="F78" s="139"/>
      <c r="G78" s="139"/>
      <c r="H78" s="140"/>
      <c r="I78" s="139"/>
      <c r="J78" s="139"/>
      <c r="K78" s="139"/>
      <c r="L78" s="139"/>
      <c r="M78" s="139"/>
      <c r="N78" s="139"/>
      <c r="O78" s="139"/>
      <c r="P78" s="139"/>
      <c r="Q78" s="141"/>
      <c r="R78" s="227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18.75" customHeight="1">
      <c r="A79" s="139"/>
      <c r="B79" s="139"/>
      <c r="C79" s="139"/>
      <c r="D79" s="139"/>
      <c r="E79" s="139"/>
      <c r="F79" s="139"/>
      <c r="G79" s="139"/>
      <c r="H79" s="140"/>
      <c r="I79" s="139"/>
      <c r="J79" s="139"/>
      <c r="K79" s="139"/>
      <c r="L79" s="139"/>
      <c r="M79" s="139"/>
      <c r="N79" s="139"/>
      <c r="O79" s="139"/>
      <c r="P79" s="139"/>
      <c r="Q79" s="141"/>
      <c r="R79" s="227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42.0" customHeight="1">
      <c r="A80" s="176"/>
      <c r="B80" s="160" t="s">
        <v>12</v>
      </c>
      <c r="C80" s="177" t="s">
        <v>74</v>
      </c>
      <c r="D80" s="52"/>
      <c r="E80" s="53"/>
      <c r="F80" s="228"/>
      <c r="G80" s="228"/>
      <c r="H80" s="179" t="s">
        <v>14</v>
      </c>
      <c r="I80" s="224" t="s">
        <v>15</v>
      </c>
      <c r="J80" s="160" t="s">
        <v>16</v>
      </c>
      <c r="K80" s="139"/>
      <c r="L80" s="139"/>
      <c r="M80" s="139"/>
      <c r="N80" s="139"/>
      <c r="O80" s="139"/>
      <c r="P80" s="139"/>
      <c r="Q80" s="141"/>
      <c r="R80" s="227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4.75" customHeight="1">
      <c r="A81" s="160">
        <v>1.0</v>
      </c>
      <c r="B81" s="229" t="s">
        <v>76</v>
      </c>
      <c r="C81" s="181"/>
      <c r="D81" s="181"/>
      <c r="E81" s="181"/>
      <c r="F81" s="181"/>
      <c r="G81" s="181"/>
      <c r="H81" s="232">
        <v>40.0</v>
      </c>
      <c r="I81" s="181">
        <v>1.0</v>
      </c>
      <c r="J81" s="194">
        <f t="shared" ref="J81:J90" si="67">+I81*H81</f>
        <v>40</v>
      </c>
      <c r="K81" s="176"/>
      <c r="L81" s="176"/>
      <c r="M81" s="176"/>
      <c r="N81" s="176"/>
      <c r="O81" s="176"/>
      <c r="P81" s="176"/>
      <c r="Q81" s="231"/>
      <c r="R81" s="227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24.75" customHeight="1">
      <c r="A82" s="160">
        <v>2.0</v>
      </c>
      <c r="B82" s="215" t="s">
        <v>76</v>
      </c>
      <c r="C82" s="181"/>
      <c r="D82" s="181"/>
      <c r="E82" s="181"/>
      <c r="F82" s="181"/>
      <c r="G82" s="181"/>
      <c r="H82" s="232">
        <v>13.0</v>
      </c>
      <c r="I82" s="181">
        <v>1.0</v>
      </c>
      <c r="J82" s="194">
        <f t="shared" si="67"/>
        <v>13</v>
      </c>
      <c r="K82" s="176"/>
      <c r="L82" s="176"/>
      <c r="M82" s="176"/>
      <c r="N82" s="176"/>
      <c r="O82" s="176"/>
      <c r="P82" s="176"/>
      <c r="Q82" s="231"/>
      <c r="R82" s="227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4.75" customHeight="1">
      <c r="A83" s="160">
        <v>3.0</v>
      </c>
      <c r="B83" s="182" t="s">
        <v>57</v>
      </c>
      <c r="C83" s="181"/>
      <c r="D83" s="181"/>
      <c r="E83" s="181"/>
      <c r="F83" s="181"/>
      <c r="G83" s="181"/>
      <c r="H83" s="232">
        <v>30.0</v>
      </c>
      <c r="I83" s="181">
        <v>1.0</v>
      </c>
      <c r="J83" s="194">
        <f t="shared" si="67"/>
        <v>30</v>
      </c>
      <c r="K83" s="176"/>
      <c r="L83" s="176"/>
      <c r="M83" s="176"/>
      <c r="N83" s="176"/>
      <c r="O83" s="176"/>
      <c r="P83" s="176"/>
      <c r="Q83" s="231"/>
      <c r="R83" s="227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4.75" customHeight="1">
      <c r="A84" s="160">
        <v>4.0</v>
      </c>
      <c r="B84" s="218" t="s">
        <v>57</v>
      </c>
      <c r="C84" s="181"/>
      <c r="D84" s="181"/>
      <c r="E84" s="181"/>
      <c r="F84" s="181"/>
      <c r="G84" s="181"/>
      <c r="H84" s="232">
        <v>16.0</v>
      </c>
      <c r="I84" s="181">
        <v>1.0</v>
      </c>
      <c r="J84" s="194">
        <f t="shared" si="67"/>
        <v>16</v>
      </c>
      <c r="K84" s="176"/>
      <c r="L84" s="176"/>
      <c r="M84" s="176"/>
      <c r="N84" s="176"/>
      <c r="O84" s="176"/>
      <c r="P84" s="176"/>
      <c r="Q84" s="231"/>
      <c r="R84" s="227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4.75" customHeight="1">
      <c r="A85" s="160">
        <v>5.0</v>
      </c>
      <c r="B85" s="182" t="s">
        <v>55</v>
      </c>
      <c r="C85" s="181"/>
      <c r="D85" s="181"/>
      <c r="E85" s="181"/>
      <c r="F85" s="181"/>
      <c r="G85" s="181"/>
      <c r="H85" s="232">
        <v>45.0</v>
      </c>
      <c r="I85" s="181">
        <v>1.0</v>
      </c>
      <c r="J85" s="194">
        <f t="shared" si="67"/>
        <v>45</v>
      </c>
      <c r="K85" s="176"/>
      <c r="L85" s="176"/>
      <c r="M85" s="176"/>
      <c r="N85" s="176"/>
      <c r="O85" s="176"/>
      <c r="P85" s="176"/>
      <c r="Q85" s="231"/>
      <c r="R85" s="227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4.75" customHeight="1">
      <c r="A86" s="160">
        <v>6.0</v>
      </c>
      <c r="B86" s="218" t="s">
        <v>55</v>
      </c>
      <c r="C86" s="181"/>
      <c r="D86" s="181"/>
      <c r="E86" s="181"/>
      <c r="F86" s="181"/>
      <c r="G86" s="181"/>
      <c r="H86" s="232">
        <v>24.0</v>
      </c>
      <c r="I86" s="181">
        <v>1.0</v>
      </c>
      <c r="J86" s="194">
        <f t="shared" si="67"/>
        <v>24</v>
      </c>
      <c r="K86" s="176"/>
      <c r="L86" s="176"/>
      <c r="M86" s="176"/>
      <c r="N86" s="176"/>
      <c r="O86" s="176"/>
      <c r="P86" s="176"/>
      <c r="Q86" s="231"/>
      <c r="R86" s="227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4.75" customHeight="1">
      <c r="A87" s="160">
        <v>7.0</v>
      </c>
      <c r="B87" s="182" t="s">
        <v>84</v>
      </c>
      <c r="C87" s="181"/>
      <c r="D87" s="181"/>
      <c r="E87" s="181"/>
      <c r="F87" s="181"/>
      <c r="G87" s="181"/>
      <c r="H87" s="232">
        <v>20.0</v>
      </c>
      <c r="I87" s="181">
        <v>1.0</v>
      </c>
      <c r="J87" s="194">
        <f t="shared" si="67"/>
        <v>20</v>
      </c>
      <c r="K87" s="176"/>
      <c r="L87" s="176"/>
      <c r="M87" s="176"/>
      <c r="N87" s="176"/>
      <c r="O87" s="176"/>
      <c r="P87" s="176"/>
      <c r="Q87" s="231"/>
      <c r="R87" s="227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</row>
    <row r="88" ht="24.75" customHeight="1">
      <c r="A88" s="160">
        <v>8.0</v>
      </c>
      <c r="B88" s="191" t="s">
        <v>84</v>
      </c>
      <c r="C88" s="181"/>
      <c r="D88" s="181"/>
      <c r="E88" s="181"/>
      <c r="F88" s="181"/>
      <c r="G88" s="181"/>
      <c r="H88" s="232">
        <v>12.0</v>
      </c>
      <c r="I88" s="181">
        <v>1.0</v>
      </c>
      <c r="J88" s="194">
        <f t="shared" si="67"/>
        <v>12</v>
      </c>
      <c r="K88" s="176"/>
      <c r="L88" s="176"/>
      <c r="M88" s="176"/>
      <c r="N88" s="176"/>
      <c r="O88" s="176"/>
      <c r="P88" s="176"/>
      <c r="Q88" s="231"/>
      <c r="R88" s="227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24.75" customHeight="1">
      <c r="A89" s="160">
        <v>9.0</v>
      </c>
      <c r="B89" s="182" t="s">
        <v>84</v>
      </c>
      <c r="C89" s="181"/>
      <c r="D89" s="181"/>
      <c r="E89" s="181"/>
      <c r="F89" s="181"/>
      <c r="G89" s="181"/>
      <c r="H89" s="232">
        <v>17.0</v>
      </c>
      <c r="I89" s="181">
        <v>1.0</v>
      </c>
      <c r="J89" s="194">
        <f t="shared" si="67"/>
        <v>17</v>
      </c>
      <c r="K89" s="176"/>
      <c r="L89" s="176"/>
      <c r="M89" s="176"/>
      <c r="N89" s="176"/>
      <c r="O89" s="176"/>
      <c r="P89" s="176"/>
      <c r="Q89" s="231"/>
      <c r="R89" s="227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24.75" customHeight="1">
      <c r="A90" s="160">
        <v>10.0</v>
      </c>
      <c r="B90" s="191" t="s">
        <v>84</v>
      </c>
      <c r="C90" s="181"/>
      <c r="D90" s="181"/>
      <c r="E90" s="181"/>
      <c r="F90" s="181"/>
      <c r="G90" s="181"/>
      <c r="H90" s="232">
        <v>14.0</v>
      </c>
      <c r="I90" s="181">
        <v>1.0</v>
      </c>
      <c r="J90" s="194">
        <f t="shared" si="67"/>
        <v>14</v>
      </c>
      <c r="K90" s="176"/>
      <c r="L90" s="176"/>
      <c r="M90" s="176"/>
      <c r="N90" s="176"/>
      <c r="O90" s="176"/>
      <c r="P90" s="176"/>
      <c r="Q90" s="231"/>
      <c r="R90" s="227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18.75" customHeight="1">
      <c r="A91" s="139"/>
      <c r="B91" s="139"/>
      <c r="C91" s="139"/>
      <c r="D91" s="139"/>
      <c r="E91" s="139"/>
      <c r="F91" s="139"/>
      <c r="G91" s="139"/>
      <c r="H91" s="140" t="s">
        <v>38</v>
      </c>
      <c r="I91" s="139"/>
      <c r="J91" s="235">
        <f>SUM(J81:J90)</f>
        <v>231</v>
      </c>
      <c r="K91" s="236"/>
      <c r="L91" s="236"/>
      <c r="M91" s="236"/>
      <c r="N91" s="236"/>
      <c r="O91" s="236"/>
      <c r="P91" s="236"/>
      <c r="Q91" s="237"/>
      <c r="R91" s="227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ht="18.75" customHeight="1">
      <c r="A92" s="144"/>
      <c r="B92" s="144"/>
      <c r="C92" s="144"/>
      <c r="D92" s="144"/>
      <c r="E92" s="144"/>
      <c r="F92" s="144"/>
      <c r="G92" s="144"/>
      <c r="H92" s="145"/>
      <c r="I92" s="173"/>
      <c r="J92" s="205">
        <f>+J91*60%</f>
        <v>138.6</v>
      </c>
      <c r="K92" s="205"/>
      <c r="L92" s="205"/>
      <c r="M92" s="205"/>
      <c r="N92" s="205"/>
      <c r="O92" s="205"/>
      <c r="P92" s="205"/>
      <c r="Q92" s="207">
        <f>+J91*40%</f>
        <v>92.4</v>
      </c>
      <c r="R92" s="227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18.75" customHeight="1">
      <c r="A93" s="139"/>
      <c r="B93" s="139"/>
      <c r="C93" s="139"/>
      <c r="D93" s="139"/>
      <c r="E93" s="139"/>
      <c r="F93" s="139"/>
      <c r="G93" s="139"/>
      <c r="H93" s="140"/>
      <c r="I93" s="139"/>
      <c r="J93" s="139"/>
      <c r="K93" s="139"/>
      <c r="L93" s="139"/>
      <c r="M93" s="139"/>
      <c r="N93" s="139"/>
      <c r="O93" s="139"/>
      <c r="P93" s="139"/>
      <c r="Q93" s="141"/>
      <c r="R93" s="227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18.75" customHeight="1">
      <c r="A94" s="139"/>
      <c r="B94" s="139"/>
      <c r="C94" s="139"/>
      <c r="D94" s="139"/>
      <c r="E94" s="139"/>
      <c r="F94" s="139"/>
      <c r="G94" s="139"/>
      <c r="H94" s="140"/>
      <c r="I94" s="139"/>
      <c r="J94" s="139"/>
      <c r="K94" s="139"/>
      <c r="L94" s="139"/>
      <c r="M94" s="139"/>
      <c r="N94" s="139"/>
      <c r="O94" s="139"/>
      <c r="P94" s="139"/>
      <c r="Q94" s="141"/>
      <c r="R94" s="227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19.5" customHeight="1">
      <c r="A95" s="238" t="s">
        <v>41</v>
      </c>
      <c r="B95" s="139"/>
      <c r="C95" s="139"/>
      <c r="D95" s="139"/>
      <c r="E95" s="139"/>
      <c r="F95" s="139"/>
      <c r="G95" s="139"/>
      <c r="H95" s="140"/>
      <c r="I95" s="139"/>
      <c r="J95" s="139"/>
      <c r="K95" s="139"/>
      <c r="L95" s="139"/>
      <c r="M95" s="139"/>
      <c r="N95" s="139"/>
      <c r="O95" s="139"/>
      <c r="P95" s="139"/>
      <c r="Q95" s="141"/>
      <c r="R95" s="227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57.0" customHeight="1">
      <c r="A96" s="239"/>
      <c r="B96" s="240" t="s">
        <v>42</v>
      </c>
      <c r="C96" s="240" t="s">
        <v>43</v>
      </c>
      <c r="D96" s="240" t="s">
        <v>44</v>
      </c>
      <c r="E96" s="240" t="s">
        <v>45</v>
      </c>
      <c r="F96" s="240"/>
      <c r="G96" s="240"/>
      <c r="H96" s="241" t="s">
        <v>46</v>
      </c>
      <c r="I96" s="242" t="s">
        <v>47</v>
      </c>
      <c r="J96" s="139"/>
      <c r="K96" s="139"/>
      <c r="L96" s="139"/>
      <c r="M96" s="139"/>
      <c r="N96" s="139"/>
      <c r="O96" s="139"/>
      <c r="P96" s="139"/>
      <c r="Q96" s="141"/>
      <c r="R96" s="227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18.75" customHeight="1">
      <c r="A97" s="243" t="s">
        <v>48</v>
      </c>
      <c r="B97" s="244">
        <f>+E13</f>
        <v>14859.99189</v>
      </c>
      <c r="C97" s="245">
        <f>+J62</f>
        <v>12707.00091</v>
      </c>
      <c r="D97" s="245">
        <f>+J74</f>
        <v>0</v>
      </c>
      <c r="E97" s="246">
        <f>J92</f>
        <v>138.6</v>
      </c>
      <c r="F97" s="246"/>
      <c r="G97" s="246"/>
      <c r="H97" s="247">
        <f>+I13</f>
        <v>786.2242803</v>
      </c>
      <c r="I97" s="248">
        <f>+B97-C97-D97-E97-H97</f>
        <v>1228.166692</v>
      </c>
      <c r="J97" s="139"/>
      <c r="K97" s="139"/>
      <c r="L97" s="139"/>
      <c r="M97" s="139"/>
      <c r="N97" s="139"/>
      <c r="O97" s="139"/>
      <c r="P97" s="139"/>
      <c r="Q97" s="141"/>
      <c r="R97" s="227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19.5" customHeight="1">
      <c r="A98" s="249" t="s">
        <v>49</v>
      </c>
      <c r="B98" s="250"/>
      <c r="C98" s="251">
        <f>+C97/B97</f>
        <v>0.8551149295</v>
      </c>
      <c r="D98" s="251">
        <f>+D97/B97</f>
        <v>0</v>
      </c>
      <c r="E98" s="251">
        <f>+E97/B97</f>
        <v>0.009327057583</v>
      </c>
      <c r="F98" s="251"/>
      <c r="G98" s="251"/>
      <c r="H98" s="252">
        <f>+H97/B97</f>
        <v>0.05290879607</v>
      </c>
      <c r="I98" s="253">
        <f>+I97/B97</f>
        <v>0.08264921687</v>
      </c>
      <c r="J98" s="139"/>
      <c r="K98" s="139"/>
      <c r="L98" s="139"/>
      <c r="M98" s="139"/>
      <c r="N98" s="139"/>
      <c r="O98" s="139"/>
      <c r="P98" s="139"/>
      <c r="Q98" s="141"/>
      <c r="R98" s="227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19.5" customHeight="1">
      <c r="A99" s="163"/>
      <c r="B99" s="221"/>
      <c r="C99" s="254"/>
      <c r="D99" s="254"/>
      <c r="E99" s="254"/>
      <c r="F99" s="254"/>
      <c r="G99" s="254"/>
      <c r="H99" s="255"/>
      <c r="I99" s="256"/>
      <c r="J99" s="139"/>
      <c r="K99" s="139"/>
      <c r="L99" s="139"/>
      <c r="M99" s="139"/>
      <c r="N99" s="139"/>
      <c r="O99" s="139"/>
      <c r="P99" s="139"/>
      <c r="Q99" s="141"/>
      <c r="R99" s="227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18.75" customHeight="1">
      <c r="A100" s="257"/>
      <c r="B100" s="258"/>
      <c r="C100" s="258"/>
      <c r="D100" s="258" t="s">
        <v>50</v>
      </c>
      <c r="E100" s="258" t="s">
        <v>48</v>
      </c>
      <c r="F100" s="258"/>
      <c r="G100" s="258"/>
      <c r="H100" s="259">
        <f>+D97+E97+H97+I97</f>
        <v>2152.990972</v>
      </c>
      <c r="I100" s="260"/>
      <c r="J100" s="139"/>
      <c r="K100" s="139"/>
      <c r="L100" s="139"/>
      <c r="M100" s="139"/>
      <c r="N100" s="139"/>
      <c r="O100" s="139"/>
      <c r="P100" s="139"/>
      <c r="Q100" s="141"/>
      <c r="R100" s="140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18.75" customHeight="1">
      <c r="A101" s="261"/>
      <c r="B101" s="139"/>
      <c r="C101" s="139"/>
      <c r="D101" s="139"/>
      <c r="E101" s="139" t="s">
        <v>49</v>
      </c>
      <c r="F101" s="139"/>
      <c r="G101" s="139"/>
      <c r="H101" s="255">
        <f>+H100/B97</f>
        <v>0.1448850705</v>
      </c>
      <c r="I101" s="262"/>
      <c r="J101" s="139"/>
      <c r="K101" s="139"/>
      <c r="L101" s="139"/>
      <c r="M101" s="139"/>
      <c r="N101" s="139"/>
      <c r="O101" s="139"/>
      <c r="P101" s="139"/>
      <c r="Q101" s="141"/>
      <c r="R101" s="140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18.75" customHeight="1">
      <c r="A102" s="261"/>
      <c r="B102" s="139"/>
      <c r="C102" s="139" t="s">
        <v>51</v>
      </c>
      <c r="D102" s="139"/>
      <c r="E102" s="139"/>
      <c r="F102" s="139"/>
      <c r="G102" s="139"/>
      <c r="H102" s="140"/>
      <c r="I102" s="262"/>
      <c r="J102" s="139"/>
      <c r="K102" s="139"/>
      <c r="L102" s="139"/>
      <c r="M102" s="139"/>
      <c r="N102" s="139"/>
      <c r="O102" s="139"/>
      <c r="P102" s="139"/>
      <c r="Q102" s="141"/>
      <c r="R102" s="140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18.75" customHeight="1">
      <c r="A103" s="261"/>
      <c r="B103" s="139"/>
      <c r="C103" s="139"/>
      <c r="D103" s="139" t="s">
        <v>52</v>
      </c>
      <c r="E103" s="139"/>
      <c r="F103" s="139"/>
      <c r="G103" s="139"/>
      <c r="H103" s="140">
        <f>+H102*(H100-H97)</f>
        <v>0</v>
      </c>
      <c r="I103" s="262"/>
      <c r="J103" s="139"/>
      <c r="K103" s="139"/>
      <c r="L103" s="139"/>
      <c r="M103" s="139"/>
      <c r="N103" s="139"/>
      <c r="O103" s="139"/>
      <c r="P103" s="139"/>
      <c r="Q103" s="141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19.5" customHeight="1">
      <c r="A104" s="263"/>
      <c r="B104" s="264"/>
      <c r="C104" s="264"/>
      <c r="D104" s="264"/>
      <c r="E104" s="264"/>
      <c r="F104" s="264"/>
      <c r="G104" s="264"/>
      <c r="H104" s="265"/>
      <c r="I104" s="266"/>
      <c r="J104" s="139"/>
      <c r="K104" s="139"/>
      <c r="L104" s="139"/>
      <c r="M104" s="139"/>
      <c r="N104" s="139"/>
      <c r="O104" s="139"/>
      <c r="P104" s="139"/>
      <c r="Q104" s="141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18.7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41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18.75" customHeight="1">
      <c r="A106" s="139"/>
      <c r="B106" s="139"/>
      <c r="C106" s="139"/>
      <c r="D106" s="139"/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41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18.75" customHeight="1">
      <c r="A107" s="139"/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41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18.0" customHeight="1">
      <c r="A108" s="7"/>
      <c r="B108" s="7"/>
      <c r="C108" s="7"/>
      <c r="D108" s="7"/>
      <c r="E108" s="7"/>
      <c r="F108" s="7"/>
      <c r="G108" s="7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3:D13"/>
    <mergeCell ref="E14:H14"/>
    <mergeCell ref="C19:E19"/>
    <mergeCell ref="C68:E68"/>
    <mergeCell ref="C80:E80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41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4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41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44359.0</v>
      </c>
      <c r="J4" s="139"/>
      <c r="K4" s="139"/>
      <c r="L4" s="139"/>
      <c r="M4" s="139"/>
      <c r="N4" s="139"/>
      <c r="O4" s="139"/>
      <c r="P4" s="139"/>
      <c r="Q4" s="141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41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41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</row>
    <row r="7" ht="36.0" customHeight="1">
      <c r="A7" s="146" t="s">
        <v>6</v>
      </c>
      <c r="B7" s="147"/>
      <c r="C7" s="148" t="s">
        <v>133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41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</row>
    <row r="8" ht="26.25" customHeight="1">
      <c r="A8" s="153">
        <v>1.0</v>
      </c>
      <c r="B8" s="154" t="s">
        <v>55</v>
      </c>
      <c r="C8" s="154">
        <v>29.5</v>
      </c>
      <c r="D8" s="155">
        <v>0.0155</v>
      </c>
      <c r="E8" s="156">
        <f>253.135*23</f>
        <v>5822.105</v>
      </c>
      <c r="F8" s="156"/>
      <c r="G8" s="156"/>
      <c r="H8" s="157">
        <v>23.0</v>
      </c>
      <c r="I8" s="158">
        <f t="shared" ref="I8:I13" si="1">+D8*E8</f>
        <v>90.2426275</v>
      </c>
      <c r="J8" s="159">
        <f t="shared" ref="J8:J13" si="2">E8-I8</f>
        <v>5731.862373</v>
      </c>
      <c r="K8" s="139"/>
      <c r="L8" s="139"/>
      <c r="M8" s="139"/>
      <c r="N8" s="139"/>
      <c r="O8" s="139"/>
      <c r="P8" s="139"/>
      <c r="Q8" s="141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</row>
    <row r="9" ht="26.25" customHeight="1">
      <c r="A9" s="153">
        <v>2.0</v>
      </c>
      <c r="B9" s="160" t="s">
        <v>26</v>
      </c>
      <c r="C9" s="154">
        <v>18.5</v>
      </c>
      <c r="D9" s="161">
        <v>0.0829</v>
      </c>
      <c r="E9" s="162">
        <f>214.098*9.708</f>
        <v>2078.463384</v>
      </c>
      <c r="F9" s="162"/>
      <c r="G9" s="162"/>
      <c r="H9" s="157">
        <v>9.708</v>
      </c>
      <c r="I9" s="158">
        <f t="shared" si="1"/>
        <v>172.3046145</v>
      </c>
      <c r="J9" s="159">
        <f t="shared" si="2"/>
        <v>1906.158769</v>
      </c>
      <c r="K9" s="139"/>
      <c r="L9" s="139"/>
      <c r="M9" s="139"/>
      <c r="N9" s="139"/>
      <c r="O9" s="139"/>
      <c r="P9" s="139"/>
      <c r="Q9" s="141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</row>
    <row r="10" ht="26.25" customHeight="1">
      <c r="A10" s="153">
        <v>3.0</v>
      </c>
      <c r="B10" s="160" t="s">
        <v>77</v>
      </c>
      <c r="C10" s="154">
        <v>16.5</v>
      </c>
      <c r="D10" s="155">
        <v>0.1057</v>
      </c>
      <c r="E10" s="156">
        <f>187.669*8</f>
        <v>1501.352</v>
      </c>
      <c r="F10" s="156"/>
      <c r="G10" s="156"/>
      <c r="H10" s="157">
        <v>8.0</v>
      </c>
      <c r="I10" s="158">
        <f t="shared" si="1"/>
        <v>158.6929064</v>
      </c>
      <c r="J10" s="159">
        <f t="shared" si="2"/>
        <v>1342.659094</v>
      </c>
      <c r="K10" s="139"/>
      <c r="L10" s="139"/>
      <c r="M10" s="139"/>
      <c r="N10" s="139"/>
      <c r="O10" s="139"/>
      <c r="P10" s="139"/>
      <c r="Q10" s="141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</row>
    <row r="11" ht="26.25" customHeight="1">
      <c r="A11" s="153">
        <v>4.0</v>
      </c>
      <c r="B11" s="160" t="s">
        <v>99</v>
      </c>
      <c r="C11" s="154">
        <v>29.5</v>
      </c>
      <c r="D11" s="161">
        <v>0.0162</v>
      </c>
      <c r="E11" s="162">
        <f>238.05*3</f>
        <v>714.15</v>
      </c>
      <c r="F11" s="162"/>
      <c r="G11" s="162"/>
      <c r="H11" s="157">
        <v>3.0</v>
      </c>
      <c r="I11" s="158">
        <f t="shared" si="1"/>
        <v>11.56923</v>
      </c>
      <c r="J11" s="159">
        <f t="shared" si="2"/>
        <v>702.58077</v>
      </c>
      <c r="K11" s="139"/>
      <c r="L11" s="139"/>
      <c r="M11" s="139"/>
      <c r="N11" s="139"/>
      <c r="O11" s="139"/>
      <c r="P11" s="139"/>
      <c r="Q11" s="141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</row>
    <row r="12" ht="26.25" customHeight="1">
      <c r="A12" s="153">
        <v>5.0</v>
      </c>
      <c r="B12" s="160" t="s">
        <v>99</v>
      </c>
      <c r="C12" s="154">
        <v>29.5</v>
      </c>
      <c r="D12" s="161">
        <v>0.0162</v>
      </c>
      <c r="E12" s="162">
        <f>238.05*16</f>
        <v>3808.8</v>
      </c>
      <c r="F12" s="162"/>
      <c r="G12" s="162"/>
      <c r="H12" s="157">
        <v>16.0</v>
      </c>
      <c r="I12" s="158">
        <f t="shared" si="1"/>
        <v>61.70256</v>
      </c>
      <c r="J12" s="159">
        <f t="shared" si="2"/>
        <v>3747.09744</v>
      </c>
      <c r="K12" s="139"/>
      <c r="L12" s="139"/>
      <c r="M12" s="139"/>
      <c r="N12" s="139"/>
      <c r="O12" s="139"/>
      <c r="P12" s="139"/>
      <c r="Q12" s="141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</row>
    <row r="13" ht="26.25" customHeight="1">
      <c r="A13" s="153">
        <v>6.0</v>
      </c>
      <c r="B13" s="160" t="s">
        <v>84</v>
      </c>
      <c r="C13" s="160">
        <v>31.5</v>
      </c>
      <c r="D13" s="161">
        <v>0.0146</v>
      </c>
      <c r="E13" s="162">
        <f>240.245*18.314</f>
        <v>4399.84693</v>
      </c>
      <c r="F13" s="162"/>
      <c r="G13" s="162"/>
      <c r="H13" s="157">
        <v>18.314</v>
      </c>
      <c r="I13" s="158">
        <f t="shared" si="1"/>
        <v>64.23776518</v>
      </c>
      <c r="J13" s="159">
        <f t="shared" si="2"/>
        <v>4335.609165</v>
      </c>
      <c r="K13" s="139"/>
      <c r="L13" s="139"/>
      <c r="M13" s="139"/>
      <c r="N13" s="139"/>
      <c r="O13" s="139"/>
      <c r="P13" s="139"/>
      <c r="Q13" s="141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</row>
    <row r="14" ht="18.75" customHeight="1">
      <c r="A14" s="163"/>
      <c r="B14" s="164"/>
      <c r="C14" s="165"/>
      <c r="D14" s="166"/>
      <c r="E14" s="167">
        <f>SUM(E8:E13)</f>
        <v>18324.71731</v>
      </c>
      <c r="F14" s="168"/>
      <c r="G14" s="168"/>
      <c r="H14" s="169"/>
      <c r="I14" s="170">
        <f t="shared" ref="I14:J14" si="3">SUM(I8:I13)</f>
        <v>558.7497036</v>
      </c>
      <c r="J14" s="171">
        <f t="shared" si="3"/>
        <v>17765.96761</v>
      </c>
      <c r="K14" s="139"/>
      <c r="L14" s="139"/>
      <c r="M14" s="139"/>
      <c r="N14" s="139"/>
      <c r="O14" s="139"/>
      <c r="P14" s="139"/>
      <c r="Q14" s="141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</row>
    <row r="15" ht="18.75" customHeight="1">
      <c r="A15" s="172"/>
      <c r="B15" s="144"/>
      <c r="C15" s="144"/>
      <c r="D15" s="173"/>
      <c r="E15" s="174"/>
      <c r="F15" s="151"/>
      <c r="G15" s="151"/>
      <c r="H15" s="147"/>
      <c r="I15" s="175"/>
      <c r="J15" s="139"/>
      <c r="K15" s="139"/>
      <c r="L15" s="139"/>
      <c r="M15" s="139"/>
      <c r="N15" s="139"/>
      <c r="O15" s="139"/>
      <c r="P15" s="139"/>
      <c r="Q15" s="141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41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41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</row>
    <row r="18" ht="18.75" customHeight="1">
      <c r="A18" s="139" t="s">
        <v>11</v>
      </c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41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41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</row>
    <row r="20" ht="40.5" customHeight="1">
      <c r="A20" s="176"/>
      <c r="B20" s="160" t="s">
        <v>12</v>
      </c>
      <c r="C20" s="177" t="s">
        <v>62</v>
      </c>
      <c r="D20" s="52"/>
      <c r="E20" s="53"/>
      <c r="F20" s="178"/>
      <c r="G20" s="178"/>
      <c r="H20" s="179" t="s">
        <v>14</v>
      </c>
      <c r="I20" s="160" t="s">
        <v>15</v>
      </c>
      <c r="J20" s="160" t="s">
        <v>16</v>
      </c>
      <c r="K20" s="139"/>
      <c r="L20" s="160" t="s">
        <v>17</v>
      </c>
      <c r="M20" s="160" t="s">
        <v>15</v>
      </c>
      <c r="N20" s="176" t="s">
        <v>18</v>
      </c>
      <c r="O20" s="139"/>
      <c r="P20" s="139"/>
      <c r="Q20" s="180"/>
      <c r="R20" s="160" t="s">
        <v>17</v>
      </c>
      <c r="S20" s="160" t="s">
        <v>15</v>
      </c>
      <c r="T20" s="176" t="s">
        <v>18</v>
      </c>
      <c r="U20" s="139"/>
      <c r="V20" s="176" t="s">
        <v>19</v>
      </c>
      <c r="W20" s="176" t="s">
        <v>20</v>
      </c>
      <c r="X20" s="176" t="s">
        <v>21</v>
      </c>
      <c r="Y20" s="176" t="s">
        <v>134</v>
      </c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</row>
    <row r="21" ht="27.0" customHeight="1">
      <c r="A21" s="181">
        <v>1.0</v>
      </c>
      <c r="B21" s="182" t="s">
        <v>64</v>
      </c>
      <c r="C21" s="183">
        <v>89.0</v>
      </c>
      <c r="D21" s="183">
        <v>203.0</v>
      </c>
      <c r="E21" s="183">
        <v>232.0</v>
      </c>
      <c r="F21" s="183">
        <f t="shared" ref="F21:F85" si="5">VALUE(IF(RIGHT(B21, 1)="%", RIGHT(B21, 3), 0))</f>
        <v>0.8</v>
      </c>
      <c r="G21" s="183">
        <f t="shared" ref="G21:G85" si="6">+Q21*C21/100*D21/100*E21/100</f>
        <v>123.650548</v>
      </c>
      <c r="H21" s="184">
        <f t="shared" ref="H21:H85" si="7">IF(F21=0, G21, F21*G21)</f>
        <v>98.9204384</v>
      </c>
      <c r="I21" s="183">
        <v>1.0</v>
      </c>
      <c r="J21" s="193">
        <f t="shared" ref="J21:J85" si="8">+I21*H21</f>
        <v>98.9204384</v>
      </c>
      <c r="K21" s="186"/>
      <c r="L21" s="187">
        <f>D21*25.4/1000</f>
        <v>5.1562</v>
      </c>
      <c r="M21" s="181">
        <f>+I21</f>
        <v>1</v>
      </c>
      <c r="N21" s="181">
        <f>M21*L21</f>
        <v>5.1562</v>
      </c>
      <c r="O21" s="186"/>
      <c r="P21" s="186"/>
      <c r="Q21" s="188">
        <v>29.5</v>
      </c>
      <c r="R21" s="187">
        <f t="shared" ref="R21:R86" si="9">E21/100</f>
        <v>2.32</v>
      </c>
      <c r="S21" s="181">
        <f t="shared" ref="S21:S86" si="10">I21</f>
        <v>1</v>
      </c>
      <c r="T21" s="181">
        <f t="shared" ref="T21:T86" si="11">S21*R21</f>
        <v>2.32</v>
      </c>
      <c r="U21" s="186">
        <f t="shared" ref="U21:U85" si="12">Q21*C21/100*D21/100*E21/100</f>
        <v>123.650548</v>
      </c>
      <c r="V21" s="187">
        <f t="shared" ref="V21:W21" si="4">C21/100</f>
        <v>0.89</v>
      </c>
      <c r="W21" s="187">
        <f t="shared" si="4"/>
        <v>2.03</v>
      </c>
      <c r="X21" s="187">
        <f t="shared" ref="X21:X86" si="14">T21</f>
        <v>2.32</v>
      </c>
      <c r="Y21" s="189">
        <f t="shared" ref="Y21:Y86" si="15">V21*W21*X21</f>
        <v>4.191544</v>
      </c>
      <c r="Z21" s="186"/>
      <c r="AA21" s="186"/>
      <c r="AB21" s="186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</row>
    <row r="22" ht="27.0" customHeight="1">
      <c r="A22" s="181">
        <v>2.0</v>
      </c>
      <c r="B22" s="191" t="s">
        <v>55</v>
      </c>
      <c r="C22" s="191">
        <v>96.0</v>
      </c>
      <c r="D22" s="191">
        <v>203.0</v>
      </c>
      <c r="E22" s="191">
        <v>201.0</v>
      </c>
      <c r="F22" s="191">
        <f t="shared" si="5"/>
        <v>0</v>
      </c>
      <c r="G22" s="191">
        <f t="shared" si="6"/>
        <v>115.554096</v>
      </c>
      <c r="H22" s="219">
        <f t="shared" si="7"/>
        <v>115.554096</v>
      </c>
      <c r="I22" s="218">
        <v>11.0</v>
      </c>
      <c r="J22" s="193">
        <f t="shared" si="8"/>
        <v>1271.095056</v>
      </c>
      <c r="K22" s="186"/>
      <c r="L22" s="187"/>
      <c r="M22" s="181"/>
      <c r="N22" s="181"/>
      <c r="O22" s="186"/>
      <c r="P22" s="186"/>
      <c r="Q22" s="188">
        <v>29.5</v>
      </c>
      <c r="R22" s="187">
        <f t="shared" si="9"/>
        <v>2.01</v>
      </c>
      <c r="S22" s="181">
        <f t="shared" si="10"/>
        <v>11</v>
      </c>
      <c r="T22" s="181">
        <f t="shared" si="11"/>
        <v>22.11</v>
      </c>
      <c r="U22" s="186">
        <f t="shared" si="12"/>
        <v>115.554096</v>
      </c>
      <c r="V22" s="187">
        <f t="shared" ref="V22:W22" si="13">C22/100</f>
        <v>0.96</v>
      </c>
      <c r="W22" s="187">
        <f t="shared" si="13"/>
        <v>2.03</v>
      </c>
      <c r="X22" s="187">
        <f t="shared" si="14"/>
        <v>22.11</v>
      </c>
      <c r="Y22" s="189">
        <f t="shared" si="15"/>
        <v>43.087968</v>
      </c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</row>
    <row r="23" ht="27.0" customHeight="1">
      <c r="A23" s="181">
        <v>3.0</v>
      </c>
      <c r="B23" s="191" t="s">
        <v>55</v>
      </c>
      <c r="C23" s="191">
        <v>96.0</v>
      </c>
      <c r="D23" s="191">
        <v>203.0</v>
      </c>
      <c r="E23" s="191">
        <v>202.0</v>
      </c>
      <c r="F23" s="191">
        <f t="shared" si="5"/>
        <v>0</v>
      </c>
      <c r="G23" s="191">
        <f t="shared" si="6"/>
        <v>116.128992</v>
      </c>
      <c r="H23" s="219">
        <f t="shared" si="7"/>
        <v>116.128992</v>
      </c>
      <c r="I23" s="218">
        <v>7.0</v>
      </c>
      <c r="J23" s="193">
        <f t="shared" si="8"/>
        <v>812.902944</v>
      </c>
      <c r="K23" s="186"/>
      <c r="L23" s="187">
        <f t="shared" ref="L23:L38" si="17">D23*25.4/1000</f>
        <v>5.1562</v>
      </c>
      <c r="M23" s="181">
        <f t="shared" ref="M23:M41" si="18">+I23</f>
        <v>7</v>
      </c>
      <c r="N23" s="181">
        <f t="shared" ref="N23:N38" si="19">M23*L23</f>
        <v>36.0934</v>
      </c>
      <c r="O23" s="186"/>
      <c r="P23" s="186"/>
      <c r="Q23" s="188">
        <v>29.5</v>
      </c>
      <c r="R23" s="187">
        <f t="shared" si="9"/>
        <v>2.02</v>
      </c>
      <c r="S23" s="181">
        <f t="shared" si="10"/>
        <v>7</v>
      </c>
      <c r="T23" s="181">
        <f t="shared" si="11"/>
        <v>14.14</v>
      </c>
      <c r="U23" s="186">
        <f t="shared" si="12"/>
        <v>116.128992</v>
      </c>
      <c r="V23" s="187">
        <f t="shared" ref="V23:W23" si="16">C23/100</f>
        <v>0.96</v>
      </c>
      <c r="W23" s="187">
        <f t="shared" si="16"/>
        <v>2.03</v>
      </c>
      <c r="X23" s="187">
        <f t="shared" si="14"/>
        <v>14.14</v>
      </c>
      <c r="Y23" s="189">
        <f t="shared" si="15"/>
        <v>27.556032</v>
      </c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</row>
    <row r="24" ht="27.0" customHeight="1">
      <c r="A24" s="181">
        <v>4.0</v>
      </c>
      <c r="B24" s="191" t="s">
        <v>55</v>
      </c>
      <c r="C24" s="191">
        <v>95.0</v>
      </c>
      <c r="D24" s="191">
        <v>203.0</v>
      </c>
      <c r="E24" s="191">
        <v>232.0</v>
      </c>
      <c r="F24" s="191">
        <f t="shared" si="5"/>
        <v>0</v>
      </c>
      <c r="G24" s="191">
        <f t="shared" si="6"/>
        <v>131.98654</v>
      </c>
      <c r="H24" s="219">
        <f t="shared" si="7"/>
        <v>131.98654</v>
      </c>
      <c r="I24" s="218">
        <v>7.0</v>
      </c>
      <c r="J24" s="193">
        <f t="shared" si="8"/>
        <v>923.90578</v>
      </c>
      <c r="K24" s="186"/>
      <c r="L24" s="187">
        <f t="shared" si="17"/>
        <v>5.1562</v>
      </c>
      <c r="M24" s="181">
        <f t="shared" si="18"/>
        <v>7</v>
      </c>
      <c r="N24" s="181">
        <f t="shared" si="19"/>
        <v>36.0934</v>
      </c>
      <c r="O24" s="186"/>
      <c r="P24" s="186"/>
      <c r="Q24" s="188">
        <v>29.5</v>
      </c>
      <c r="R24" s="187">
        <f t="shared" si="9"/>
        <v>2.32</v>
      </c>
      <c r="S24" s="181">
        <f t="shared" si="10"/>
        <v>7</v>
      </c>
      <c r="T24" s="181">
        <f t="shared" si="11"/>
        <v>16.24</v>
      </c>
      <c r="U24" s="186">
        <f t="shared" si="12"/>
        <v>131.98654</v>
      </c>
      <c r="V24" s="187">
        <f t="shared" ref="V24:W24" si="20">C24/100</f>
        <v>0.95</v>
      </c>
      <c r="W24" s="187">
        <f t="shared" si="20"/>
        <v>2.03</v>
      </c>
      <c r="X24" s="187">
        <f t="shared" si="14"/>
        <v>16.24</v>
      </c>
      <c r="Y24" s="189">
        <f t="shared" si="15"/>
        <v>31.31884</v>
      </c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</row>
    <row r="25" ht="27.0" customHeight="1">
      <c r="A25" s="181">
        <v>5.0</v>
      </c>
      <c r="B25" s="191" t="s">
        <v>55</v>
      </c>
      <c r="C25" s="191">
        <v>95.0</v>
      </c>
      <c r="D25" s="191">
        <v>203.0</v>
      </c>
      <c r="E25" s="191">
        <v>231.0</v>
      </c>
      <c r="F25" s="191">
        <f t="shared" si="5"/>
        <v>0</v>
      </c>
      <c r="G25" s="191">
        <f t="shared" si="6"/>
        <v>131.4176325</v>
      </c>
      <c r="H25" s="219">
        <f t="shared" si="7"/>
        <v>131.4176325</v>
      </c>
      <c r="I25" s="218">
        <v>6.0</v>
      </c>
      <c r="J25" s="193">
        <f t="shared" si="8"/>
        <v>788.505795</v>
      </c>
      <c r="K25" s="186"/>
      <c r="L25" s="187">
        <f t="shared" si="17"/>
        <v>5.1562</v>
      </c>
      <c r="M25" s="181">
        <f t="shared" si="18"/>
        <v>6</v>
      </c>
      <c r="N25" s="181">
        <f t="shared" si="19"/>
        <v>30.9372</v>
      </c>
      <c r="O25" s="186"/>
      <c r="P25" s="186"/>
      <c r="Q25" s="188">
        <v>29.5</v>
      </c>
      <c r="R25" s="187">
        <f t="shared" si="9"/>
        <v>2.31</v>
      </c>
      <c r="S25" s="181">
        <f t="shared" si="10"/>
        <v>6</v>
      </c>
      <c r="T25" s="181">
        <f t="shared" si="11"/>
        <v>13.86</v>
      </c>
      <c r="U25" s="186">
        <f t="shared" si="12"/>
        <v>131.4176325</v>
      </c>
      <c r="V25" s="187">
        <f t="shared" ref="V25:W25" si="21">C25/100</f>
        <v>0.95</v>
      </c>
      <c r="W25" s="187">
        <f t="shared" si="21"/>
        <v>2.03</v>
      </c>
      <c r="X25" s="187">
        <f t="shared" si="14"/>
        <v>13.86</v>
      </c>
      <c r="Y25" s="189">
        <f t="shared" si="15"/>
        <v>26.72901</v>
      </c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</row>
    <row r="26" ht="27.0" customHeight="1">
      <c r="A26" s="181">
        <v>6.0</v>
      </c>
      <c r="B26" s="191" t="s">
        <v>55</v>
      </c>
      <c r="C26" s="191">
        <v>96.0</v>
      </c>
      <c r="D26" s="191">
        <v>203.0</v>
      </c>
      <c r="E26" s="191">
        <v>196.0</v>
      </c>
      <c r="F26" s="191">
        <f t="shared" si="5"/>
        <v>0</v>
      </c>
      <c r="G26" s="191">
        <f t="shared" si="6"/>
        <v>112.679616</v>
      </c>
      <c r="H26" s="219">
        <f t="shared" si="7"/>
        <v>112.679616</v>
      </c>
      <c r="I26" s="218">
        <v>1.0</v>
      </c>
      <c r="J26" s="193">
        <f t="shared" si="8"/>
        <v>112.679616</v>
      </c>
      <c r="K26" s="186"/>
      <c r="L26" s="187">
        <f t="shared" si="17"/>
        <v>5.1562</v>
      </c>
      <c r="M26" s="181">
        <f t="shared" si="18"/>
        <v>1</v>
      </c>
      <c r="N26" s="181">
        <f t="shared" si="19"/>
        <v>5.1562</v>
      </c>
      <c r="O26" s="186"/>
      <c r="P26" s="186"/>
      <c r="Q26" s="188">
        <v>29.5</v>
      </c>
      <c r="R26" s="187">
        <f t="shared" si="9"/>
        <v>1.96</v>
      </c>
      <c r="S26" s="181">
        <f t="shared" si="10"/>
        <v>1</v>
      </c>
      <c r="T26" s="181">
        <f t="shared" si="11"/>
        <v>1.96</v>
      </c>
      <c r="U26" s="186">
        <f t="shared" si="12"/>
        <v>112.679616</v>
      </c>
      <c r="V26" s="187">
        <f t="shared" ref="V26:W26" si="22">C26/100</f>
        <v>0.96</v>
      </c>
      <c r="W26" s="187">
        <f t="shared" si="22"/>
        <v>2.03</v>
      </c>
      <c r="X26" s="187">
        <f t="shared" si="14"/>
        <v>1.96</v>
      </c>
      <c r="Y26" s="189">
        <f t="shared" si="15"/>
        <v>3.819648</v>
      </c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</row>
    <row r="27" ht="27.0" customHeight="1">
      <c r="A27" s="181">
        <v>7.0</v>
      </c>
      <c r="B27" s="191" t="s">
        <v>55</v>
      </c>
      <c r="C27" s="191">
        <v>96.0</v>
      </c>
      <c r="D27" s="191">
        <v>203.0</v>
      </c>
      <c r="E27" s="191">
        <v>231.0</v>
      </c>
      <c r="F27" s="191">
        <f t="shared" si="5"/>
        <v>0</v>
      </c>
      <c r="G27" s="191">
        <f t="shared" si="6"/>
        <v>132.800976</v>
      </c>
      <c r="H27" s="219">
        <f t="shared" si="7"/>
        <v>132.800976</v>
      </c>
      <c r="I27" s="218">
        <v>4.0</v>
      </c>
      <c r="J27" s="193">
        <f t="shared" si="8"/>
        <v>531.203904</v>
      </c>
      <c r="K27" s="186"/>
      <c r="L27" s="187">
        <f t="shared" si="17"/>
        <v>5.1562</v>
      </c>
      <c r="M27" s="181">
        <f t="shared" si="18"/>
        <v>4</v>
      </c>
      <c r="N27" s="181">
        <f t="shared" si="19"/>
        <v>20.6248</v>
      </c>
      <c r="O27" s="186"/>
      <c r="P27" s="186"/>
      <c r="Q27" s="188">
        <v>29.5</v>
      </c>
      <c r="R27" s="187">
        <f t="shared" si="9"/>
        <v>2.31</v>
      </c>
      <c r="S27" s="181">
        <f t="shared" si="10"/>
        <v>4</v>
      </c>
      <c r="T27" s="181">
        <f t="shared" si="11"/>
        <v>9.24</v>
      </c>
      <c r="U27" s="186">
        <f t="shared" si="12"/>
        <v>132.800976</v>
      </c>
      <c r="V27" s="187">
        <f t="shared" ref="V27:W27" si="23">C27/100</f>
        <v>0.96</v>
      </c>
      <c r="W27" s="187">
        <f t="shared" si="23"/>
        <v>2.03</v>
      </c>
      <c r="X27" s="187">
        <f t="shared" si="14"/>
        <v>9.24</v>
      </c>
      <c r="Y27" s="189">
        <f t="shared" si="15"/>
        <v>18.006912</v>
      </c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</row>
    <row r="28" ht="27.0" customHeight="1">
      <c r="A28" s="181">
        <v>8.0</v>
      </c>
      <c r="B28" s="191" t="s">
        <v>55</v>
      </c>
      <c r="C28" s="191">
        <v>96.0</v>
      </c>
      <c r="D28" s="191">
        <v>203.0</v>
      </c>
      <c r="E28" s="191">
        <v>232.0</v>
      </c>
      <c r="F28" s="191">
        <f t="shared" si="5"/>
        <v>0</v>
      </c>
      <c r="G28" s="191">
        <f t="shared" si="6"/>
        <v>133.375872</v>
      </c>
      <c r="H28" s="219">
        <f t="shared" si="7"/>
        <v>133.375872</v>
      </c>
      <c r="I28" s="218">
        <v>3.0</v>
      </c>
      <c r="J28" s="193">
        <f t="shared" si="8"/>
        <v>400.127616</v>
      </c>
      <c r="K28" s="186"/>
      <c r="L28" s="187">
        <f t="shared" si="17"/>
        <v>5.1562</v>
      </c>
      <c r="M28" s="181">
        <f t="shared" si="18"/>
        <v>3</v>
      </c>
      <c r="N28" s="181">
        <f t="shared" si="19"/>
        <v>15.4686</v>
      </c>
      <c r="O28" s="186"/>
      <c r="P28" s="186"/>
      <c r="Q28" s="188">
        <v>29.5</v>
      </c>
      <c r="R28" s="187">
        <f t="shared" si="9"/>
        <v>2.32</v>
      </c>
      <c r="S28" s="181">
        <f t="shared" si="10"/>
        <v>3</v>
      </c>
      <c r="T28" s="181">
        <f t="shared" si="11"/>
        <v>6.96</v>
      </c>
      <c r="U28" s="186">
        <f t="shared" si="12"/>
        <v>133.375872</v>
      </c>
      <c r="V28" s="187">
        <f t="shared" ref="V28:W28" si="24">C28/100</f>
        <v>0.96</v>
      </c>
      <c r="W28" s="187">
        <f t="shared" si="24"/>
        <v>2.03</v>
      </c>
      <c r="X28" s="187">
        <f t="shared" si="14"/>
        <v>6.96</v>
      </c>
      <c r="Y28" s="189">
        <f t="shared" si="15"/>
        <v>13.563648</v>
      </c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</row>
    <row r="29" ht="27.0" customHeight="1">
      <c r="A29" s="181">
        <v>9.0</v>
      </c>
      <c r="B29" s="191" t="s">
        <v>55</v>
      </c>
      <c r="C29" s="191">
        <v>86.0</v>
      </c>
      <c r="D29" s="191">
        <v>203.0</v>
      </c>
      <c r="E29" s="191">
        <v>216.0</v>
      </c>
      <c r="F29" s="191">
        <f t="shared" si="5"/>
        <v>0</v>
      </c>
      <c r="G29" s="191">
        <f t="shared" si="6"/>
        <v>111.242376</v>
      </c>
      <c r="H29" s="219">
        <f t="shared" si="7"/>
        <v>111.242376</v>
      </c>
      <c r="I29" s="218">
        <v>1.0</v>
      </c>
      <c r="J29" s="193">
        <f t="shared" si="8"/>
        <v>111.242376</v>
      </c>
      <c r="K29" s="186"/>
      <c r="L29" s="187">
        <f t="shared" si="17"/>
        <v>5.1562</v>
      </c>
      <c r="M29" s="181">
        <f t="shared" si="18"/>
        <v>1</v>
      </c>
      <c r="N29" s="181">
        <f t="shared" si="19"/>
        <v>5.1562</v>
      </c>
      <c r="O29" s="186"/>
      <c r="P29" s="186"/>
      <c r="Q29" s="188">
        <v>29.5</v>
      </c>
      <c r="R29" s="187">
        <f t="shared" si="9"/>
        <v>2.16</v>
      </c>
      <c r="S29" s="181">
        <f t="shared" si="10"/>
        <v>1</v>
      </c>
      <c r="T29" s="181">
        <f t="shared" si="11"/>
        <v>2.16</v>
      </c>
      <c r="U29" s="186">
        <f t="shared" si="12"/>
        <v>111.242376</v>
      </c>
      <c r="V29" s="187">
        <f t="shared" ref="V29:W29" si="25">C29/100</f>
        <v>0.86</v>
      </c>
      <c r="W29" s="187">
        <f t="shared" si="25"/>
        <v>2.03</v>
      </c>
      <c r="X29" s="187">
        <f t="shared" si="14"/>
        <v>2.16</v>
      </c>
      <c r="Y29" s="189">
        <f t="shared" si="15"/>
        <v>3.770928</v>
      </c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</row>
    <row r="30" ht="27.0" customHeight="1">
      <c r="A30" s="181">
        <v>10.0</v>
      </c>
      <c r="B30" s="191" t="s">
        <v>55</v>
      </c>
      <c r="C30" s="191">
        <v>97.0</v>
      </c>
      <c r="D30" s="191">
        <v>203.0</v>
      </c>
      <c r="E30" s="191">
        <v>202.0</v>
      </c>
      <c r="F30" s="191">
        <f t="shared" si="5"/>
        <v>0</v>
      </c>
      <c r="G30" s="191">
        <f t="shared" si="6"/>
        <v>117.338669</v>
      </c>
      <c r="H30" s="219">
        <f t="shared" si="7"/>
        <v>117.338669</v>
      </c>
      <c r="I30" s="218">
        <v>2.0</v>
      </c>
      <c r="J30" s="193">
        <f t="shared" si="8"/>
        <v>234.677338</v>
      </c>
      <c r="K30" s="186"/>
      <c r="L30" s="187">
        <f t="shared" si="17"/>
        <v>5.1562</v>
      </c>
      <c r="M30" s="181">
        <f t="shared" si="18"/>
        <v>2</v>
      </c>
      <c r="N30" s="181">
        <f t="shared" si="19"/>
        <v>10.3124</v>
      </c>
      <c r="O30" s="186"/>
      <c r="P30" s="186"/>
      <c r="Q30" s="188">
        <v>29.5</v>
      </c>
      <c r="R30" s="187">
        <f t="shared" si="9"/>
        <v>2.02</v>
      </c>
      <c r="S30" s="181">
        <f t="shared" si="10"/>
        <v>2</v>
      </c>
      <c r="T30" s="181">
        <f t="shared" si="11"/>
        <v>4.04</v>
      </c>
      <c r="U30" s="186">
        <f t="shared" si="12"/>
        <v>117.338669</v>
      </c>
      <c r="V30" s="187">
        <f t="shared" ref="V30:W30" si="26">C30/100</f>
        <v>0.97</v>
      </c>
      <c r="W30" s="187">
        <f t="shared" si="26"/>
        <v>2.03</v>
      </c>
      <c r="X30" s="187">
        <f t="shared" si="14"/>
        <v>4.04</v>
      </c>
      <c r="Y30" s="189">
        <f t="shared" si="15"/>
        <v>7.955164</v>
      </c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</row>
    <row r="31" ht="27.0" customHeight="1">
      <c r="A31" s="181">
        <v>11.0</v>
      </c>
      <c r="B31" s="182" t="s">
        <v>135</v>
      </c>
      <c r="C31" s="183">
        <v>75.0</v>
      </c>
      <c r="D31" s="183">
        <v>205.0</v>
      </c>
      <c r="E31" s="183">
        <v>205.0</v>
      </c>
      <c r="F31" s="183">
        <f t="shared" si="5"/>
        <v>0.8</v>
      </c>
      <c r="G31" s="183">
        <f t="shared" si="6"/>
        <v>58.3096875</v>
      </c>
      <c r="H31" s="184">
        <f t="shared" si="7"/>
        <v>46.64775</v>
      </c>
      <c r="I31" s="183">
        <v>1.0</v>
      </c>
      <c r="J31" s="193">
        <f t="shared" si="8"/>
        <v>46.64775</v>
      </c>
      <c r="K31" s="186"/>
      <c r="L31" s="187">
        <f t="shared" si="17"/>
        <v>5.207</v>
      </c>
      <c r="M31" s="181">
        <f t="shared" si="18"/>
        <v>1</v>
      </c>
      <c r="N31" s="181">
        <f t="shared" si="19"/>
        <v>5.207</v>
      </c>
      <c r="O31" s="186"/>
      <c r="P31" s="186"/>
      <c r="Q31" s="188">
        <v>18.5</v>
      </c>
      <c r="R31" s="187">
        <f t="shared" si="9"/>
        <v>2.05</v>
      </c>
      <c r="S31" s="181">
        <f t="shared" si="10"/>
        <v>1</v>
      </c>
      <c r="T31" s="181">
        <f t="shared" si="11"/>
        <v>2.05</v>
      </c>
      <c r="U31" s="186">
        <f t="shared" si="12"/>
        <v>58.3096875</v>
      </c>
      <c r="V31" s="187">
        <f t="shared" ref="V31:W31" si="27">C31/100</f>
        <v>0.75</v>
      </c>
      <c r="W31" s="187">
        <f t="shared" si="27"/>
        <v>2.05</v>
      </c>
      <c r="X31" s="187">
        <f t="shared" si="14"/>
        <v>2.05</v>
      </c>
      <c r="Y31" s="189">
        <f t="shared" si="15"/>
        <v>3.151875</v>
      </c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</row>
    <row r="32" ht="27.0" customHeight="1">
      <c r="A32" s="181">
        <v>12.0</v>
      </c>
      <c r="B32" s="191" t="s">
        <v>26</v>
      </c>
      <c r="C32" s="191">
        <v>88.0</v>
      </c>
      <c r="D32" s="191">
        <v>205.0</v>
      </c>
      <c r="E32" s="191">
        <v>203.0</v>
      </c>
      <c r="F32" s="191">
        <f t="shared" si="5"/>
        <v>0</v>
      </c>
      <c r="G32" s="191">
        <f t="shared" si="6"/>
        <v>67.74922</v>
      </c>
      <c r="H32" s="219">
        <f t="shared" si="7"/>
        <v>67.74922</v>
      </c>
      <c r="I32" s="218">
        <v>4.0</v>
      </c>
      <c r="J32" s="193">
        <f t="shared" si="8"/>
        <v>270.99688</v>
      </c>
      <c r="K32" s="186"/>
      <c r="L32" s="187">
        <f t="shared" si="17"/>
        <v>5.207</v>
      </c>
      <c r="M32" s="181">
        <f t="shared" si="18"/>
        <v>4</v>
      </c>
      <c r="N32" s="181">
        <f t="shared" si="19"/>
        <v>20.828</v>
      </c>
      <c r="O32" s="186"/>
      <c r="P32" s="186"/>
      <c r="Q32" s="188">
        <v>18.5</v>
      </c>
      <c r="R32" s="187">
        <f t="shared" si="9"/>
        <v>2.03</v>
      </c>
      <c r="S32" s="181">
        <f t="shared" si="10"/>
        <v>4</v>
      </c>
      <c r="T32" s="181">
        <f t="shared" si="11"/>
        <v>8.12</v>
      </c>
      <c r="U32" s="186">
        <f t="shared" si="12"/>
        <v>67.74922</v>
      </c>
      <c r="V32" s="187">
        <f t="shared" ref="V32:W32" si="28">C32/100</f>
        <v>0.88</v>
      </c>
      <c r="W32" s="187">
        <f t="shared" si="28"/>
        <v>2.05</v>
      </c>
      <c r="X32" s="187">
        <f t="shared" si="14"/>
        <v>8.12</v>
      </c>
      <c r="Y32" s="189">
        <f t="shared" si="15"/>
        <v>14.64848</v>
      </c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</row>
    <row r="33" ht="27.0" customHeight="1">
      <c r="A33" s="181">
        <v>13.0</v>
      </c>
      <c r="B33" s="191" t="s">
        <v>26</v>
      </c>
      <c r="C33" s="191">
        <v>95.0</v>
      </c>
      <c r="D33" s="191">
        <v>205.0</v>
      </c>
      <c r="E33" s="191">
        <v>203.0</v>
      </c>
      <c r="F33" s="191">
        <f t="shared" si="5"/>
        <v>0</v>
      </c>
      <c r="G33" s="191">
        <f t="shared" si="6"/>
        <v>73.1383625</v>
      </c>
      <c r="H33" s="219">
        <f t="shared" si="7"/>
        <v>73.1383625</v>
      </c>
      <c r="I33" s="218">
        <v>3.0</v>
      </c>
      <c r="J33" s="193">
        <f t="shared" si="8"/>
        <v>219.4150875</v>
      </c>
      <c r="K33" s="186"/>
      <c r="L33" s="187">
        <f t="shared" si="17"/>
        <v>5.207</v>
      </c>
      <c r="M33" s="181">
        <f t="shared" si="18"/>
        <v>3</v>
      </c>
      <c r="N33" s="181">
        <f t="shared" si="19"/>
        <v>15.621</v>
      </c>
      <c r="O33" s="186"/>
      <c r="P33" s="186"/>
      <c r="Q33" s="188">
        <v>18.5</v>
      </c>
      <c r="R33" s="187">
        <f t="shared" si="9"/>
        <v>2.03</v>
      </c>
      <c r="S33" s="181">
        <f t="shared" si="10"/>
        <v>3</v>
      </c>
      <c r="T33" s="181">
        <f t="shared" si="11"/>
        <v>6.09</v>
      </c>
      <c r="U33" s="186">
        <f t="shared" si="12"/>
        <v>73.1383625</v>
      </c>
      <c r="V33" s="187">
        <f t="shared" ref="V33:W33" si="29">C33/100</f>
        <v>0.95</v>
      </c>
      <c r="W33" s="187">
        <f t="shared" si="29"/>
        <v>2.05</v>
      </c>
      <c r="X33" s="187">
        <f t="shared" si="14"/>
        <v>6.09</v>
      </c>
      <c r="Y33" s="189">
        <f t="shared" si="15"/>
        <v>11.860275</v>
      </c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</row>
    <row r="34" ht="27.0" customHeight="1">
      <c r="A34" s="181">
        <v>14.0</v>
      </c>
      <c r="B34" s="191" t="s">
        <v>26</v>
      </c>
      <c r="C34" s="191">
        <v>94.0</v>
      </c>
      <c r="D34" s="191">
        <v>205.0</v>
      </c>
      <c r="E34" s="191">
        <v>203.0</v>
      </c>
      <c r="F34" s="191">
        <f t="shared" si="5"/>
        <v>0</v>
      </c>
      <c r="G34" s="191">
        <f t="shared" si="6"/>
        <v>72.368485</v>
      </c>
      <c r="H34" s="219">
        <f t="shared" si="7"/>
        <v>72.368485</v>
      </c>
      <c r="I34" s="218">
        <v>1.0</v>
      </c>
      <c r="J34" s="193">
        <f t="shared" si="8"/>
        <v>72.368485</v>
      </c>
      <c r="K34" s="186"/>
      <c r="L34" s="187">
        <f t="shared" si="17"/>
        <v>5.207</v>
      </c>
      <c r="M34" s="181">
        <f t="shared" si="18"/>
        <v>1</v>
      </c>
      <c r="N34" s="181">
        <f t="shared" si="19"/>
        <v>5.207</v>
      </c>
      <c r="O34" s="186"/>
      <c r="P34" s="186"/>
      <c r="Q34" s="188">
        <v>18.5</v>
      </c>
      <c r="R34" s="187">
        <f t="shared" si="9"/>
        <v>2.03</v>
      </c>
      <c r="S34" s="181">
        <f t="shared" si="10"/>
        <v>1</v>
      </c>
      <c r="T34" s="181">
        <f t="shared" si="11"/>
        <v>2.03</v>
      </c>
      <c r="U34" s="186">
        <f t="shared" si="12"/>
        <v>72.368485</v>
      </c>
      <c r="V34" s="187">
        <f t="shared" ref="V34:W34" si="30">C34/100</f>
        <v>0.94</v>
      </c>
      <c r="W34" s="187">
        <f t="shared" si="30"/>
        <v>2.05</v>
      </c>
      <c r="X34" s="187">
        <f t="shared" si="14"/>
        <v>2.03</v>
      </c>
      <c r="Y34" s="189">
        <f t="shared" si="15"/>
        <v>3.91181</v>
      </c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</row>
    <row r="35" ht="27.0" customHeight="1">
      <c r="A35" s="181">
        <v>15.0</v>
      </c>
      <c r="B35" s="191" t="s">
        <v>26</v>
      </c>
      <c r="C35" s="191">
        <v>96.0</v>
      </c>
      <c r="D35" s="191">
        <v>205.0</v>
      </c>
      <c r="E35" s="191">
        <v>203.0</v>
      </c>
      <c r="F35" s="191">
        <f t="shared" si="5"/>
        <v>0</v>
      </c>
      <c r="G35" s="191">
        <f t="shared" si="6"/>
        <v>73.90824</v>
      </c>
      <c r="H35" s="219">
        <f t="shared" si="7"/>
        <v>73.90824</v>
      </c>
      <c r="I35" s="218">
        <v>3.0</v>
      </c>
      <c r="J35" s="193">
        <f t="shared" si="8"/>
        <v>221.72472</v>
      </c>
      <c r="K35" s="186"/>
      <c r="L35" s="187">
        <f t="shared" si="17"/>
        <v>5.207</v>
      </c>
      <c r="M35" s="181">
        <f t="shared" si="18"/>
        <v>3</v>
      </c>
      <c r="N35" s="181">
        <f t="shared" si="19"/>
        <v>15.621</v>
      </c>
      <c r="O35" s="186"/>
      <c r="P35" s="186"/>
      <c r="Q35" s="188">
        <v>18.5</v>
      </c>
      <c r="R35" s="187">
        <f t="shared" si="9"/>
        <v>2.03</v>
      </c>
      <c r="S35" s="181">
        <f t="shared" si="10"/>
        <v>3</v>
      </c>
      <c r="T35" s="181">
        <f t="shared" si="11"/>
        <v>6.09</v>
      </c>
      <c r="U35" s="186">
        <f t="shared" si="12"/>
        <v>73.90824</v>
      </c>
      <c r="V35" s="187">
        <f t="shared" ref="V35:W35" si="31">C35/100</f>
        <v>0.96</v>
      </c>
      <c r="W35" s="187">
        <f t="shared" si="31"/>
        <v>2.05</v>
      </c>
      <c r="X35" s="187">
        <f t="shared" si="14"/>
        <v>6.09</v>
      </c>
      <c r="Y35" s="189">
        <f t="shared" si="15"/>
        <v>11.98512</v>
      </c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</row>
    <row r="36" ht="27.0" customHeight="1">
      <c r="A36" s="181">
        <v>16.0</v>
      </c>
      <c r="B36" s="191" t="s">
        <v>26</v>
      </c>
      <c r="C36" s="191">
        <v>90.0</v>
      </c>
      <c r="D36" s="191">
        <v>205.0</v>
      </c>
      <c r="E36" s="191">
        <v>203.0</v>
      </c>
      <c r="F36" s="191">
        <f t="shared" si="5"/>
        <v>0</v>
      </c>
      <c r="G36" s="191">
        <f t="shared" si="6"/>
        <v>69.288975</v>
      </c>
      <c r="H36" s="219">
        <f t="shared" si="7"/>
        <v>69.288975</v>
      </c>
      <c r="I36" s="218">
        <v>1.0</v>
      </c>
      <c r="J36" s="193">
        <f t="shared" si="8"/>
        <v>69.288975</v>
      </c>
      <c r="K36" s="186"/>
      <c r="L36" s="187">
        <f t="shared" si="17"/>
        <v>5.207</v>
      </c>
      <c r="M36" s="181">
        <f t="shared" si="18"/>
        <v>1</v>
      </c>
      <c r="N36" s="181">
        <f t="shared" si="19"/>
        <v>5.207</v>
      </c>
      <c r="O36" s="186"/>
      <c r="P36" s="186"/>
      <c r="Q36" s="188">
        <v>18.5</v>
      </c>
      <c r="R36" s="187">
        <f t="shared" si="9"/>
        <v>2.03</v>
      </c>
      <c r="S36" s="181">
        <f t="shared" si="10"/>
        <v>1</v>
      </c>
      <c r="T36" s="181">
        <f t="shared" si="11"/>
        <v>2.03</v>
      </c>
      <c r="U36" s="186">
        <f t="shared" si="12"/>
        <v>69.288975</v>
      </c>
      <c r="V36" s="187">
        <f t="shared" ref="V36:W36" si="32">C36/100</f>
        <v>0.9</v>
      </c>
      <c r="W36" s="187">
        <f t="shared" si="32"/>
        <v>2.05</v>
      </c>
      <c r="X36" s="187">
        <f t="shared" si="14"/>
        <v>2.03</v>
      </c>
      <c r="Y36" s="189">
        <f t="shared" si="15"/>
        <v>3.74535</v>
      </c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</row>
    <row r="37" ht="27.0" customHeight="1">
      <c r="A37" s="181">
        <v>17.0</v>
      </c>
      <c r="B37" s="191" t="s">
        <v>26</v>
      </c>
      <c r="C37" s="191">
        <v>94.0</v>
      </c>
      <c r="D37" s="191">
        <v>205.0</v>
      </c>
      <c r="E37" s="191">
        <v>207.0</v>
      </c>
      <c r="F37" s="191">
        <f t="shared" si="5"/>
        <v>0</v>
      </c>
      <c r="G37" s="191">
        <f t="shared" si="6"/>
        <v>73.794465</v>
      </c>
      <c r="H37" s="219">
        <f t="shared" si="7"/>
        <v>73.794465</v>
      </c>
      <c r="I37" s="218">
        <v>1.0</v>
      </c>
      <c r="J37" s="193">
        <f t="shared" si="8"/>
        <v>73.794465</v>
      </c>
      <c r="K37" s="186"/>
      <c r="L37" s="187">
        <f t="shared" si="17"/>
        <v>5.207</v>
      </c>
      <c r="M37" s="181">
        <f t="shared" si="18"/>
        <v>1</v>
      </c>
      <c r="N37" s="181">
        <f t="shared" si="19"/>
        <v>5.207</v>
      </c>
      <c r="O37" s="186"/>
      <c r="P37" s="186"/>
      <c r="Q37" s="188">
        <v>18.5</v>
      </c>
      <c r="R37" s="187">
        <f t="shared" si="9"/>
        <v>2.07</v>
      </c>
      <c r="S37" s="181">
        <f t="shared" si="10"/>
        <v>1</v>
      </c>
      <c r="T37" s="181">
        <f t="shared" si="11"/>
        <v>2.07</v>
      </c>
      <c r="U37" s="186">
        <f t="shared" si="12"/>
        <v>73.794465</v>
      </c>
      <c r="V37" s="187">
        <f t="shared" ref="V37:W37" si="33">C37/100</f>
        <v>0.94</v>
      </c>
      <c r="W37" s="187">
        <f t="shared" si="33"/>
        <v>2.05</v>
      </c>
      <c r="X37" s="187">
        <f t="shared" si="14"/>
        <v>2.07</v>
      </c>
      <c r="Y37" s="189">
        <f t="shared" si="15"/>
        <v>3.98889</v>
      </c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</row>
    <row r="38" ht="27.0" customHeight="1">
      <c r="A38" s="181">
        <v>18.0</v>
      </c>
      <c r="B38" s="191" t="s">
        <v>26</v>
      </c>
      <c r="C38" s="191">
        <v>95.0</v>
      </c>
      <c r="D38" s="191">
        <v>205.0</v>
      </c>
      <c r="E38" s="191">
        <v>204.0</v>
      </c>
      <c r="F38" s="191">
        <f t="shared" si="5"/>
        <v>0</v>
      </c>
      <c r="G38" s="191">
        <f t="shared" si="6"/>
        <v>73.49865</v>
      </c>
      <c r="H38" s="219">
        <f t="shared" si="7"/>
        <v>73.49865</v>
      </c>
      <c r="I38" s="218">
        <v>1.0</v>
      </c>
      <c r="J38" s="193">
        <f t="shared" si="8"/>
        <v>73.49865</v>
      </c>
      <c r="K38" s="186"/>
      <c r="L38" s="164">
        <f t="shared" si="17"/>
        <v>5.207</v>
      </c>
      <c r="M38" s="195">
        <f t="shared" si="18"/>
        <v>1</v>
      </c>
      <c r="N38" s="195">
        <f t="shared" si="19"/>
        <v>5.207</v>
      </c>
      <c r="O38" s="186"/>
      <c r="P38" s="186"/>
      <c r="Q38" s="188">
        <v>18.5</v>
      </c>
      <c r="R38" s="187">
        <f t="shared" si="9"/>
        <v>2.04</v>
      </c>
      <c r="S38" s="181">
        <f t="shared" si="10"/>
        <v>1</v>
      </c>
      <c r="T38" s="181">
        <f t="shared" si="11"/>
        <v>2.04</v>
      </c>
      <c r="U38" s="186">
        <f t="shared" si="12"/>
        <v>73.49865</v>
      </c>
      <c r="V38" s="187">
        <f t="shared" ref="V38:W38" si="34">C38/100</f>
        <v>0.95</v>
      </c>
      <c r="W38" s="187">
        <f t="shared" si="34"/>
        <v>2.05</v>
      </c>
      <c r="X38" s="187">
        <f t="shared" si="14"/>
        <v>2.04</v>
      </c>
      <c r="Y38" s="189">
        <f t="shared" si="15"/>
        <v>3.9729</v>
      </c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</row>
    <row r="39" ht="27.0" customHeight="1">
      <c r="A39" s="181">
        <v>19.0</v>
      </c>
      <c r="B39" s="191" t="s">
        <v>26</v>
      </c>
      <c r="C39" s="191">
        <v>88.0</v>
      </c>
      <c r="D39" s="191">
        <v>205.0</v>
      </c>
      <c r="E39" s="191">
        <v>204.0</v>
      </c>
      <c r="F39" s="191">
        <f t="shared" si="5"/>
        <v>0</v>
      </c>
      <c r="G39" s="191">
        <f t="shared" si="6"/>
        <v>68.08296</v>
      </c>
      <c r="H39" s="219">
        <f t="shared" si="7"/>
        <v>68.08296</v>
      </c>
      <c r="I39" s="218">
        <v>2.0</v>
      </c>
      <c r="J39" s="193">
        <f t="shared" si="8"/>
        <v>136.16592</v>
      </c>
      <c r="K39" s="186"/>
      <c r="L39" s="164"/>
      <c r="M39" s="195">
        <f t="shared" si="18"/>
        <v>2</v>
      </c>
      <c r="N39" s="195"/>
      <c r="O39" s="186"/>
      <c r="P39" s="186"/>
      <c r="Q39" s="188">
        <v>18.5</v>
      </c>
      <c r="R39" s="187">
        <f t="shared" si="9"/>
        <v>2.04</v>
      </c>
      <c r="S39" s="181">
        <f t="shared" si="10"/>
        <v>2</v>
      </c>
      <c r="T39" s="181">
        <f t="shared" si="11"/>
        <v>4.08</v>
      </c>
      <c r="U39" s="186">
        <f t="shared" si="12"/>
        <v>68.08296</v>
      </c>
      <c r="V39" s="187">
        <f t="shared" ref="V39:W39" si="35">C39/100</f>
        <v>0.88</v>
      </c>
      <c r="W39" s="187">
        <f t="shared" si="35"/>
        <v>2.05</v>
      </c>
      <c r="X39" s="187">
        <f t="shared" si="14"/>
        <v>4.08</v>
      </c>
      <c r="Y39" s="189">
        <f t="shared" si="15"/>
        <v>7.36032</v>
      </c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</row>
    <row r="40" ht="27.0" customHeight="1">
      <c r="A40" s="181">
        <v>20.0</v>
      </c>
      <c r="B40" s="191" t="s">
        <v>26</v>
      </c>
      <c r="C40" s="191">
        <v>98.0</v>
      </c>
      <c r="D40" s="191">
        <v>205.0</v>
      </c>
      <c r="E40" s="191">
        <v>203.0</v>
      </c>
      <c r="F40" s="191">
        <f t="shared" si="5"/>
        <v>0</v>
      </c>
      <c r="G40" s="191">
        <f t="shared" si="6"/>
        <v>75.447995</v>
      </c>
      <c r="H40" s="219">
        <f t="shared" si="7"/>
        <v>75.447995</v>
      </c>
      <c r="I40" s="218">
        <v>1.0</v>
      </c>
      <c r="J40" s="193">
        <f t="shared" si="8"/>
        <v>75.447995</v>
      </c>
      <c r="K40" s="186"/>
      <c r="L40" s="164"/>
      <c r="M40" s="195">
        <f t="shared" si="18"/>
        <v>1</v>
      </c>
      <c r="N40" s="195"/>
      <c r="O40" s="186"/>
      <c r="P40" s="186"/>
      <c r="Q40" s="188">
        <v>18.5</v>
      </c>
      <c r="R40" s="187">
        <f t="shared" si="9"/>
        <v>2.03</v>
      </c>
      <c r="S40" s="181">
        <f t="shared" si="10"/>
        <v>1</v>
      </c>
      <c r="T40" s="181">
        <f t="shared" si="11"/>
        <v>2.03</v>
      </c>
      <c r="U40" s="186">
        <f t="shared" si="12"/>
        <v>75.447995</v>
      </c>
      <c r="V40" s="187">
        <f t="shared" ref="V40:W40" si="36">C40/100</f>
        <v>0.98</v>
      </c>
      <c r="W40" s="187">
        <f t="shared" si="36"/>
        <v>2.05</v>
      </c>
      <c r="X40" s="187">
        <f t="shared" si="14"/>
        <v>2.03</v>
      </c>
      <c r="Y40" s="189">
        <f t="shared" si="15"/>
        <v>4.07827</v>
      </c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</row>
    <row r="41" ht="27.0" customHeight="1">
      <c r="A41" s="181">
        <v>21.0</v>
      </c>
      <c r="B41" s="191" t="s">
        <v>26</v>
      </c>
      <c r="C41" s="191">
        <v>94.0</v>
      </c>
      <c r="D41" s="191">
        <v>205.0</v>
      </c>
      <c r="E41" s="191">
        <v>204.0</v>
      </c>
      <c r="F41" s="191">
        <f t="shared" si="5"/>
        <v>0</v>
      </c>
      <c r="G41" s="191">
        <f t="shared" si="6"/>
        <v>72.72498</v>
      </c>
      <c r="H41" s="219">
        <f t="shared" si="7"/>
        <v>72.72498</v>
      </c>
      <c r="I41" s="218">
        <v>1.0</v>
      </c>
      <c r="J41" s="193">
        <f t="shared" si="8"/>
        <v>72.72498</v>
      </c>
      <c r="K41" s="186"/>
      <c r="L41" s="164"/>
      <c r="M41" s="195">
        <f t="shared" si="18"/>
        <v>1</v>
      </c>
      <c r="N41" s="195"/>
      <c r="O41" s="186"/>
      <c r="P41" s="186"/>
      <c r="Q41" s="188">
        <v>18.5</v>
      </c>
      <c r="R41" s="187">
        <f t="shared" si="9"/>
        <v>2.04</v>
      </c>
      <c r="S41" s="181">
        <f t="shared" si="10"/>
        <v>1</v>
      </c>
      <c r="T41" s="181">
        <f t="shared" si="11"/>
        <v>2.04</v>
      </c>
      <c r="U41" s="186">
        <f t="shared" si="12"/>
        <v>72.72498</v>
      </c>
      <c r="V41" s="187">
        <f t="shared" ref="V41:W41" si="37">C41/100</f>
        <v>0.94</v>
      </c>
      <c r="W41" s="187">
        <f t="shared" si="37"/>
        <v>2.05</v>
      </c>
      <c r="X41" s="187">
        <f t="shared" si="14"/>
        <v>2.04</v>
      </c>
      <c r="Y41" s="189">
        <f t="shared" si="15"/>
        <v>3.93108</v>
      </c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</row>
    <row r="42" ht="27.0" customHeight="1">
      <c r="A42" s="181">
        <v>22.0</v>
      </c>
      <c r="B42" s="191" t="s">
        <v>26</v>
      </c>
      <c r="C42" s="191">
        <v>83.0</v>
      </c>
      <c r="D42" s="191">
        <v>205.0</v>
      </c>
      <c r="E42" s="191">
        <v>147.0</v>
      </c>
      <c r="F42" s="191">
        <f t="shared" si="5"/>
        <v>0</v>
      </c>
      <c r="G42" s="191">
        <f t="shared" si="6"/>
        <v>46.2722925</v>
      </c>
      <c r="H42" s="219">
        <f t="shared" si="7"/>
        <v>46.2722925</v>
      </c>
      <c r="I42" s="218">
        <v>1.0</v>
      </c>
      <c r="J42" s="193">
        <f t="shared" si="8"/>
        <v>46.2722925</v>
      </c>
      <c r="K42" s="186"/>
      <c r="L42" s="164"/>
      <c r="M42" s="195"/>
      <c r="N42" s="195"/>
      <c r="O42" s="186"/>
      <c r="P42" s="186"/>
      <c r="Q42" s="188">
        <v>18.5</v>
      </c>
      <c r="R42" s="187">
        <f t="shared" si="9"/>
        <v>1.47</v>
      </c>
      <c r="S42" s="181">
        <f t="shared" si="10"/>
        <v>1</v>
      </c>
      <c r="T42" s="181">
        <f t="shared" si="11"/>
        <v>1.47</v>
      </c>
      <c r="U42" s="186">
        <f t="shared" si="12"/>
        <v>46.2722925</v>
      </c>
      <c r="V42" s="187">
        <f t="shared" ref="V42:W42" si="38">C42/100</f>
        <v>0.83</v>
      </c>
      <c r="W42" s="187">
        <f t="shared" si="38"/>
        <v>2.05</v>
      </c>
      <c r="X42" s="187">
        <f t="shared" si="14"/>
        <v>1.47</v>
      </c>
      <c r="Y42" s="189">
        <f t="shared" si="15"/>
        <v>2.501205</v>
      </c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</row>
    <row r="43" ht="27.0" customHeight="1">
      <c r="A43" s="181">
        <v>23.0</v>
      </c>
      <c r="B43" s="191" t="s">
        <v>26</v>
      </c>
      <c r="C43" s="191">
        <v>92.0</v>
      </c>
      <c r="D43" s="191">
        <v>205.0</v>
      </c>
      <c r="E43" s="191">
        <v>203.0</v>
      </c>
      <c r="F43" s="191">
        <f t="shared" si="5"/>
        <v>0</v>
      </c>
      <c r="G43" s="191">
        <f t="shared" si="6"/>
        <v>70.82873</v>
      </c>
      <c r="H43" s="219">
        <f t="shared" si="7"/>
        <v>70.82873</v>
      </c>
      <c r="I43" s="218">
        <v>1.0</v>
      </c>
      <c r="J43" s="193">
        <f t="shared" si="8"/>
        <v>70.82873</v>
      </c>
      <c r="K43" s="186"/>
      <c r="L43" s="164"/>
      <c r="M43" s="195"/>
      <c r="N43" s="195"/>
      <c r="O43" s="186"/>
      <c r="P43" s="186"/>
      <c r="Q43" s="188">
        <v>18.5</v>
      </c>
      <c r="R43" s="187">
        <f t="shared" si="9"/>
        <v>2.03</v>
      </c>
      <c r="S43" s="181">
        <f t="shared" si="10"/>
        <v>1</v>
      </c>
      <c r="T43" s="181">
        <f t="shared" si="11"/>
        <v>2.03</v>
      </c>
      <c r="U43" s="186">
        <f t="shared" si="12"/>
        <v>70.82873</v>
      </c>
      <c r="V43" s="187">
        <f t="shared" ref="V43:W43" si="39">C43/100</f>
        <v>0.92</v>
      </c>
      <c r="W43" s="187">
        <f t="shared" si="39"/>
        <v>2.05</v>
      </c>
      <c r="X43" s="187">
        <f t="shared" si="14"/>
        <v>2.03</v>
      </c>
      <c r="Y43" s="189">
        <f t="shared" si="15"/>
        <v>3.82858</v>
      </c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</row>
    <row r="44" ht="27.0" customHeight="1">
      <c r="A44" s="181">
        <v>24.0</v>
      </c>
      <c r="B44" s="182" t="s">
        <v>80</v>
      </c>
      <c r="C44" s="183">
        <v>86.0</v>
      </c>
      <c r="D44" s="183">
        <v>205.0</v>
      </c>
      <c r="E44" s="183">
        <v>230.0</v>
      </c>
      <c r="F44" s="183">
        <f t="shared" si="5"/>
        <v>0.8</v>
      </c>
      <c r="G44" s="183">
        <f t="shared" si="6"/>
        <v>66.90585</v>
      </c>
      <c r="H44" s="184">
        <f t="shared" si="7"/>
        <v>53.52468</v>
      </c>
      <c r="I44" s="183">
        <v>1.0</v>
      </c>
      <c r="J44" s="193">
        <f t="shared" si="8"/>
        <v>53.52468</v>
      </c>
      <c r="K44" s="186"/>
      <c r="L44" s="164"/>
      <c r="M44" s="195"/>
      <c r="N44" s="195"/>
      <c r="O44" s="186"/>
      <c r="P44" s="186"/>
      <c r="Q44" s="188">
        <v>16.5</v>
      </c>
      <c r="R44" s="187">
        <f t="shared" si="9"/>
        <v>2.3</v>
      </c>
      <c r="S44" s="181">
        <f t="shared" si="10"/>
        <v>1</v>
      </c>
      <c r="T44" s="181">
        <f t="shared" si="11"/>
        <v>2.3</v>
      </c>
      <c r="U44" s="186">
        <f t="shared" si="12"/>
        <v>66.90585</v>
      </c>
      <c r="V44" s="187">
        <f t="shared" ref="V44:W44" si="40">C44/100</f>
        <v>0.86</v>
      </c>
      <c r="W44" s="187">
        <f t="shared" si="40"/>
        <v>2.05</v>
      </c>
      <c r="X44" s="187">
        <f t="shared" si="14"/>
        <v>2.3</v>
      </c>
      <c r="Y44" s="189">
        <f t="shared" si="15"/>
        <v>4.0549</v>
      </c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</row>
    <row r="45" ht="27.0" customHeight="1">
      <c r="A45" s="181">
        <v>25.0</v>
      </c>
      <c r="B45" s="191" t="s">
        <v>77</v>
      </c>
      <c r="C45" s="191">
        <v>101.0</v>
      </c>
      <c r="D45" s="191">
        <v>205.0</v>
      </c>
      <c r="E45" s="191">
        <v>231.0</v>
      </c>
      <c r="F45" s="191">
        <f t="shared" si="5"/>
        <v>0</v>
      </c>
      <c r="G45" s="191">
        <f t="shared" si="6"/>
        <v>78.9171075</v>
      </c>
      <c r="H45" s="219">
        <f t="shared" si="7"/>
        <v>78.9171075</v>
      </c>
      <c r="I45" s="218">
        <v>1.0</v>
      </c>
      <c r="J45" s="193">
        <f t="shared" si="8"/>
        <v>78.9171075</v>
      </c>
      <c r="K45" s="186"/>
      <c r="L45" s="164"/>
      <c r="M45" s="195"/>
      <c r="N45" s="195"/>
      <c r="O45" s="186"/>
      <c r="P45" s="186"/>
      <c r="Q45" s="196">
        <v>16.5</v>
      </c>
      <c r="R45" s="187">
        <f t="shared" si="9"/>
        <v>2.31</v>
      </c>
      <c r="S45" s="181">
        <f t="shared" si="10"/>
        <v>1</v>
      </c>
      <c r="T45" s="181">
        <f t="shared" si="11"/>
        <v>2.31</v>
      </c>
      <c r="U45" s="186">
        <f t="shared" si="12"/>
        <v>78.9171075</v>
      </c>
      <c r="V45" s="187">
        <f t="shared" ref="V45:W45" si="41">C45/100</f>
        <v>1.01</v>
      </c>
      <c r="W45" s="187">
        <f t="shared" si="41"/>
        <v>2.05</v>
      </c>
      <c r="X45" s="187">
        <f t="shared" si="14"/>
        <v>2.31</v>
      </c>
      <c r="Y45" s="189">
        <f t="shared" si="15"/>
        <v>4.782855</v>
      </c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</row>
    <row r="46" ht="27.0" customHeight="1">
      <c r="A46" s="181">
        <v>26.0</v>
      </c>
      <c r="B46" s="191" t="s">
        <v>77</v>
      </c>
      <c r="C46" s="191">
        <v>105.0</v>
      </c>
      <c r="D46" s="191">
        <v>205.0</v>
      </c>
      <c r="E46" s="191">
        <v>231.0</v>
      </c>
      <c r="F46" s="191">
        <f t="shared" si="5"/>
        <v>0</v>
      </c>
      <c r="G46" s="191">
        <f t="shared" si="6"/>
        <v>82.0425375</v>
      </c>
      <c r="H46" s="219">
        <f t="shared" si="7"/>
        <v>82.0425375</v>
      </c>
      <c r="I46" s="218">
        <v>1.0</v>
      </c>
      <c r="J46" s="193">
        <f t="shared" si="8"/>
        <v>82.0425375</v>
      </c>
      <c r="K46" s="186"/>
      <c r="L46" s="164"/>
      <c r="M46" s="195"/>
      <c r="N46" s="195"/>
      <c r="O46" s="186"/>
      <c r="P46" s="186"/>
      <c r="Q46" s="196">
        <v>16.5</v>
      </c>
      <c r="R46" s="187">
        <f t="shared" si="9"/>
        <v>2.31</v>
      </c>
      <c r="S46" s="181">
        <f t="shared" si="10"/>
        <v>1</v>
      </c>
      <c r="T46" s="181">
        <f t="shared" si="11"/>
        <v>2.31</v>
      </c>
      <c r="U46" s="186">
        <f t="shared" si="12"/>
        <v>82.0425375</v>
      </c>
      <c r="V46" s="187">
        <f t="shared" ref="V46:W46" si="42">C46/100</f>
        <v>1.05</v>
      </c>
      <c r="W46" s="187">
        <f t="shared" si="42"/>
        <v>2.05</v>
      </c>
      <c r="X46" s="187">
        <f t="shared" si="14"/>
        <v>2.31</v>
      </c>
      <c r="Y46" s="189">
        <f t="shared" si="15"/>
        <v>4.972275</v>
      </c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</row>
    <row r="47" ht="27.0" customHeight="1">
      <c r="A47" s="181">
        <v>27.0</v>
      </c>
      <c r="B47" s="191" t="s">
        <v>77</v>
      </c>
      <c r="C47" s="191">
        <v>95.0</v>
      </c>
      <c r="D47" s="191">
        <v>205.0</v>
      </c>
      <c r="E47" s="191">
        <v>232.0</v>
      </c>
      <c r="F47" s="191">
        <f t="shared" si="5"/>
        <v>0</v>
      </c>
      <c r="G47" s="191">
        <f t="shared" si="6"/>
        <v>74.5503</v>
      </c>
      <c r="H47" s="219">
        <f t="shared" si="7"/>
        <v>74.5503</v>
      </c>
      <c r="I47" s="218">
        <v>1.0</v>
      </c>
      <c r="J47" s="193">
        <f t="shared" si="8"/>
        <v>74.5503</v>
      </c>
      <c r="K47" s="186"/>
      <c r="L47" s="164"/>
      <c r="M47" s="195"/>
      <c r="N47" s="195"/>
      <c r="O47" s="186"/>
      <c r="P47" s="186"/>
      <c r="Q47" s="196">
        <v>16.5</v>
      </c>
      <c r="R47" s="187">
        <f t="shared" si="9"/>
        <v>2.32</v>
      </c>
      <c r="S47" s="181">
        <f t="shared" si="10"/>
        <v>1</v>
      </c>
      <c r="T47" s="181">
        <f t="shared" si="11"/>
        <v>2.32</v>
      </c>
      <c r="U47" s="186">
        <f t="shared" si="12"/>
        <v>74.5503</v>
      </c>
      <c r="V47" s="187">
        <f t="shared" ref="V47:W47" si="43">C47/100</f>
        <v>0.95</v>
      </c>
      <c r="W47" s="187">
        <f t="shared" si="43"/>
        <v>2.05</v>
      </c>
      <c r="X47" s="187">
        <f t="shared" si="14"/>
        <v>2.32</v>
      </c>
      <c r="Y47" s="189">
        <f t="shared" si="15"/>
        <v>4.5182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</row>
    <row r="48" ht="27.0" customHeight="1">
      <c r="A48" s="181">
        <v>28.0</v>
      </c>
      <c r="B48" s="191" t="s">
        <v>77</v>
      </c>
      <c r="C48" s="191">
        <v>99.0</v>
      </c>
      <c r="D48" s="191">
        <v>205.0</v>
      </c>
      <c r="E48" s="191">
        <v>232.0</v>
      </c>
      <c r="F48" s="191">
        <f t="shared" si="5"/>
        <v>0</v>
      </c>
      <c r="G48" s="191">
        <f t="shared" si="6"/>
        <v>77.68926</v>
      </c>
      <c r="H48" s="219">
        <f t="shared" si="7"/>
        <v>77.68926</v>
      </c>
      <c r="I48" s="218">
        <v>1.0</v>
      </c>
      <c r="J48" s="194">
        <f t="shared" si="8"/>
        <v>77.68926</v>
      </c>
      <c r="K48" s="139"/>
      <c r="L48" s="197"/>
      <c r="M48" s="198"/>
      <c r="N48" s="198"/>
      <c r="O48" s="139"/>
      <c r="P48" s="139"/>
      <c r="Q48" s="141">
        <v>16.5</v>
      </c>
      <c r="R48" s="187">
        <f t="shared" si="9"/>
        <v>2.32</v>
      </c>
      <c r="S48" s="181">
        <f t="shared" si="10"/>
        <v>1</v>
      </c>
      <c r="T48" s="181">
        <f t="shared" si="11"/>
        <v>2.32</v>
      </c>
      <c r="U48" s="186">
        <f t="shared" si="12"/>
        <v>77.68926</v>
      </c>
      <c r="V48" s="187">
        <f t="shared" ref="V48:W48" si="44">C48/100</f>
        <v>0.99</v>
      </c>
      <c r="W48" s="187">
        <f t="shared" si="44"/>
        <v>2.05</v>
      </c>
      <c r="X48" s="187">
        <f t="shared" si="14"/>
        <v>2.32</v>
      </c>
      <c r="Y48" s="189">
        <f t="shared" si="15"/>
        <v>4.70844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</row>
    <row r="49" ht="27.0" customHeight="1">
      <c r="A49" s="181">
        <v>29.0</v>
      </c>
      <c r="B49" s="191" t="s">
        <v>77</v>
      </c>
      <c r="C49" s="191">
        <v>98.0</v>
      </c>
      <c r="D49" s="191">
        <v>205.0</v>
      </c>
      <c r="E49" s="191">
        <v>232.0</v>
      </c>
      <c r="F49" s="191">
        <f t="shared" si="5"/>
        <v>0</v>
      </c>
      <c r="G49" s="191">
        <f t="shared" si="6"/>
        <v>76.90452</v>
      </c>
      <c r="H49" s="219">
        <f t="shared" si="7"/>
        <v>76.90452</v>
      </c>
      <c r="I49" s="218">
        <v>1.0</v>
      </c>
      <c r="J49" s="194">
        <f t="shared" si="8"/>
        <v>76.90452</v>
      </c>
      <c r="K49" s="139"/>
      <c r="L49" s="197"/>
      <c r="M49" s="198"/>
      <c r="N49" s="198"/>
      <c r="O49" s="139"/>
      <c r="P49" s="139"/>
      <c r="Q49" s="141">
        <v>16.5</v>
      </c>
      <c r="R49" s="187">
        <f t="shared" si="9"/>
        <v>2.32</v>
      </c>
      <c r="S49" s="181">
        <f t="shared" si="10"/>
        <v>1</v>
      </c>
      <c r="T49" s="181">
        <f t="shared" si="11"/>
        <v>2.32</v>
      </c>
      <c r="U49" s="186">
        <f t="shared" si="12"/>
        <v>76.90452</v>
      </c>
      <c r="V49" s="187">
        <f t="shared" ref="V49:W49" si="45">C49/100</f>
        <v>0.98</v>
      </c>
      <c r="W49" s="187">
        <f t="shared" si="45"/>
        <v>2.05</v>
      </c>
      <c r="X49" s="187">
        <f t="shared" si="14"/>
        <v>2.32</v>
      </c>
      <c r="Y49" s="189">
        <f t="shared" si="15"/>
        <v>4.66088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</row>
    <row r="50" ht="27.0" customHeight="1">
      <c r="A50" s="181">
        <v>30.0</v>
      </c>
      <c r="B50" s="191" t="s">
        <v>77</v>
      </c>
      <c r="C50" s="191">
        <v>88.0</v>
      </c>
      <c r="D50" s="191">
        <v>205.0</v>
      </c>
      <c r="E50" s="191">
        <v>231.0</v>
      </c>
      <c r="F50" s="191">
        <f t="shared" si="5"/>
        <v>0</v>
      </c>
      <c r="G50" s="191">
        <f t="shared" si="6"/>
        <v>68.75946</v>
      </c>
      <c r="H50" s="219">
        <f t="shared" si="7"/>
        <v>68.75946</v>
      </c>
      <c r="I50" s="218">
        <v>1.0</v>
      </c>
      <c r="J50" s="194">
        <f t="shared" si="8"/>
        <v>68.75946</v>
      </c>
      <c r="K50" s="139"/>
      <c r="L50" s="197"/>
      <c r="M50" s="198"/>
      <c r="N50" s="198"/>
      <c r="O50" s="139"/>
      <c r="P50" s="139"/>
      <c r="Q50" s="141">
        <v>16.5</v>
      </c>
      <c r="R50" s="187">
        <f t="shared" si="9"/>
        <v>2.31</v>
      </c>
      <c r="S50" s="181">
        <f t="shared" si="10"/>
        <v>1</v>
      </c>
      <c r="T50" s="181">
        <f t="shared" si="11"/>
        <v>2.31</v>
      </c>
      <c r="U50" s="186">
        <f t="shared" si="12"/>
        <v>68.75946</v>
      </c>
      <c r="V50" s="187">
        <f t="shared" ref="V50:W50" si="46">C50/100</f>
        <v>0.88</v>
      </c>
      <c r="W50" s="187">
        <f t="shared" si="46"/>
        <v>2.05</v>
      </c>
      <c r="X50" s="187">
        <f t="shared" si="14"/>
        <v>2.31</v>
      </c>
      <c r="Y50" s="189">
        <f t="shared" si="15"/>
        <v>4.16724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ht="27.0" customHeight="1">
      <c r="A51" s="181">
        <v>31.0</v>
      </c>
      <c r="B51" s="191" t="s">
        <v>77</v>
      </c>
      <c r="C51" s="191">
        <v>89.0</v>
      </c>
      <c r="D51" s="191">
        <v>205.0</v>
      </c>
      <c r="E51" s="191">
        <v>232.0</v>
      </c>
      <c r="F51" s="191">
        <f t="shared" si="5"/>
        <v>0</v>
      </c>
      <c r="G51" s="191">
        <f t="shared" si="6"/>
        <v>69.84186</v>
      </c>
      <c r="H51" s="219">
        <f t="shared" si="7"/>
        <v>69.84186</v>
      </c>
      <c r="I51" s="218">
        <v>1.0</v>
      </c>
      <c r="J51" s="194">
        <f t="shared" si="8"/>
        <v>69.84186</v>
      </c>
      <c r="K51" s="139"/>
      <c r="L51" s="197"/>
      <c r="M51" s="198"/>
      <c r="N51" s="198"/>
      <c r="O51" s="139"/>
      <c r="P51" s="139"/>
      <c r="Q51" s="141">
        <v>16.5</v>
      </c>
      <c r="R51" s="187">
        <f t="shared" si="9"/>
        <v>2.32</v>
      </c>
      <c r="S51" s="181">
        <f t="shared" si="10"/>
        <v>1</v>
      </c>
      <c r="T51" s="181">
        <f t="shared" si="11"/>
        <v>2.32</v>
      </c>
      <c r="U51" s="186">
        <f t="shared" si="12"/>
        <v>69.84186</v>
      </c>
      <c r="V51" s="187">
        <f t="shared" ref="V51:W51" si="47">C51/100</f>
        <v>0.89</v>
      </c>
      <c r="W51" s="187">
        <f t="shared" si="47"/>
        <v>2.05</v>
      </c>
      <c r="X51" s="187">
        <f t="shared" si="14"/>
        <v>2.32</v>
      </c>
      <c r="Y51" s="189">
        <f t="shared" si="15"/>
        <v>4.23284</v>
      </c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</row>
    <row r="52" ht="27.0" customHeight="1">
      <c r="A52" s="181">
        <v>32.0</v>
      </c>
      <c r="B52" s="191" t="s">
        <v>77</v>
      </c>
      <c r="C52" s="191">
        <v>90.0</v>
      </c>
      <c r="D52" s="191">
        <v>205.0</v>
      </c>
      <c r="E52" s="191">
        <v>232.0</v>
      </c>
      <c r="F52" s="191">
        <f t="shared" si="5"/>
        <v>0</v>
      </c>
      <c r="G52" s="191">
        <f t="shared" si="6"/>
        <v>70.6266</v>
      </c>
      <c r="H52" s="219">
        <f t="shared" si="7"/>
        <v>70.6266</v>
      </c>
      <c r="I52" s="218">
        <v>1.0</v>
      </c>
      <c r="J52" s="194">
        <f t="shared" si="8"/>
        <v>70.6266</v>
      </c>
      <c r="K52" s="139"/>
      <c r="L52" s="197"/>
      <c r="M52" s="198"/>
      <c r="N52" s="198"/>
      <c r="O52" s="139"/>
      <c r="P52" s="139"/>
      <c r="Q52" s="141">
        <v>16.5</v>
      </c>
      <c r="R52" s="187">
        <f t="shared" si="9"/>
        <v>2.32</v>
      </c>
      <c r="S52" s="181">
        <f t="shared" si="10"/>
        <v>1</v>
      </c>
      <c r="T52" s="181">
        <f t="shared" si="11"/>
        <v>2.32</v>
      </c>
      <c r="U52" s="186">
        <f t="shared" si="12"/>
        <v>70.6266</v>
      </c>
      <c r="V52" s="187">
        <f t="shared" ref="V52:W52" si="48">C52/100</f>
        <v>0.9</v>
      </c>
      <c r="W52" s="187">
        <f t="shared" si="48"/>
        <v>2.05</v>
      </c>
      <c r="X52" s="187">
        <f t="shared" si="14"/>
        <v>2.32</v>
      </c>
      <c r="Y52" s="189">
        <f t="shared" si="15"/>
        <v>4.2804</v>
      </c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</row>
    <row r="53" ht="27.0" customHeight="1">
      <c r="A53" s="181">
        <v>33.0</v>
      </c>
      <c r="B53" s="191" t="s">
        <v>77</v>
      </c>
      <c r="C53" s="191">
        <v>92.0</v>
      </c>
      <c r="D53" s="191">
        <v>205.0</v>
      </c>
      <c r="E53" s="191">
        <v>217.0</v>
      </c>
      <c r="F53" s="191">
        <f t="shared" si="5"/>
        <v>0</v>
      </c>
      <c r="G53" s="191">
        <f t="shared" si="6"/>
        <v>67.52823</v>
      </c>
      <c r="H53" s="219">
        <f t="shared" si="7"/>
        <v>67.52823</v>
      </c>
      <c r="I53" s="218">
        <v>1.0</v>
      </c>
      <c r="J53" s="194">
        <f t="shared" si="8"/>
        <v>67.52823</v>
      </c>
      <c r="K53" s="139"/>
      <c r="L53" s="197"/>
      <c r="M53" s="198"/>
      <c r="N53" s="198"/>
      <c r="O53" s="139"/>
      <c r="P53" s="139"/>
      <c r="Q53" s="141">
        <v>16.5</v>
      </c>
      <c r="R53" s="187">
        <f t="shared" si="9"/>
        <v>2.17</v>
      </c>
      <c r="S53" s="181">
        <f t="shared" si="10"/>
        <v>1</v>
      </c>
      <c r="T53" s="181">
        <f t="shared" si="11"/>
        <v>2.17</v>
      </c>
      <c r="U53" s="186">
        <f t="shared" si="12"/>
        <v>67.52823</v>
      </c>
      <c r="V53" s="187">
        <f t="shared" ref="V53:W53" si="49">C53/100</f>
        <v>0.92</v>
      </c>
      <c r="W53" s="187">
        <f t="shared" si="49"/>
        <v>2.05</v>
      </c>
      <c r="X53" s="187">
        <f t="shared" si="14"/>
        <v>2.17</v>
      </c>
      <c r="Y53" s="189">
        <f t="shared" si="15"/>
        <v>4.09262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</row>
    <row r="54" ht="27.0" customHeight="1">
      <c r="A54" s="181">
        <v>34.0</v>
      </c>
      <c r="B54" s="191" t="s">
        <v>77</v>
      </c>
      <c r="C54" s="191">
        <v>91.0</v>
      </c>
      <c r="D54" s="191">
        <v>205.0</v>
      </c>
      <c r="E54" s="191">
        <v>230.0</v>
      </c>
      <c r="F54" s="191">
        <f t="shared" si="5"/>
        <v>0</v>
      </c>
      <c r="G54" s="191">
        <f t="shared" si="6"/>
        <v>70.795725</v>
      </c>
      <c r="H54" s="219">
        <f t="shared" si="7"/>
        <v>70.795725</v>
      </c>
      <c r="I54" s="218">
        <v>1.0</v>
      </c>
      <c r="J54" s="194">
        <f t="shared" si="8"/>
        <v>70.795725</v>
      </c>
      <c r="K54" s="139"/>
      <c r="L54" s="197"/>
      <c r="M54" s="198"/>
      <c r="N54" s="198"/>
      <c r="O54" s="139"/>
      <c r="P54" s="139"/>
      <c r="Q54" s="141">
        <v>16.5</v>
      </c>
      <c r="R54" s="187">
        <f t="shared" si="9"/>
        <v>2.3</v>
      </c>
      <c r="S54" s="181">
        <f t="shared" si="10"/>
        <v>1</v>
      </c>
      <c r="T54" s="181">
        <f t="shared" si="11"/>
        <v>2.3</v>
      </c>
      <c r="U54" s="186">
        <f t="shared" si="12"/>
        <v>70.795725</v>
      </c>
      <c r="V54" s="187">
        <f t="shared" ref="V54:W54" si="50">C54/100</f>
        <v>0.91</v>
      </c>
      <c r="W54" s="187">
        <f t="shared" si="50"/>
        <v>2.05</v>
      </c>
      <c r="X54" s="187">
        <f t="shared" si="14"/>
        <v>2.3</v>
      </c>
      <c r="Y54" s="189">
        <f t="shared" si="15"/>
        <v>4.29065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</row>
    <row r="55" ht="27.0" customHeight="1">
      <c r="A55" s="181">
        <v>35.0</v>
      </c>
      <c r="B55" s="191" t="s">
        <v>77</v>
      </c>
      <c r="C55" s="191">
        <v>93.0</v>
      </c>
      <c r="D55" s="191">
        <v>205.0</v>
      </c>
      <c r="E55" s="191">
        <v>230.0</v>
      </c>
      <c r="F55" s="191">
        <f t="shared" si="5"/>
        <v>0</v>
      </c>
      <c r="G55" s="191">
        <f t="shared" si="6"/>
        <v>72.351675</v>
      </c>
      <c r="H55" s="219">
        <f t="shared" si="7"/>
        <v>72.351675</v>
      </c>
      <c r="I55" s="218">
        <v>2.0</v>
      </c>
      <c r="J55" s="194">
        <f t="shared" si="8"/>
        <v>144.70335</v>
      </c>
      <c r="K55" s="139"/>
      <c r="L55" s="197"/>
      <c r="M55" s="198"/>
      <c r="N55" s="198"/>
      <c r="O55" s="139"/>
      <c r="P55" s="139"/>
      <c r="Q55" s="141">
        <v>16.5</v>
      </c>
      <c r="R55" s="187">
        <f t="shared" si="9"/>
        <v>2.3</v>
      </c>
      <c r="S55" s="181">
        <f t="shared" si="10"/>
        <v>2</v>
      </c>
      <c r="T55" s="181">
        <f t="shared" si="11"/>
        <v>4.6</v>
      </c>
      <c r="U55" s="186">
        <f t="shared" si="12"/>
        <v>72.351675</v>
      </c>
      <c r="V55" s="187">
        <f t="shared" ref="V55:W55" si="51">C55/100</f>
        <v>0.93</v>
      </c>
      <c r="W55" s="187">
        <f t="shared" si="51"/>
        <v>2.05</v>
      </c>
      <c r="X55" s="187">
        <f t="shared" si="14"/>
        <v>4.6</v>
      </c>
      <c r="Y55" s="189">
        <f t="shared" si="15"/>
        <v>8.7699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</row>
    <row r="56" ht="27.0" customHeight="1">
      <c r="A56" s="181">
        <v>36.0</v>
      </c>
      <c r="B56" s="191" t="s">
        <v>77</v>
      </c>
      <c r="C56" s="191">
        <v>93.0</v>
      </c>
      <c r="D56" s="191">
        <v>205.0</v>
      </c>
      <c r="E56" s="191">
        <v>235.0</v>
      </c>
      <c r="F56" s="191">
        <f t="shared" si="5"/>
        <v>0</v>
      </c>
      <c r="G56" s="191">
        <f t="shared" si="6"/>
        <v>73.9245375</v>
      </c>
      <c r="H56" s="219">
        <f t="shared" si="7"/>
        <v>73.9245375</v>
      </c>
      <c r="I56" s="218">
        <v>1.0</v>
      </c>
      <c r="J56" s="194">
        <f t="shared" si="8"/>
        <v>73.9245375</v>
      </c>
      <c r="K56" s="139"/>
      <c r="L56" s="197"/>
      <c r="M56" s="198"/>
      <c r="N56" s="198"/>
      <c r="O56" s="139"/>
      <c r="P56" s="139"/>
      <c r="Q56" s="141">
        <v>16.5</v>
      </c>
      <c r="R56" s="187">
        <f t="shared" si="9"/>
        <v>2.35</v>
      </c>
      <c r="S56" s="181">
        <f t="shared" si="10"/>
        <v>1</v>
      </c>
      <c r="T56" s="181">
        <f t="shared" si="11"/>
        <v>2.35</v>
      </c>
      <c r="U56" s="186">
        <f t="shared" si="12"/>
        <v>73.9245375</v>
      </c>
      <c r="V56" s="187">
        <f t="shared" ref="V56:W56" si="52">C56/100</f>
        <v>0.93</v>
      </c>
      <c r="W56" s="187">
        <f t="shared" si="52"/>
        <v>2.05</v>
      </c>
      <c r="X56" s="187">
        <f t="shared" si="14"/>
        <v>2.35</v>
      </c>
      <c r="Y56" s="189">
        <f t="shared" si="15"/>
        <v>4.480275</v>
      </c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</row>
    <row r="57" ht="27.0" customHeight="1">
      <c r="A57" s="181">
        <v>37.0</v>
      </c>
      <c r="B57" s="191" t="s">
        <v>77</v>
      </c>
      <c r="C57" s="191">
        <v>94.0</v>
      </c>
      <c r="D57" s="191">
        <v>205.0</v>
      </c>
      <c r="E57" s="191">
        <v>230.0</v>
      </c>
      <c r="F57" s="191">
        <f t="shared" si="5"/>
        <v>0</v>
      </c>
      <c r="G57" s="191">
        <f t="shared" si="6"/>
        <v>73.12965</v>
      </c>
      <c r="H57" s="219">
        <f t="shared" si="7"/>
        <v>73.12965</v>
      </c>
      <c r="I57" s="218">
        <v>1.0</v>
      </c>
      <c r="J57" s="194">
        <f t="shared" si="8"/>
        <v>73.12965</v>
      </c>
      <c r="K57" s="139"/>
      <c r="L57" s="197"/>
      <c r="M57" s="198"/>
      <c r="N57" s="198"/>
      <c r="O57" s="139"/>
      <c r="P57" s="139"/>
      <c r="Q57" s="141">
        <v>16.5</v>
      </c>
      <c r="R57" s="187">
        <f t="shared" si="9"/>
        <v>2.3</v>
      </c>
      <c r="S57" s="181">
        <f t="shared" si="10"/>
        <v>1</v>
      </c>
      <c r="T57" s="181">
        <f t="shared" si="11"/>
        <v>2.3</v>
      </c>
      <c r="U57" s="186">
        <f t="shared" si="12"/>
        <v>73.12965</v>
      </c>
      <c r="V57" s="187">
        <f t="shared" ref="V57:W57" si="53">C57/100</f>
        <v>0.94</v>
      </c>
      <c r="W57" s="187">
        <f t="shared" si="53"/>
        <v>2.05</v>
      </c>
      <c r="X57" s="187">
        <f t="shared" si="14"/>
        <v>2.3</v>
      </c>
      <c r="Y57" s="189">
        <f t="shared" si="15"/>
        <v>4.4321</v>
      </c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</row>
    <row r="58" ht="27.0" customHeight="1">
      <c r="A58" s="181">
        <v>38.0</v>
      </c>
      <c r="B58" s="191" t="s">
        <v>77</v>
      </c>
      <c r="C58" s="191">
        <v>90.0</v>
      </c>
      <c r="D58" s="191">
        <v>205.0</v>
      </c>
      <c r="E58" s="191">
        <v>168.0</v>
      </c>
      <c r="F58" s="191">
        <f t="shared" si="5"/>
        <v>0</v>
      </c>
      <c r="G58" s="191">
        <f t="shared" si="6"/>
        <v>51.1434</v>
      </c>
      <c r="H58" s="219">
        <f t="shared" si="7"/>
        <v>51.1434</v>
      </c>
      <c r="I58" s="218">
        <v>1.0</v>
      </c>
      <c r="J58" s="194">
        <f t="shared" si="8"/>
        <v>51.1434</v>
      </c>
      <c r="K58" s="139"/>
      <c r="L58" s="197"/>
      <c r="M58" s="198"/>
      <c r="N58" s="198"/>
      <c r="O58" s="139"/>
      <c r="P58" s="139"/>
      <c r="Q58" s="141">
        <v>16.5</v>
      </c>
      <c r="R58" s="187">
        <f t="shared" si="9"/>
        <v>1.68</v>
      </c>
      <c r="S58" s="181">
        <f t="shared" si="10"/>
        <v>1</v>
      </c>
      <c r="T58" s="181">
        <f t="shared" si="11"/>
        <v>1.68</v>
      </c>
      <c r="U58" s="186">
        <f t="shared" si="12"/>
        <v>51.1434</v>
      </c>
      <c r="V58" s="187">
        <f t="shared" ref="V58:W58" si="54">C58/100</f>
        <v>0.9</v>
      </c>
      <c r="W58" s="187">
        <f t="shared" si="54"/>
        <v>2.05</v>
      </c>
      <c r="X58" s="187">
        <f t="shared" si="14"/>
        <v>1.68</v>
      </c>
      <c r="Y58" s="189">
        <f t="shared" si="15"/>
        <v>3.0996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</row>
    <row r="59" ht="27.0" customHeight="1">
      <c r="A59" s="181">
        <v>39.0</v>
      </c>
      <c r="B59" s="182" t="s">
        <v>104</v>
      </c>
      <c r="C59" s="183">
        <v>94.0</v>
      </c>
      <c r="D59" s="183">
        <v>187.0</v>
      </c>
      <c r="E59" s="183">
        <v>226.0</v>
      </c>
      <c r="F59" s="183">
        <f t="shared" si="5"/>
        <v>0.8</v>
      </c>
      <c r="G59" s="183">
        <f t="shared" si="6"/>
        <v>117.192526</v>
      </c>
      <c r="H59" s="184">
        <f t="shared" si="7"/>
        <v>93.7540208</v>
      </c>
      <c r="I59" s="183">
        <v>1.0</v>
      </c>
      <c r="J59" s="194">
        <f t="shared" si="8"/>
        <v>93.7540208</v>
      </c>
      <c r="K59" s="139"/>
      <c r="L59" s="197"/>
      <c r="M59" s="198"/>
      <c r="N59" s="198"/>
      <c r="O59" s="139"/>
      <c r="P59" s="139"/>
      <c r="Q59" s="141">
        <v>29.5</v>
      </c>
      <c r="R59" s="187">
        <f t="shared" si="9"/>
        <v>2.26</v>
      </c>
      <c r="S59" s="181">
        <f t="shared" si="10"/>
        <v>1</v>
      </c>
      <c r="T59" s="181">
        <f t="shared" si="11"/>
        <v>2.26</v>
      </c>
      <c r="U59" s="186">
        <f t="shared" si="12"/>
        <v>117.192526</v>
      </c>
      <c r="V59" s="187">
        <f t="shared" ref="V59:W59" si="55">C59/100</f>
        <v>0.94</v>
      </c>
      <c r="W59" s="187">
        <f t="shared" si="55"/>
        <v>1.87</v>
      </c>
      <c r="X59" s="187">
        <f t="shared" si="14"/>
        <v>2.26</v>
      </c>
      <c r="Y59" s="189">
        <f t="shared" si="15"/>
        <v>3.972628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ht="27.0" customHeight="1">
      <c r="A60" s="181">
        <v>40.0</v>
      </c>
      <c r="B60" s="191" t="s">
        <v>99</v>
      </c>
      <c r="C60" s="191">
        <v>93.0</v>
      </c>
      <c r="D60" s="191">
        <v>187.0</v>
      </c>
      <c r="E60" s="191">
        <v>232.0</v>
      </c>
      <c r="F60" s="191">
        <f t="shared" si="5"/>
        <v>0</v>
      </c>
      <c r="G60" s="191">
        <f t="shared" si="6"/>
        <v>119.024004</v>
      </c>
      <c r="H60" s="219">
        <f t="shared" si="7"/>
        <v>119.024004</v>
      </c>
      <c r="I60" s="218">
        <v>1.0</v>
      </c>
      <c r="J60" s="194">
        <f t="shared" si="8"/>
        <v>119.024004</v>
      </c>
      <c r="K60" s="139"/>
      <c r="L60" s="197"/>
      <c r="M60" s="198"/>
      <c r="N60" s="198"/>
      <c r="O60" s="139"/>
      <c r="P60" s="139"/>
      <c r="Q60" s="141">
        <v>29.5</v>
      </c>
      <c r="R60" s="187">
        <f t="shared" si="9"/>
        <v>2.32</v>
      </c>
      <c r="S60" s="181">
        <f t="shared" si="10"/>
        <v>1</v>
      </c>
      <c r="T60" s="181">
        <f t="shared" si="11"/>
        <v>2.32</v>
      </c>
      <c r="U60" s="186">
        <f t="shared" si="12"/>
        <v>119.024004</v>
      </c>
      <c r="V60" s="187">
        <f t="shared" ref="V60:W60" si="56">C60/100</f>
        <v>0.93</v>
      </c>
      <c r="W60" s="187">
        <f t="shared" si="56"/>
        <v>1.87</v>
      </c>
      <c r="X60" s="187">
        <f t="shared" si="14"/>
        <v>2.32</v>
      </c>
      <c r="Y60" s="189">
        <f t="shared" si="15"/>
        <v>4.034712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ht="27.0" customHeight="1">
      <c r="A61" s="181">
        <v>41.0</v>
      </c>
      <c r="B61" s="191" t="s">
        <v>99</v>
      </c>
      <c r="C61" s="191">
        <v>97.0</v>
      </c>
      <c r="D61" s="191">
        <v>187.0</v>
      </c>
      <c r="E61" s="191">
        <v>232.0</v>
      </c>
      <c r="F61" s="191">
        <f t="shared" si="5"/>
        <v>0</v>
      </c>
      <c r="G61" s="191">
        <f t="shared" si="6"/>
        <v>124.143316</v>
      </c>
      <c r="H61" s="219">
        <f t="shared" si="7"/>
        <v>124.143316</v>
      </c>
      <c r="I61" s="218">
        <v>1.0</v>
      </c>
      <c r="J61" s="194">
        <f t="shared" si="8"/>
        <v>124.143316</v>
      </c>
      <c r="K61" s="139"/>
      <c r="L61" s="197"/>
      <c r="M61" s="198"/>
      <c r="N61" s="198"/>
      <c r="O61" s="139"/>
      <c r="P61" s="139"/>
      <c r="Q61" s="141">
        <v>29.5</v>
      </c>
      <c r="R61" s="187">
        <f t="shared" si="9"/>
        <v>2.32</v>
      </c>
      <c r="S61" s="181">
        <f t="shared" si="10"/>
        <v>1</v>
      </c>
      <c r="T61" s="181">
        <f t="shared" si="11"/>
        <v>2.32</v>
      </c>
      <c r="U61" s="186">
        <f t="shared" si="12"/>
        <v>124.143316</v>
      </c>
      <c r="V61" s="187">
        <f t="shared" ref="V61:W61" si="57">C61/100</f>
        <v>0.97</v>
      </c>
      <c r="W61" s="187">
        <f t="shared" si="57"/>
        <v>1.87</v>
      </c>
      <c r="X61" s="187">
        <f t="shared" si="14"/>
        <v>2.32</v>
      </c>
      <c r="Y61" s="189">
        <f t="shared" si="15"/>
        <v>4.208248</v>
      </c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ht="27.0" customHeight="1">
      <c r="A62" s="181">
        <v>42.0</v>
      </c>
      <c r="B62" s="191" t="s">
        <v>99</v>
      </c>
      <c r="C62" s="191">
        <v>96.0</v>
      </c>
      <c r="D62" s="191">
        <v>187.0</v>
      </c>
      <c r="E62" s="191">
        <v>234.0</v>
      </c>
      <c r="F62" s="191">
        <f t="shared" si="5"/>
        <v>0</v>
      </c>
      <c r="G62" s="191">
        <f t="shared" si="6"/>
        <v>123.922656</v>
      </c>
      <c r="H62" s="219">
        <f t="shared" si="7"/>
        <v>123.922656</v>
      </c>
      <c r="I62" s="218">
        <v>1.0</v>
      </c>
      <c r="J62" s="194">
        <f t="shared" si="8"/>
        <v>123.922656</v>
      </c>
      <c r="K62" s="139"/>
      <c r="L62" s="197"/>
      <c r="M62" s="198"/>
      <c r="N62" s="198"/>
      <c r="O62" s="139"/>
      <c r="P62" s="139"/>
      <c r="Q62" s="141">
        <v>29.5</v>
      </c>
      <c r="R62" s="187">
        <f t="shared" si="9"/>
        <v>2.34</v>
      </c>
      <c r="S62" s="181">
        <f t="shared" si="10"/>
        <v>1</v>
      </c>
      <c r="T62" s="181">
        <f t="shared" si="11"/>
        <v>2.34</v>
      </c>
      <c r="U62" s="186">
        <f t="shared" si="12"/>
        <v>123.922656</v>
      </c>
      <c r="V62" s="187">
        <f t="shared" ref="V62:W62" si="58">C62/100</f>
        <v>0.96</v>
      </c>
      <c r="W62" s="187">
        <f t="shared" si="58"/>
        <v>1.87</v>
      </c>
      <c r="X62" s="187">
        <f t="shared" si="14"/>
        <v>2.34</v>
      </c>
      <c r="Y62" s="189">
        <f t="shared" si="15"/>
        <v>4.200768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</row>
    <row r="63" ht="27.0" customHeight="1">
      <c r="A63" s="181">
        <v>43.0</v>
      </c>
      <c r="B63" s="191" t="s">
        <v>99</v>
      </c>
      <c r="C63" s="191">
        <v>86.0</v>
      </c>
      <c r="D63" s="191">
        <v>187.0</v>
      </c>
      <c r="E63" s="191">
        <v>233.0</v>
      </c>
      <c r="F63" s="191">
        <f t="shared" si="5"/>
        <v>0</v>
      </c>
      <c r="G63" s="191">
        <f t="shared" si="6"/>
        <v>110.539627</v>
      </c>
      <c r="H63" s="219">
        <f t="shared" si="7"/>
        <v>110.539627</v>
      </c>
      <c r="I63" s="218">
        <v>1.0</v>
      </c>
      <c r="J63" s="194">
        <f t="shared" si="8"/>
        <v>110.539627</v>
      </c>
      <c r="K63" s="139"/>
      <c r="L63" s="197"/>
      <c r="M63" s="198"/>
      <c r="N63" s="198"/>
      <c r="O63" s="139"/>
      <c r="P63" s="139"/>
      <c r="Q63" s="141">
        <v>29.5</v>
      </c>
      <c r="R63" s="187">
        <f t="shared" si="9"/>
        <v>2.33</v>
      </c>
      <c r="S63" s="181">
        <f t="shared" si="10"/>
        <v>1</v>
      </c>
      <c r="T63" s="181">
        <f t="shared" si="11"/>
        <v>2.33</v>
      </c>
      <c r="U63" s="186">
        <f t="shared" si="12"/>
        <v>110.539627</v>
      </c>
      <c r="V63" s="187">
        <f t="shared" ref="V63:W63" si="59">C63/100</f>
        <v>0.86</v>
      </c>
      <c r="W63" s="187">
        <f t="shared" si="59"/>
        <v>1.87</v>
      </c>
      <c r="X63" s="187">
        <f t="shared" si="14"/>
        <v>2.33</v>
      </c>
      <c r="Y63" s="189">
        <f t="shared" si="15"/>
        <v>3.747106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</row>
    <row r="64" ht="27.0" customHeight="1">
      <c r="A64" s="181">
        <v>44.0</v>
      </c>
      <c r="B64" s="182" t="s">
        <v>104</v>
      </c>
      <c r="C64" s="183">
        <v>85.0</v>
      </c>
      <c r="D64" s="183">
        <v>187.0</v>
      </c>
      <c r="E64" s="183">
        <v>230.0</v>
      </c>
      <c r="F64" s="183">
        <f t="shared" si="5"/>
        <v>0.8</v>
      </c>
      <c r="G64" s="183">
        <f t="shared" si="6"/>
        <v>107.847575</v>
      </c>
      <c r="H64" s="184">
        <f t="shared" si="7"/>
        <v>86.27806</v>
      </c>
      <c r="I64" s="183">
        <v>1.0</v>
      </c>
      <c r="J64" s="194">
        <f t="shared" si="8"/>
        <v>86.27806</v>
      </c>
      <c r="K64" s="139"/>
      <c r="L64" s="197"/>
      <c r="M64" s="198"/>
      <c r="N64" s="198"/>
      <c r="O64" s="139"/>
      <c r="P64" s="139"/>
      <c r="Q64" s="141">
        <v>29.5</v>
      </c>
      <c r="R64" s="187">
        <f t="shared" si="9"/>
        <v>2.3</v>
      </c>
      <c r="S64" s="181">
        <f t="shared" si="10"/>
        <v>1</v>
      </c>
      <c r="T64" s="181">
        <f t="shared" si="11"/>
        <v>2.3</v>
      </c>
      <c r="U64" s="186">
        <f t="shared" si="12"/>
        <v>107.847575</v>
      </c>
      <c r="V64" s="187">
        <f t="shared" ref="V64:W64" si="60">C64/100</f>
        <v>0.85</v>
      </c>
      <c r="W64" s="187">
        <f t="shared" si="60"/>
        <v>1.87</v>
      </c>
      <c r="X64" s="187">
        <f t="shared" si="14"/>
        <v>2.3</v>
      </c>
      <c r="Y64" s="189">
        <f t="shared" si="15"/>
        <v>3.65585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</row>
    <row r="65" ht="27.0" customHeight="1">
      <c r="A65" s="181">
        <v>45.0</v>
      </c>
      <c r="B65" s="191" t="s">
        <v>99</v>
      </c>
      <c r="C65" s="191">
        <v>98.0</v>
      </c>
      <c r="D65" s="191">
        <v>187.0</v>
      </c>
      <c r="E65" s="191">
        <v>232.0</v>
      </c>
      <c r="F65" s="191">
        <f t="shared" si="5"/>
        <v>0</v>
      </c>
      <c r="G65" s="191">
        <f t="shared" si="6"/>
        <v>125.423144</v>
      </c>
      <c r="H65" s="219">
        <f t="shared" si="7"/>
        <v>125.423144</v>
      </c>
      <c r="I65" s="218">
        <v>10.0</v>
      </c>
      <c r="J65" s="194">
        <f t="shared" si="8"/>
        <v>1254.23144</v>
      </c>
      <c r="K65" s="139"/>
      <c r="L65" s="197"/>
      <c r="M65" s="198"/>
      <c r="N65" s="198"/>
      <c r="O65" s="139"/>
      <c r="P65" s="139"/>
      <c r="Q65" s="141">
        <v>29.5</v>
      </c>
      <c r="R65" s="187">
        <f t="shared" si="9"/>
        <v>2.32</v>
      </c>
      <c r="S65" s="181">
        <f t="shared" si="10"/>
        <v>10</v>
      </c>
      <c r="T65" s="181">
        <f t="shared" si="11"/>
        <v>23.2</v>
      </c>
      <c r="U65" s="186">
        <f t="shared" si="12"/>
        <v>125.423144</v>
      </c>
      <c r="V65" s="187">
        <f t="shared" ref="V65:W65" si="61">C65/100</f>
        <v>0.98</v>
      </c>
      <c r="W65" s="187">
        <f t="shared" si="61"/>
        <v>1.87</v>
      </c>
      <c r="X65" s="187">
        <f t="shared" si="14"/>
        <v>23.2</v>
      </c>
      <c r="Y65" s="189">
        <f t="shared" si="15"/>
        <v>42.51632</v>
      </c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</row>
    <row r="66" ht="27.0" customHeight="1">
      <c r="A66" s="181">
        <v>46.0</v>
      </c>
      <c r="B66" s="191" t="s">
        <v>99</v>
      </c>
      <c r="C66" s="191">
        <v>99.0</v>
      </c>
      <c r="D66" s="191">
        <v>187.0</v>
      </c>
      <c r="E66" s="191">
        <v>232.0</v>
      </c>
      <c r="F66" s="191">
        <f t="shared" si="5"/>
        <v>0</v>
      </c>
      <c r="G66" s="191">
        <f t="shared" si="6"/>
        <v>126.702972</v>
      </c>
      <c r="H66" s="219">
        <f t="shared" si="7"/>
        <v>126.702972</v>
      </c>
      <c r="I66" s="218">
        <v>7.0</v>
      </c>
      <c r="J66" s="194">
        <f t="shared" si="8"/>
        <v>886.920804</v>
      </c>
      <c r="K66" s="139"/>
      <c r="L66" s="197"/>
      <c r="M66" s="198"/>
      <c r="N66" s="198"/>
      <c r="O66" s="139"/>
      <c r="P66" s="139"/>
      <c r="Q66" s="141">
        <v>29.5</v>
      </c>
      <c r="R66" s="187">
        <f t="shared" si="9"/>
        <v>2.32</v>
      </c>
      <c r="S66" s="181">
        <f t="shared" si="10"/>
        <v>7</v>
      </c>
      <c r="T66" s="181">
        <f t="shared" si="11"/>
        <v>16.24</v>
      </c>
      <c r="U66" s="186">
        <f t="shared" si="12"/>
        <v>126.702972</v>
      </c>
      <c r="V66" s="187">
        <f t="shared" ref="V66:W66" si="62">C66/100</f>
        <v>0.99</v>
      </c>
      <c r="W66" s="187">
        <f t="shared" si="62"/>
        <v>1.87</v>
      </c>
      <c r="X66" s="187">
        <f t="shared" si="14"/>
        <v>16.24</v>
      </c>
      <c r="Y66" s="189">
        <f t="shared" si="15"/>
        <v>30.065112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ht="27.0" customHeight="1">
      <c r="A67" s="181">
        <v>47.0</v>
      </c>
      <c r="B67" s="191" t="s">
        <v>99</v>
      </c>
      <c r="C67" s="191">
        <v>93.0</v>
      </c>
      <c r="D67" s="191">
        <v>187.0</v>
      </c>
      <c r="E67" s="191">
        <v>233.0</v>
      </c>
      <c r="F67" s="191">
        <f t="shared" si="5"/>
        <v>0</v>
      </c>
      <c r="G67" s="191">
        <f t="shared" si="6"/>
        <v>119.5370385</v>
      </c>
      <c r="H67" s="219">
        <f t="shared" si="7"/>
        <v>119.5370385</v>
      </c>
      <c r="I67" s="218">
        <v>1.0</v>
      </c>
      <c r="J67" s="194">
        <f t="shared" si="8"/>
        <v>119.5370385</v>
      </c>
      <c r="K67" s="139"/>
      <c r="L67" s="197"/>
      <c r="M67" s="198"/>
      <c r="N67" s="198"/>
      <c r="O67" s="139"/>
      <c r="P67" s="139"/>
      <c r="Q67" s="141">
        <v>29.5</v>
      </c>
      <c r="R67" s="187">
        <f t="shared" si="9"/>
        <v>2.33</v>
      </c>
      <c r="S67" s="181">
        <f t="shared" si="10"/>
        <v>1</v>
      </c>
      <c r="T67" s="181">
        <f t="shared" si="11"/>
        <v>2.33</v>
      </c>
      <c r="U67" s="186">
        <f t="shared" si="12"/>
        <v>119.5370385</v>
      </c>
      <c r="V67" s="187">
        <f t="shared" ref="V67:W67" si="63">C67/100</f>
        <v>0.93</v>
      </c>
      <c r="W67" s="187">
        <f t="shared" si="63"/>
        <v>1.87</v>
      </c>
      <c r="X67" s="187">
        <f t="shared" si="14"/>
        <v>2.33</v>
      </c>
      <c r="Y67" s="189">
        <f t="shared" si="15"/>
        <v>4.052103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</row>
    <row r="68" ht="27.0" customHeight="1">
      <c r="A68" s="181">
        <v>48.0</v>
      </c>
      <c r="B68" s="191" t="s">
        <v>99</v>
      </c>
      <c r="C68" s="191">
        <v>99.0</v>
      </c>
      <c r="D68" s="191">
        <v>187.0</v>
      </c>
      <c r="E68" s="191">
        <v>233.0</v>
      </c>
      <c r="F68" s="191">
        <f t="shared" si="5"/>
        <v>0</v>
      </c>
      <c r="G68" s="191">
        <f t="shared" si="6"/>
        <v>127.2491055</v>
      </c>
      <c r="H68" s="219">
        <f t="shared" si="7"/>
        <v>127.2491055</v>
      </c>
      <c r="I68" s="218">
        <v>1.0</v>
      </c>
      <c r="J68" s="194">
        <f t="shared" si="8"/>
        <v>127.2491055</v>
      </c>
      <c r="K68" s="139"/>
      <c r="L68" s="197"/>
      <c r="M68" s="198"/>
      <c r="N68" s="198"/>
      <c r="O68" s="139"/>
      <c r="P68" s="139"/>
      <c r="Q68" s="141">
        <v>29.5</v>
      </c>
      <c r="R68" s="187">
        <f t="shared" si="9"/>
        <v>2.33</v>
      </c>
      <c r="S68" s="181">
        <f t="shared" si="10"/>
        <v>1</v>
      </c>
      <c r="T68" s="181">
        <f t="shared" si="11"/>
        <v>2.33</v>
      </c>
      <c r="U68" s="186">
        <f t="shared" si="12"/>
        <v>127.2491055</v>
      </c>
      <c r="V68" s="187">
        <f t="shared" ref="V68:W68" si="64">C68/100</f>
        <v>0.99</v>
      </c>
      <c r="W68" s="187">
        <f t="shared" si="64"/>
        <v>1.87</v>
      </c>
      <c r="X68" s="187">
        <f t="shared" si="14"/>
        <v>2.33</v>
      </c>
      <c r="Y68" s="189">
        <f t="shared" si="15"/>
        <v>4.313529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</row>
    <row r="69" ht="27.0" customHeight="1">
      <c r="A69" s="181">
        <v>49.0</v>
      </c>
      <c r="B69" s="191" t="s">
        <v>99</v>
      </c>
      <c r="C69" s="191">
        <v>98.0</v>
      </c>
      <c r="D69" s="191">
        <v>187.0</v>
      </c>
      <c r="E69" s="191">
        <v>230.0</v>
      </c>
      <c r="F69" s="191">
        <f t="shared" si="5"/>
        <v>0</v>
      </c>
      <c r="G69" s="191">
        <f t="shared" si="6"/>
        <v>124.34191</v>
      </c>
      <c r="H69" s="219">
        <f t="shared" si="7"/>
        <v>124.34191</v>
      </c>
      <c r="I69" s="218">
        <v>2.0</v>
      </c>
      <c r="J69" s="194">
        <f t="shared" si="8"/>
        <v>248.68382</v>
      </c>
      <c r="K69" s="139"/>
      <c r="L69" s="197"/>
      <c r="M69" s="198"/>
      <c r="N69" s="198"/>
      <c r="O69" s="139"/>
      <c r="P69" s="139"/>
      <c r="Q69" s="141">
        <v>29.5</v>
      </c>
      <c r="R69" s="187">
        <f t="shared" si="9"/>
        <v>2.3</v>
      </c>
      <c r="S69" s="181">
        <f t="shared" si="10"/>
        <v>2</v>
      </c>
      <c r="T69" s="181">
        <f t="shared" si="11"/>
        <v>4.6</v>
      </c>
      <c r="U69" s="186">
        <f t="shared" si="12"/>
        <v>124.34191</v>
      </c>
      <c r="V69" s="187">
        <f t="shared" ref="V69:W69" si="65">C69/100</f>
        <v>0.98</v>
      </c>
      <c r="W69" s="187">
        <f t="shared" si="65"/>
        <v>1.87</v>
      </c>
      <c r="X69" s="187">
        <f t="shared" si="14"/>
        <v>4.6</v>
      </c>
      <c r="Y69" s="189">
        <f t="shared" si="15"/>
        <v>8.42996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ht="27.0" customHeight="1">
      <c r="A70" s="181">
        <v>50.0</v>
      </c>
      <c r="B70" s="191" t="s">
        <v>99</v>
      </c>
      <c r="C70" s="191">
        <v>96.0</v>
      </c>
      <c r="D70" s="191">
        <v>187.0</v>
      </c>
      <c r="E70" s="191">
        <v>232.0</v>
      </c>
      <c r="F70" s="191">
        <f t="shared" si="5"/>
        <v>0</v>
      </c>
      <c r="G70" s="191">
        <f t="shared" si="6"/>
        <v>122.863488</v>
      </c>
      <c r="H70" s="219">
        <f t="shared" si="7"/>
        <v>122.863488</v>
      </c>
      <c r="I70" s="218">
        <v>1.0</v>
      </c>
      <c r="J70" s="194">
        <f t="shared" si="8"/>
        <v>122.863488</v>
      </c>
      <c r="K70" s="139"/>
      <c r="L70" s="197"/>
      <c r="M70" s="198"/>
      <c r="N70" s="198"/>
      <c r="O70" s="139"/>
      <c r="P70" s="139"/>
      <c r="Q70" s="141">
        <v>29.5</v>
      </c>
      <c r="R70" s="187">
        <f t="shared" si="9"/>
        <v>2.32</v>
      </c>
      <c r="S70" s="181">
        <f t="shared" si="10"/>
        <v>1</v>
      </c>
      <c r="T70" s="181">
        <f t="shared" si="11"/>
        <v>2.32</v>
      </c>
      <c r="U70" s="186">
        <f t="shared" si="12"/>
        <v>122.863488</v>
      </c>
      <c r="V70" s="187">
        <f t="shared" ref="V70:W70" si="66">C70/100</f>
        <v>0.96</v>
      </c>
      <c r="W70" s="187">
        <f t="shared" si="66"/>
        <v>1.87</v>
      </c>
      <c r="X70" s="187">
        <f t="shared" si="14"/>
        <v>2.32</v>
      </c>
      <c r="Y70" s="189">
        <f t="shared" si="15"/>
        <v>4.164864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ht="27.0" customHeight="1">
      <c r="A71" s="181">
        <v>51.0</v>
      </c>
      <c r="B71" s="191" t="s">
        <v>99</v>
      </c>
      <c r="C71" s="191">
        <v>99.0</v>
      </c>
      <c r="D71" s="191">
        <v>187.0</v>
      </c>
      <c r="E71" s="191">
        <v>231.0</v>
      </c>
      <c r="F71" s="191">
        <f t="shared" si="5"/>
        <v>0</v>
      </c>
      <c r="G71" s="191">
        <f t="shared" si="6"/>
        <v>126.1568385</v>
      </c>
      <c r="H71" s="219">
        <f t="shared" si="7"/>
        <v>126.1568385</v>
      </c>
      <c r="I71" s="218">
        <v>2.0</v>
      </c>
      <c r="J71" s="194">
        <f t="shared" si="8"/>
        <v>252.313677</v>
      </c>
      <c r="K71" s="139"/>
      <c r="L71" s="197"/>
      <c r="M71" s="198"/>
      <c r="N71" s="198"/>
      <c r="O71" s="139"/>
      <c r="P71" s="139"/>
      <c r="Q71" s="141">
        <v>29.5</v>
      </c>
      <c r="R71" s="187">
        <f t="shared" si="9"/>
        <v>2.31</v>
      </c>
      <c r="S71" s="181">
        <f t="shared" si="10"/>
        <v>2</v>
      </c>
      <c r="T71" s="181">
        <f t="shared" si="11"/>
        <v>4.62</v>
      </c>
      <c r="U71" s="186">
        <f t="shared" si="12"/>
        <v>126.1568385</v>
      </c>
      <c r="V71" s="187">
        <f t="shared" ref="V71:W71" si="67">C71/100</f>
        <v>0.99</v>
      </c>
      <c r="W71" s="187">
        <f t="shared" si="67"/>
        <v>1.87</v>
      </c>
      <c r="X71" s="187">
        <f t="shared" si="14"/>
        <v>4.62</v>
      </c>
      <c r="Y71" s="189">
        <f t="shared" si="15"/>
        <v>8.553006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</row>
    <row r="72" ht="27.0" customHeight="1">
      <c r="A72" s="181">
        <v>52.0</v>
      </c>
      <c r="B72" s="191" t="s">
        <v>99</v>
      </c>
      <c r="C72" s="191">
        <v>81.0</v>
      </c>
      <c r="D72" s="191">
        <v>187.0</v>
      </c>
      <c r="E72" s="191">
        <v>272.0</v>
      </c>
      <c r="F72" s="191">
        <f t="shared" si="5"/>
        <v>0</v>
      </c>
      <c r="G72" s="191">
        <f t="shared" si="6"/>
        <v>121.539528</v>
      </c>
      <c r="H72" s="219">
        <f t="shared" si="7"/>
        <v>121.539528</v>
      </c>
      <c r="I72" s="218">
        <v>1.0</v>
      </c>
      <c r="J72" s="194">
        <f t="shared" si="8"/>
        <v>121.539528</v>
      </c>
      <c r="K72" s="139"/>
      <c r="L72" s="197"/>
      <c r="M72" s="198"/>
      <c r="N72" s="198"/>
      <c r="O72" s="139"/>
      <c r="P72" s="139"/>
      <c r="Q72" s="141">
        <v>29.5</v>
      </c>
      <c r="R72" s="187">
        <f t="shared" si="9"/>
        <v>2.72</v>
      </c>
      <c r="S72" s="181">
        <f t="shared" si="10"/>
        <v>1</v>
      </c>
      <c r="T72" s="181">
        <f t="shared" si="11"/>
        <v>2.72</v>
      </c>
      <c r="U72" s="186">
        <f t="shared" si="12"/>
        <v>121.539528</v>
      </c>
      <c r="V72" s="187">
        <f t="shared" ref="V72:W72" si="68">C72/100</f>
        <v>0.81</v>
      </c>
      <c r="W72" s="187">
        <f t="shared" si="68"/>
        <v>1.87</v>
      </c>
      <c r="X72" s="187">
        <f t="shared" si="14"/>
        <v>2.72</v>
      </c>
      <c r="Y72" s="189">
        <f t="shared" si="15"/>
        <v>4.119984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</row>
    <row r="73" ht="27.0" customHeight="1">
      <c r="A73" s="181">
        <v>53.0</v>
      </c>
      <c r="B73" s="191" t="s">
        <v>99</v>
      </c>
      <c r="C73" s="191">
        <v>98.0</v>
      </c>
      <c r="D73" s="191">
        <v>187.0</v>
      </c>
      <c r="E73" s="191">
        <v>231.0</v>
      </c>
      <c r="F73" s="191">
        <f t="shared" si="5"/>
        <v>0</v>
      </c>
      <c r="G73" s="191">
        <f t="shared" si="6"/>
        <v>124.882527</v>
      </c>
      <c r="H73" s="219">
        <f t="shared" si="7"/>
        <v>124.882527</v>
      </c>
      <c r="I73" s="218">
        <v>1.0</v>
      </c>
      <c r="J73" s="194">
        <f t="shared" si="8"/>
        <v>124.882527</v>
      </c>
      <c r="K73" s="139"/>
      <c r="L73" s="197"/>
      <c r="M73" s="198"/>
      <c r="N73" s="198"/>
      <c r="O73" s="139"/>
      <c r="P73" s="139"/>
      <c r="Q73" s="141">
        <v>29.5</v>
      </c>
      <c r="R73" s="187">
        <f t="shared" si="9"/>
        <v>2.31</v>
      </c>
      <c r="S73" s="181">
        <f t="shared" si="10"/>
        <v>1</v>
      </c>
      <c r="T73" s="181">
        <f t="shared" si="11"/>
        <v>2.31</v>
      </c>
      <c r="U73" s="186">
        <f t="shared" si="12"/>
        <v>124.882527</v>
      </c>
      <c r="V73" s="187">
        <f t="shared" ref="V73:W73" si="69">C73/100</f>
        <v>0.98</v>
      </c>
      <c r="W73" s="187">
        <f t="shared" si="69"/>
        <v>1.87</v>
      </c>
      <c r="X73" s="187">
        <f t="shared" si="14"/>
        <v>2.31</v>
      </c>
      <c r="Y73" s="189">
        <f t="shared" si="15"/>
        <v>4.233306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</row>
    <row r="74" ht="27.0" customHeight="1">
      <c r="A74" s="181">
        <v>54.0</v>
      </c>
      <c r="B74" s="191" t="s">
        <v>99</v>
      </c>
      <c r="C74" s="191">
        <v>96.0</v>
      </c>
      <c r="D74" s="191">
        <v>187.0</v>
      </c>
      <c r="E74" s="191">
        <v>231.0</v>
      </c>
      <c r="F74" s="191">
        <f t="shared" si="5"/>
        <v>0</v>
      </c>
      <c r="G74" s="191">
        <f t="shared" si="6"/>
        <v>122.333904</v>
      </c>
      <c r="H74" s="219">
        <f t="shared" si="7"/>
        <v>122.333904</v>
      </c>
      <c r="I74" s="218">
        <v>1.0</v>
      </c>
      <c r="J74" s="194">
        <f t="shared" si="8"/>
        <v>122.333904</v>
      </c>
      <c r="K74" s="139"/>
      <c r="L74" s="197"/>
      <c r="M74" s="198"/>
      <c r="N74" s="198"/>
      <c r="O74" s="139"/>
      <c r="P74" s="139"/>
      <c r="Q74" s="141">
        <v>29.5</v>
      </c>
      <c r="R74" s="187">
        <f t="shared" si="9"/>
        <v>2.31</v>
      </c>
      <c r="S74" s="181">
        <f t="shared" si="10"/>
        <v>1</v>
      </c>
      <c r="T74" s="181">
        <f t="shared" si="11"/>
        <v>2.31</v>
      </c>
      <c r="U74" s="186">
        <f t="shared" si="12"/>
        <v>122.333904</v>
      </c>
      <c r="V74" s="187">
        <f t="shared" ref="V74:W74" si="70">C74/100</f>
        <v>0.96</v>
      </c>
      <c r="W74" s="187">
        <f t="shared" si="70"/>
        <v>1.87</v>
      </c>
      <c r="X74" s="187">
        <f t="shared" si="14"/>
        <v>2.31</v>
      </c>
      <c r="Y74" s="189">
        <f t="shared" si="15"/>
        <v>4.146912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</row>
    <row r="75" ht="27.0" customHeight="1">
      <c r="A75" s="181">
        <v>55.0</v>
      </c>
      <c r="B75" s="182" t="s">
        <v>92</v>
      </c>
      <c r="C75" s="183">
        <v>80.0</v>
      </c>
      <c r="D75" s="183">
        <v>208.0</v>
      </c>
      <c r="E75" s="183">
        <v>283.0</v>
      </c>
      <c r="F75" s="183">
        <f t="shared" si="5"/>
        <v>0.8</v>
      </c>
      <c r="G75" s="183">
        <f t="shared" si="6"/>
        <v>148.33728</v>
      </c>
      <c r="H75" s="184">
        <f t="shared" si="7"/>
        <v>118.669824</v>
      </c>
      <c r="I75" s="183">
        <v>1.0</v>
      </c>
      <c r="J75" s="194">
        <f t="shared" si="8"/>
        <v>118.669824</v>
      </c>
      <c r="K75" s="139"/>
      <c r="L75" s="197"/>
      <c r="M75" s="198"/>
      <c r="N75" s="198"/>
      <c r="O75" s="139"/>
      <c r="P75" s="139"/>
      <c r="Q75" s="141">
        <v>31.5</v>
      </c>
      <c r="R75" s="187">
        <f t="shared" si="9"/>
        <v>2.83</v>
      </c>
      <c r="S75" s="181">
        <f t="shared" si="10"/>
        <v>1</v>
      </c>
      <c r="T75" s="181">
        <f t="shared" si="11"/>
        <v>2.83</v>
      </c>
      <c r="U75" s="186">
        <f t="shared" si="12"/>
        <v>148.33728</v>
      </c>
      <c r="V75" s="187">
        <f t="shared" ref="V75:W75" si="71">C75/100</f>
        <v>0.8</v>
      </c>
      <c r="W75" s="187">
        <f t="shared" si="71"/>
        <v>2.08</v>
      </c>
      <c r="X75" s="187">
        <f t="shared" si="14"/>
        <v>2.83</v>
      </c>
      <c r="Y75" s="189">
        <f t="shared" si="15"/>
        <v>4.70912</v>
      </c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</row>
    <row r="76" ht="27.0" customHeight="1">
      <c r="A76" s="181">
        <v>56.0</v>
      </c>
      <c r="B76" s="191" t="s">
        <v>84</v>
      </c>
      <c r="C76" s="191">
        <v>90.0</v>
      </c>
      <c r="D76" s="191">
        <v>208.0</v>
      </c>
      <c r="E76" s="191">
        <v>283.0</v>
      </c>
      <c r="F76" s="191">
        <f t="shared" si="5"/>
        <v>0</v>
      </c>
      <c r="G76" s="191">
        <f t="shared" si="6"/>
        <v>166.87944</v>
      </c>
      <c r="H76" s="219">
        <f t="shared" si="7"/>
        <v>166.87944</v>
      </c>
      <c r="I76" s="218">
        <v>1.0</v>
      </c>
      <c r="J76" s="194">
        <f t="shared" si="8"/>
        <v>166.87944</v>
      </c>
      <c r="K76" s="139"/>
      <c r="L76" s="197"/>
      <c r="M76" s="198"/>
      <c r="N76" s="198"/>
      <c r="O76" s="139"/>
      <c r="P76" s="139"/>
      <c r="Q76" s="141">
        <v>31.5</v>
      </c>
      <c r="R76" s="187">
        <f t="shared" si="9"/>
        <v>2.83</v>
      </c>
      <c r="S76" s="181">
        <f t="shared" si="10"/>
        <v>1</v>
      </c>
      <c r="T76" s="181">
        <f t="shared" si="11"/>
        <v>2.83</v>
      </c>
      <c r="U76" s="186">
        <f t="shared" si="12"/>
        <v>166.87944</v>
      </c>
      <c r="V76" s="187">
        <f t="shared" ref="V76:W76" si="72">C76/100</f>
        <v>0.9</v>
      </c>
      <c r="W76" s="187">
        <f t="shared" si="72"/>
        <v>2.08</v>
      </c>
      <c r="X76" s="187">
        <f t="shared" si="14"/>
        <v>2.83</v>
      </c>
      <c r="Y76" s="189">
        <f t="shared" si="15"/>
        <v>5.29776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</row>
    <row r="77" ht="27.0" customHeight="1">
      <c r="A77" s="181">
        <v>57.0</v>
      </c>
      <c r="B77" s="191" t="s">
        <v>84</v>
      </c>
      <c r="C77" s="191">
        <v>96.0</v>
      </c>
      <c r="D77" s="191">
        <v>208.0</v>
      </c>
      <c r="E77" s="191">
        <v>282.0</v>
      </c>
      <c r="F77" s="191">
        <f t="shared" si="5"/>
        <v>0</v>
      </c>
      <c r="G77" s="191">
        <f t="shared" si="6"/>
        <v>177.375744</v>
      </c>
      <c r="H77" s="219">
        <f t="shared" si="7"/>
        <v>177.375744</v>
      </c>
      <c r="I77" s="218">
        <v>1.0</v>
      </c>
      <c r="J77" s="194">
        <f t="shared" si="8"/>
        <v>177.375744</v>
      </c>
      <c r="K77" s="139"/>
      <c r="L77" s="197"/>
      <c r="M77" s="198"/>
      <c r="N77" s="198"/>
      <c r="O77" s="139"/>
      <c r="P77" s="139"/>
      <c r="Q77" s="141">
        <v>31.5</v>
      </c>
      <c r="R77" s="187">
        <f t="shared" si="9"/>
        <v>2.82</v>
      </c>
      <c r="S77" s="181">
        <f t="shared" si="10"/>
        <v>1</v>
      </c>
      <c r="T77" s="181">
        <f t="shared" si="11"/>
        <v>2.82</v>
      </c>
      <c r="U77" s="186">
        <f t="shared" si="12"/>
        <v>177.375744</v>
      </c>
      <c r="V77" s="187">
        <f t="shared" ref="V77:W77" si="73">C77/100</f>
        <v>0.96</v>
      </c>
      <c r="W77" s="187">
        <f t="shared" si="73"/>
        <v>2.08</v>
      </c>
      <c r="X77" s="187">
        <f t="shared" si="14"/>
        <v>2.82</v>
      </c>
      <c r="Y77" s="189">
        <f t="shared" si="15"/>
        <v>5.630976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</row>
    <row r="78" ht="27.0" customHeight="1">
      <c r="A78" s="181">
        <v>58.0</v>
      </c>
      <c r="B78" s="191" t="s">
        <v>84</v>
      </c>
      <c r="C78" s="191">
        <v>100.0</v>
      </c>
      <c r="D78" s="191">
        <v>208.0</v>
      </c>
      <c r="E78" s="191">
        <v>286.0</v>
      </c>
      <c r="F78" s="191">
        <f t="shared" si="5"/>
        <v>0</v>
      </c>
      <c r="G78" s="191">
        <f t="shared" si="6"/>
        <v>187.3872</v>
      </c>
      <c r="H78" s="219">
        <f t="shared" si="7"/>
        <v>187.3872</v>
      </c>
      <c r="I78" s="218">
        <v>2.0</v>
      </c>
      <c r="J78" s="194">
        <f t="shared" si="8"/>
        <v>374.7744</v>
      </c>
      <c r="K78" s="139"/>
      <c r="L78" s="197"/>
      <c r="M78" s="198"/>
      <c r="N78" s="198"/>
      <c r="O78" s="139"/>
      <c r="P78" s="139"/>
      <c r="Q78" s="141">
        <v>31.5</v>
      </c>
      <c r="R78" s="187">
        <f t="shared" si="9"/>
        <v>2.86</v>
      </c>
      <c r="S78" s="181">
        <f t="shared" si="10"/>
        <v>2</v>
      </c>
      <c r="T78" s="181">
        <f t="shared" si="11"/>
        <v>5.72</v>
      </c>
      <c r="U78" s="186">
        <f t="shared" si="12"/>
        <v>187.3872</v>
      </c>
      <c r="V78" s="187">
        <f t="shared" ref="V78:W78" si="74">C78/100</f>
        <v>1</v>
      </c>
      <c r="W78" s="187">
        <f t="shared" si="74"/>
        <v>2.08</v>
      </c>
      <c r="X78" s="187">
        <f t="shared" si="14"/>
        <v>5.72</v>
      </c>
      <c r="Y78" s="189">
        <f t="shared" si="15"/>
        <v>11.8976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</row>
    <row r="79" ht="27.0" customHeight="1">
      <c r="A79" s="181">
        <v>59.0</v>
      </c>
      <c r="B79" s="191" t="s">
        <v>84</v>
      </c>
      <c r="C79" s="191">
        <v>102.0</v>
      </c>
      <c r="D79" s="191">
        <v>208.0</v>
      </c>
      <c r="E79" s="191">
        <v>284.0</v>
      </c>
      <c r="F79" s="191">
        <f t="shared" si="5"/>
        <v>0</v>
      </c>
      <c r="G79" s="191">
        <f t="shared" si="6"/>
        <v>189.798336</v>
      </c>
      <c r="H79" s="219">
        <f t="shared" si="7"/>
        <v>189.798336</v>
      </c>
      <c r="I79" s="218">
        <v>1.0</v>
      </c>
      <c r="J79" s="194">
        <f t="shared" si="8"/>
        <v>189.798336</v>
      </c>
      <c r="K79" s="139"/>
      <c r="L79" s="197"/>
      <c r="M79" s="198"/>
      <c r="N79" s="198"/>
      <c r="O79" s="139"/>
      <c r="P79" s="139"/>
      <c r="Q79" s="141">
        <v>31.5</v>
      </c>
      <c r="R79" s="187">
        <f t="shared" si="9"/>
        <v>2.84</v>
      </c>
      <c r="S79" s="181">
        <f t="shared" si="10"/>
        <v>1</v>
      </c>
      <c r="T79" s="181">
        <f t="shared" si="11"/>
        <v>2.84</v>
      </c>
      <c r="U79" s="186">
        <f t="shared" si="12"/>
        <v>189.798336</v>
      </c>
      <c r="V79" s="187">
        <f t="shared" ref="V79:W79" si="75">C79/100</f>
        <v>1.02</v>
      </c>
      <c r="W79" s="187">
        <f t="shared" si="75"/>
        <v>2.08</v>
      </c>
      <c r="X79" s="187">
        <f t="shared" si="14"/>
        <v>2.84</v>
      </c>
      <c r="Y79" s="189">
        <f t="shared" si="15"/>
        <v>6.025344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</row>
    <row r="80" ht="27.0" customHeight="1">
      <c r="A80" s="181">
        <v>60.0</v>
      </c>
      <c r="B80" s="191" t="s">
        <v>84</v>
      </c>
      <c r="C80" s="191">
        <v>100.0</v>
      </c>
      <c r="D80" s="191">
        <v>208.0</v>
      </c>
      <c r="E80" s="191">
        <v>285.0</v>
      </c>
      <c r="F80" s="191">
        <f t="shared" si="5"/>
        <v>0</v>
      </c>
      <c r="G80" s="191">
        <f t="shared" si="6"/>
        <v>186.732</v>
      </c>
      <c r="H80" s="219">
        <f t="shared" si="7"/>
        <v>186.732</v>
      </c>
      <c r="I80" s="218">
        <v>8.0</v>
      </c>
      <c r="J80" s="194">
        <f t="shared" si="8"/>
        <v>1493.856</v>
      </c>
      <c r="K80" s="139"/>
      <c r="L80" s="197"/>
      <c r="M80" s="198"/>
      <c r="N80" s="198"/>
      <c r="O80" s="139"/>
      <c r="P80" s="139"/>
      <c r="Q80" s="141">
        <v>31.5</v>
      </c>
      <c r="R80" s="187">
        <f t="shared" si="9"/>
        <v>2.85</v>
      </c>
      <c r="S80" s="181">
        <f t="shared" si="10"/>
        <v>8</v>
      </c>
      <c r="T80" s="181">
        <f t="shared" si="11"/>
        <v>22.8</v>
      </c>
      <c r="U80" s="186">
        <f t="shared" si="12"/>
        <v>186.732</v>
      </c>
      <c r="V80" s="187">
        <f t="shared" ref="V80:W80" si="76">C80/100</f>
        <v>1</v>
      </c>
      <c r="W80" s="187">
        <f t="shared" si="76"/>
        <v>2.08</v>
      </c>
      <c r="X80" s="187">
        <f t="shared" si="14"/>
        <v>22.8</v>
      </c>
      <c r="Y80" s="189">
        <f t="shared" si="15"/>
        <v>47.424</v>
      </c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</row>
    <row r="81" ht="27.0" customHeight="1">
      <c r="A81" s="181">
        <v>61.0</v>
      </c>
      <c r="B81" s="191" t="s">
        <v>84</v>
      </c>
      <c r="C81" s="191">
        <v>92.0</v>
      </c>
      <c r="D81" s="191">
        <v>208.0</v>
      </c>
      <c r="E81" s="191">
        <v>295.0</v>
      </c>
      <c r="F81" s="191">
        <f t="shared" si="5"/>
        <v>0</v>
      </c>
      <c r="G81" s="191">
        <f t="shared" si="6"/>
        <v>177.82128</v>
      </c>
      <c r="H81" s="219">
        <f t="shared" si="7"/>
        <v>177.82128</v>
      </c>
      <c r="I81" s="218">
        <v>1.0</v>
      </c>
      <c r="J81" s="194">
        <f t="shared" si="8"/>
        <v>177.82128</v>
      </c>
      <c r="K81" s="139"/>
      <c r="L81" s="197"/>
      <c r="M81" s="198"/>
      <c r="N81" s="198"/>
      <c r="O81" s="139"/>
      <c r="P81" s="139"/>
      <c r="Q81" s="141">
        <v>31.5</v>
      </c>
      <c r="R81" s="187">
        <f t="shared" si="9"/>
        <v>2.95</v>
      </c>
      <c r="S81" s="181">
        <f t="shared" si="10"/>
        <v>1</v>
      </c>
      <c r="T81" s="181">
        <f t="shared" si="11"/>
        <v>2.95</v>
      </c>
      <c r="U81" s="186">
        <f t="shared" si="12"/>
        <v>177.82128</v>
      </c>
      <c r="V81" s="187">
        <f t="shared" ref="V81:W81" si="77">C81/100</f>
        <v>0.92</v>
      </c>
      <c r="W81" s="187">
        <f t="shared" si="77"/>
        <v>2.08</v>
      </c>
      <c r="X81" s="187">
        <f t="shared" si="14"/>
        <v>2.95</v>
      </c>
      <c r="Y81" s="189">
        <f t="shared" si="15"/>
        <v>5.64512</v>
      </c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</row>
    <row r="82" ht="27.0" customHeight="1">
      <c r="A82" s="181">
        <v>62.0</v>
      </c>
      <c r="B82" s="191" t="s">
        <v>84</v>
      </c>
      <c r="C82" s="191">
        <v>99.0</v>
      </c>
      <c r="D82" s="191">
        <v>208.0</v>
      </c>
      <c r="E82" s="191">
        <v>285.0</v>
      </c>
      <c r="F82" s="191">
        <f t="shared" si="5"/>
        <v>0</v>
      </c>
      <c r="G82" s="191">
        <f t="shared" si="6"/>
        <v>184.86468</v>
      </c>
      <c r="H82" s="219">
        <f t="shared" si="7"/>
        <v>184.86468</v>
      </c>
      <c r="I82" s="218">
        <v>3.0</v>
      </c>
      <c r="J82" s="194">
        <f t="shared" si="8"/>
        <v>554.59404</v>
      </c>
      <c r="K82" s="139"/>
      <c r="L82" s="197"/>
      <c r="M82" s="198"/>
      <c r="N82" s="198"/>
      <c r="O82" s="139"/>
      <c r="P82" s="139"/>
      <c r="Q82" s="141">
        <v>31.5</v>
      </c>
      <c r="R82" s="187">
        <f t="shared" si="9"/>
        <v>2.85</v>
      </c>
      <c r="S82" s="181">
        <f t="shared" si="10"/>
        <v>3</v>
      </c>
      <c r="T82" s="181">
        <f t="shared" si="11"/>
        <v>8.55</v>
      </c>
      <c r="U82" s="186">
        <f t="shared" si="12"/>
        <v>184.86468</v>
      </c>
      <c r="V82" s="187">
        <f t="shared" ref="V82:W82" si="78">C82/100</f>
        <v>0.99</v>
      </c>
      <c r="W82" s="187">
        <f t="shared" si="78"/>
        <v>2.08</v>
      </c>
      <c r="X82" s="187">
        <f t="shared" si="14"/>
        <v>8.55</v>
      </c>
      <c r="Y82" s="189">
        <f t="shared" si="15"/>
        <v>17.60616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</row>
    <row r="83" ht="27.0" customHeight="1">
      <c r="A83" s="181">
        <v>63.0</v>
      </c>
      <c r="B83" s="191" t="s">
        <v>84</v>
      </c>
      <c r="C83" s="191">
        <v>98.0</v>
      </c>
      <c r="D83" s="191">
        <v>208.0</v>
      </c>
      <c r="E83" s="191">
        <v>290.0</v>
      </c>
      <c r="F83" s="191">
        <f t="shared" si="5"/>
        <v>0</v>
      </c>
      <c r="G83" s="191">
        <f t="shared" si="6"/>
        <v>186.20784</v>
      </c>
      <c r="H83" s="219">
        <f t="shared" si="7"/>
        <v>186.20784</v>
      </c>
      <c r="I83" s="218">
        <v>2.0</v>
      </c>
      <c r="J83" s="194">
        <f t="shared" si="8"/>
        <v>372.41568</v>
      </c>
      <c r="K83" s="139"/>
      <c r="L83" s="197"/>
      <c r="M83" s="198"/>
      <c r="N83" s="198"/>
      <c r="O83" s="139"/>
      <c r="P83" s="139"/>
      <c r="Q83" s="141">
        <v>31.5</v>
      </c>
      <c r="R83" s="187">
        <f t="shared" si="9"/>
        <v>2.9</v>
      </c>
      <c r="S83" s="181">
        <f t="shared" si="10"/>
        <v>2</v>
      </c>
      <c r="T83" s="181">
        <f t="shared" si="11"/>
        <v>5.8</v>
      </c>
      <c r="U83" s="186">
        <f t="shared" si="12"/>
        <v>186.20784</v>
      </c>
      <c r="V83" s="187">
        <f t="shared" ref="V83:W83" si="79">C83/100</f>
        <v>0.98</v>
      </c>
      <c r="W83" s="187">
        <f t="shared" si="79"/>
        <v>2.08</v>
      </c>
      <c r="X83" s="187">
        <f t="shared" si="14"/>
        <v>5.8</v>
      </c>
      <c r="Y83" s="189">
        <f t="shared" si="15"/>
        <v>11.82272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</row>
    <row r="84" ht="27.0" customHeight="1">
      <c r="A84" s="181">
        <v>64.0</v>
      </c>
      <c r="B84" s="191" t="s">
        <v>84</v>
      </c>
      <c r="C84" s="191">
        <v>98.0</v>
      </c>
      <c r="D84" s="191">
        <v>208.0</v>
      </c>
      <c r="E84" s="191">
        <v>225.0</v>
      </c>
      <c r="F84" s="191">
        <f t="shared" si="5"/>
        <v>0</v>
      </c>
      <c r="G84" s="191">
        <f t="shared" si="6"/>
        <v>144.4716</v>
      </c>
      <c r="H84" s="219">
        <f t="shared" si="7"/>
        <v>144.4716</v>
      </c>
      <c r="I84" s="218">
        <v>1.0</v>
      </c>
      <c r="J84" s="194">
        <f t="shared" si="8"/>
        <v>144.4716</v>
      </c>
      <c r="K84" s="139"/>
      <c r="L84" s="197"/>
      <c r="M84" s="198"/>
      <c r="N84" s="198"/>
      <c r="O84" s="139"/>
      <c r="P84" s="139"/>
      <c r="Q84" s="141">
        <v>31.5</v>
      </c>
      <c r="R84" s="187">
        <f t="shared" si="9"/>
        <v>2.25</v>
      </c>
      <c r="S84" s="181">
        <f t="shared" si="10"/>
        <v>1</v>
      </c>
      <c r="T84" s="181">
        <f t="shared" si="11"/>
        <v>2.25</v>
      </c>
      <c r="U84" s="186">
        <f t="shared" si="12"/>
        <v>144.4716</v>
      </c>
      <c r="V84" s="187">
        <f t="shared" ref="V84:W84" si="80">C84/100</f>
        <v>0.98</v>
      </c>
      <c r="W84" s="187">
        <f t="shared" si="80"/>
        <v>2.08</v>
      </c>
      <c r="X84" s="187">
        <f t="shared" si="14"/>
        <v>2.25</v>
      </c>
      <c r="Y84" s="189">
        <f t="shared" si="15"/>
        <v>4.5864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</row>
    <row r="85" ht="27.0" customHeight="1">
      <c r="A85" s="181">
        <v>65.0</v>
      </c>
      <c r="B85" s="191" t="s">
        <v>84</v>
      </c>
      <c r="C85" s="191">
        <v>98.0</v>
      </c>
      <c r="D85" s="191">
        <v>208.0</v>
      </c>
      <c r="E85" s="191">
        <v>285.0</v>
      </c>
      <c r="F85" s="191">
        <f t="shared" si="5"/>
        <v>0</v>
      </c>
      <c r="G85" s="191">
        <f t="shared" si="6"/>
        <v>182.99736</v>
      </c>
      <c r="H85" s="219">
        <f t="shared" si="7"/>
        <v>182.99736</v>
      </c>
      <c r="I85" s="218">
        <v>1.0</v>
      </c>
      <c r="J85" s="194">
        <f t="shared" si="8"/>
        <v>182.99736</v>
      </c>
      <c r="K85" s="139"/>
      <c r="L85" s="197"/>
      <c r="M85" s="198"/>
      <c r="N85" s="198"/>
      <c r="O85" s="139"/>
      <c r="P85" s="139"/>
      <c r="Q85" s="141">
        <v>31.5</v>
      </c>
      <c r="R85" s="187">
        <f t="shared" si="9"/>
        <v>2.85</v>
      </c>
      <c r="S85" s="181">
        <f t="shared" si="10"/>
        <v>1</v>
      </c>
      <c r="T85" s="181">
        <f t="shared" si="11"/>
        <v>2.85</v>
      </c>
      <c r="U85" s="186">
        <f t="shared" si="12"/>
        <v>182.99736</v>
      </c>
      <c r="V85" s="187">
        <f t="shared" ref="V85:W85" si="81">C85/100</f>
        <v>0.98</v>
      </c>
      <c r="W85" s="187">
        <f t="shared" si="81"/>
        <v>2.08</v>
      </c>
      <c r="X85" s="187">
        <f t="shared" si="14"/>
        <v>2.85</v>
      </c>
      <c r="Y85" s="189">
        <f t="shared" si="15"/>
        <v>5.80944</v>
      </c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</row>
    <row r="86" ht="27.0" customHeight="1">
      <c r="A86" s="160"/>
      <c r="B86" s="176"/>
      <c r="C86" s="176"/>
      <c r="D86" s="176"/>
      <c r="E86" s="176"/>
      <c r="F86" s="176"/>
      <c r="G86" s="176"/>
      <c r="H86" s="179"/>
      <c r="I86" s="160"/>
      <c r="J86" s="203">
        <f>+Q120</f>
        <v>135.6</v>
      </c>
      <c r="K86" s="139"/>
      <c r="L86" s="139"/>
      <c r="M86" s="139"/>
      <c r="N86" s="139"/>
      <c r="O86" s="139"/>
      <c r="P86" s="139"/>
      <c r="Q86" s="204"/>
      <c r="R86" s="187">
        <f t="shared" si="9"/>
        <v>0</v>
      </c>
      <c r="S86" s="181" t="str">
        <f t="shared" si="10"/>
        <v/>
      </c>
      <c r="T86" s="181">
        <f t="shared" si="11"/>
        <v>0</v>
      </c>
      <c r="U86" s="186"/>
      <c r="V86" s="187">
        <f t="shared" ref="V86:W86" si="82">C86/100</f>
        <v>0</v>
      </c>
      <c r="W86" s="187">
        <f t="shared" si="82"/>
        <v>0</v>
      </c>
      <c r="X86" s="187">
        <f t="shared" si="14"/>
        <v>0</v>
      </c>
      <c r="Y86" s="189">
        <f t="shared" si="15"/>
        <v>0</v>
      </c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</row>
    <row r="87" ht="27.0" customHeight="1">
      <c r="A87" s="160"/>
      <c r="B87" s="205"/>
      <c r="C87" s="205"/>
      <c r="D87" s="205"/>
      <c r="E87" s="205"/>
      <c r="F87" s="205"/>
      <c r="G87" s="205"/>
      <c r="H87" s="206"/>
      <c r="I87" s="207">
        <f>SUM(I21:I85)</f>
        <v>135</v>
      </c>
      <c r="J87" s="208">
        <f>SUM(J21:J86)</f>
        <v>15995.98773</v>
      </c>
      <c r="K87" s="209"/>
      <c r="L87" s="209"/>
      <c r="M87" s="209"/>
      <c r="N87" s="209"/>
      <c r="O87" s="209"/>
      <c r="P87" s="209"/>
      <c r="Q87" s="141"/>
      <c r="R87" s="209">
        <f>SUMIFS($S$21:$S$85,$R$21:$R$85,"&gt;=3")</f>
        <v>0</v>
      </c>
      <c r="S87" s="209">
        <f t="shared" ref="S87:T87" si="83">SUM(S21:S85)</f>
        <v>135</v>
      </c>
      <c r="T87" s="209">
        <f t="shared" si="83"/>
        <v>310.52</v>
      </c>
      <c r="U87" s="209"/>
      <c r="V87" s="209"/>
      <c r="W87" s="209"/>
      <c r="X87" s="209"/>
      <c r="Y87" s="210">
        <f>SUM(Y21:Y86)</f>
        <v>593.376072</v>
      </c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</row>
    <row r="88" ht="29.25" customHeight="1">
      <c r="A88" s="139"/>
      <c r="B88" s="139"/>
      <c r="C88" s="139"/>
      <c r="D88" s="139"/>
      <c r="E88" s="139"/>
      <c r="F88" s="139"/>
      <c r="G88" s="139"/>
      <c r="H88" s="140"/>
      <c r="I88" s="139"/>
      <c r="J88" s="139"/>
      <c r="K88" s="139"/>
      <c r="L88" s="139"/>
      <c r="M88" s="139"/>
      <c r="N88" s="139"/>
      <c r="O88" s="139"/>
      <c r="P88" s="139"/>
      <c r="Q88" s="141"/>
      <c r="R88" s="186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</row>
    <row r="89" ht="29.25" customHeight="1">
      <c r="A89" s="139"/>
      <c r="B89" s="139"/>
      <c r="C89" s="139"/>
      <c r="D89" s="139"/>
      <c r="E89" s="139"/>
      <c r="F89" s="139"/>
      <c r="G89" s="139"/>
      <c r="H89" s="140"/>
      <c r="I89" s="139"/>
      <c r="J89" s="139"/>
      <c r="K89" s="139"/>
      <c r="L89" s="139"/>
      <c r="M89" s="139"/>
      <c r="N89" s="139"/>
      <c r="O89" s="139"/>
      <c r="P89" s="139"/>
      <c r="Q89" s="204"/>
      <c r="R89" s="139"/>
      <c r="S89" s="139" t="s">
        <v>48</v>
      </c>
      <c r="T89" s="139" t="s">
        <v>72</v>
      </c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</row>
    <row r="90" ht="29.25" customHeight="1">
      <c r="A90" s="139"/>
      <c r="B90" s="139"/>
      <c r="C90" s="139"/>
      <c r="D90" s="139"/>
      <c r="E90" s="139"/>
      <c r="F90" s="139"/>
      <c r="G90" s="139"/>
      <c r="H90" s="140"/>
      <c r="I90" s="139"/>
      <c r="J90" s="139"/>
      <c r="K90" s="139"/>
      <c r="L90" s="139"/>
      <c r="M90" s="139"/>
      <c r="N90" s="139"/>
      <c r="O90" s="139"/>
      <c r="P90" s="139"/>
      <c r="Q90" s="141"/>
      <c r="R90" s="139" t="s">
        <v>31</v>
      </c>
      <c r="S90" s="211">
        <f>SUMIFS($J$21:$J$85,$R$21:$R$85,"&gt;=3")</f>
        <v>0</v>
      </c>
      <c r="T90" s="212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</row>
    <row r="91" ht="29.25" customHeight="1">
      <c r="A91" s="139" t="s">
        <v>32</v>
      </c>
      <c r="B91" s="139"/>
      <c r="C91" s="139"/>
      <c r="D91" s="139" t="s">
        <v>33</v>
      </c>
      <c r="E91" s="139"/>
      <c r="F91" s="139"/>
      <c r="G91" s="139"/>
      <c r="H91" s="140"/>
      <c r="I91" s="139"/>
      <c r="J91" s="139"/>
      <c r="K91" s="139"/>
      <c r="L91" s="139"/>
      <c r="M91" s="139"/>
      <c r="N91" s="139"/>
      <c r="O91" s="139"/>
      <c r="P91" s="139"/>
      <c r="Q91" s="141"/>
      <c r="R91" s="139" t="s">
        <v>34</v>
      </c>
      <c r="S91" s="213">
        <f>J87-S90</f>
        <v>15995.98773</v>
      </c>
      <c r="T91" s="212">
        <f>+SUMIFS($T$21:$T$85,$R$21:$R$85,"&gt;=3")</f>
        <v>0</v>
      </c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ht="29.25" customHeight="1">
      <c r="A92" s="139"/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204"/>
      <c r="R92" s="139"/>
      <c r="S92" s="214">
        <f>+I87</f>
        <v>135</v>
      </c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</row>
    <row r="93" ht="39.0" customHeight="1">
      <c r="A93" s="176"/>
      <c r="B93" s="160" t="s">
        <v>12</v>
      </c>
      <c r="C93" s="177" t="s">
        <v>73</v>
      </c>
      <c r="D93" s="52"/>
      <c r="E93" s="53"/>
      <c r="F93" s="178"/>
      <c r="G93" s="178"/>
      <c r="H93" s="179" t="s">
        <v>14</v>
      </c>
      <c r="I93" s="160" t="s">
        <v>15</v>
      </c>
      <c r="J93" s="160" t="s">
        <v>16</v>
      </c>
      <c r="K93" s="139"/>
      <c r="L93" s="139"/>
      <c r="M93" s="139"/>
      <c r="N93" s="139"/>
      <c r="O93" s="139"/>
      <c r="P93" s="139"/>
      <c r="Q93" s="141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</row>
    <row r="94" ht="27.0" customHeight="1">
      <c r="A94" s="154">
        <v>1.0</v>
      </c>
      <c r="B94" s="215" t="s">
        <v>64</v>
      </c>
      <c r="C94" s="215">
        <v>89.0</v>
      </c>
      <c r="D94" s="215">
        <v>203.0</v>
      </c>
      <c r="E94" s="215">
        <v>232.0</v>
      </c>
      <c r="F94" s="215">
        <f t="shared" ref="F94:F99" si="84">1-VALUE(IF(RIGHT(B94, 1)="%", RIGHT(B94, 3), 0))</f>
        <v>0.2</v>
      </c>
      <c r="G94" s="215">
        <f t="shared" ref="G94:G99" si="85">+Q94*C94/100*D94/100*E94/100</f>
        <v>0</v>
      </c>
      <c r="H94" s="216">
        <f t="shared" ref="H94:H99" si="86">IF(F94=0, G94, F94*G94)</f>
        <v>0</v>
      </c>
      <c r="I94" s="215">
        <v>1.0</v>
      </c>
      <c r="J94" s="217">
        <f t="shared" ref="J94:J99" si="87">+I94*H94</f>
        <v>0</v>
      </c>
      <c r="K94" s="139"/>
      <c r="L94" s="176">
        <f t="shared" ref="L94:L99" si="88">D94*25.4/1000</f>
        <v>5.1562</v>
      </c>
      <c r="M94" s="160">
        <f t="shared" ref="M94:M97" si="89">+I94</f>
        <v>1</v>
      </c>
      <c r="N94" s="160">
        <f t="shared" ref="N94:N97" si="90">M94*L94</f>
        <v>5.1562</v>
      </c>
      <c r="O94" s="139"/>
      <c r="P94" s="139"/>
      <c r="Q94" s="141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</row>
    <row r="95" ht="27.0" customHeight="1">
      <c r="A95" s="160">
        <v>2.0</v>
      </c>
      <c r="B95" s="218" t="s">
        <v>135</v>
      </c>
      <c r="C95" s="218">
        <v>75.0</v>
      </c>
      <c r="D95" s="218">
        <v>205.0</v>
      </c>
      <c r="E95" s="218">
        <v>205.0</v>
      </c>
      <c r="F95" s="218">
        <f t="shared" si="84"/>
        <v>0.2</v>
      </c>
      <c r="G95" s="218">
        <f t="shared" si="85"/>
        <v>0</v>
      </c>
      <c r="H95" s="219">
        <f t="shared" si="86"/>
        <v>0</v>
      </c>
      <c r="I95" s="218">
        <v>1.0</v>
      </c>
      <c r="J95" s="194">
        <f t="shared" si="87"/>
        <v>0</v>
      </c>
      <c r="K95" s="139"/>
      <c r="L95" s="176">
        <f t="shared" si="88"/>
        <v>5.207</v>
      </c>
      <c r="M95" s="160">
        <f t="shared" si="89"/>
        <v>1</v>
      </c>
      <c r="N95" s="160">
        <f t="shared" si="90"/>
        <v>5.207</v>
      </c>
      <c r="O95" s="139"/>
      <c r="P95" s="139"/>
      <c r="Q95" s="141"/>
      <c r="R95" s="139"/>
      <c r="S95" s="220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</row>
    <row r="96" ht="27.0" customHeight="1">
      <c r="A96" s="160">
        <v>3.0</v>
      </c>
      <c r="B96" s="218" t="s">
        <v>80</v>
      </c>
      <c r="C96" s="218">
        <v>86.0</v>
      </c>
      <c r="D96" s="218">
        <v>205.0</v>
      </c>
      <c r="E96" s="218">
        <v>230.0</v>
      </c>
      <c r="F96" s="218">
        <f t="shared" si="84"/>
        <v>0.2</v>
      </c>
      <c r="G96" s="218">
        <f t="shared" si="85"/>
        <v>0</v>
      </c>
      <c r="H96" s="219">
        <f t="shared" si="86"/>
        <v>0</v>
      </c>
      <c r="I96" s="218">
        <v>1.0</v>
      </c>
      <c r="J96" s="194">
        <f t="shared" si="87"/>
        <v>0</v>
      </c>
      <c r="K96" s="139"/>
      <c r="L96" s="176">
        <f t="shared" si="88"/>
        <v>5.207</v>
      </c>
      <c r="M96" s="160">
        <f t="shared" si="89"/>
        <v>1</v>
      </c>
      <c r="N96" s="160">
        <f t="shared" si="90"/>
        <v>5.207</v>
      </c>
      <c r="O96" s="139"/>
      <c r="P96" s="139"/>
      <c r="Q96" s="141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</row>
    <row r="97" ht="27.0" customHeight="1">
      <c r="A97" s="160">
        <v>4.0</v>
      </c>
      <c r="B97" s="218" t="s">
        <v>104</v>
      </c>
      <c r="C97" s="218">
        <v>94.0</v>
      </c>
      <c r="D97" s="218">
        <v>187.0</v>
      </c>
      <c r="E97" s="218">
        <v>226.0</v>
      </c>
      <c r="F97" s="218">
        <f t="shared" si="84"/>
        <v>0.2</v>
      </c>
      <c r="G97" s="218">
        <f t="shared" si="85"/>
        <v>0</v>
      </c>
      <c r="H97" s="219">
        <f t="shared" si="86"/>
        <v>0</v>
      </c>
      <c r="I97" s="218">
        <v>1.0</v>
      </c>
      <c r="J97" s="194">
        <f t="shared" si="87"/>
        <v>0</v>
      </c>
      <c r="K97" s="139"/>
      <c r="L97" s="176">
        <f t="shared" si="88"/>
        <v>4.7498</v>
      </c>
      <c r="M97" s="160">
        <f t="shared" si="89"/>
        <v>1</v>
      </c>
      <c r="N97" s="160">
        <f t="shared" si="90"/>
        <v>4.7498</v>
      </c>
      <c r="O97" s="139"/>
      <c r="P97" s="139"/>
      <c r="Q97" s="141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</row>
    <row r="98" ht="27.0" customHeight="1">
      <c r="A98" s="160">
        <v>5.0</v>
      </c>
      <c r="B98" s="218" t="s">
        <v>104</v>
      </c>
      <c r="C98" s="218">
        <v>85.0</v>
      </c>
      <c r="D98" s="218">
        <v>187.0</v>
      </c>
      <c r="E98" s="218">
        <v>230.0</v>
      </c>
      <c r="F98" s="218">
        <f t="shared" si="84"/>
        <v>0.2</v>
      </c>
      <c r="G98" s="218">
        <f t="shared" si="85"/>
        <v>0</v>
      </c>
      <c r="H98" s="219">
        <f t="shared" si="86"/>
        <v>0</v>
      </c>
      <c r="I98" s="218">
        <v>1.0</v>
      </c>
      <c r="J98" s="194">
        <f t="shared" si="87"/>
        <v>0</v>
      </c>
      <c r="K98" s="139"/>
      <c r="L98" s="139">
        <f t="shared" si="88"/>
        <v>4.7498</v>
      </c>
      <c r="M98" s="221"/>
      <c r="N98" s="221"/>
      <c r="O98" s="139"/>
      <c r="P98" s="139"/>
      <c r="Q98" s="141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</row>
    <row r="99" ht="27.0" customHeight="1">
      <c r="A99" s="160">
        <v>6.0</v>
      </c>
      <c r="B99" s="218" t="s">
        <v>92</v>
      </c>
      <c r="C99" s="218">
        <v>80.0</v>
      </c>
      <c r="D99" s="218">
        <v>208.0</v>
      </c>
      <c r="E99" s="218">
        <v>283.0</v>
      </c>
      <c r="F99" s="218">
        <f t="shared" si="84"/>
        <v>0.2</v>
      </c>
      <c r="G99" s="218">
        <f t="shared" si="85"/>
        <v>0</v>
      </c>
      <c r="H99" s="219">
        <f t="shared" si="86"/>
        <v>0</v>
      </c>
      <c r="I99" s="218">
        <v>1.0</v>
      </c>
      <c r="J99" s="194">
        <f t="shared" si="87"/>
        <v>0</v>
      </c>
      <c r="K99" s="139"/>
      <c r="L99" s="139">
        <f t="shared" si="88"/>
        <v>5.2832</v>
      </c>
      <c r="M99" s="221"/>
      <c r="N99" s="221"/>
      <c r="O99" s="139"/>
      <c r="P99" s="139"/>
      <c r="Q99" s="141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</row>
    <row r="100" ht="24.75" customHeight="1">
      <c r="A100" s="160"/>
      <c r="B100" s="197"/>
      <c r="C100" s="197"/>
      <c r="D100" s="197"/>
      <c r="E100" s="197"/>
      <c r="F100" s="197"/>
      <c r="G100" s="197"/>
      <c r="H100" s="269" t="s">
        <v>38</v>
      </c>
      <c r="I100" s="197"/>
      <c r="J100" s="226">
        <f>SUM(J94:J99)</f>
        <v>0</v>
      </c>
      <c r="K100" s="139"/>
      <c r="L100" s="139"/>
      <c r="M100" s="139"/>
      <c r="N100" s="139"/>
      <c r="O100" s="139"/>
      <c r="P100" s="139"/>
      <c r="Q100" s="141"/>
      <c r="R100" s="227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</row>
    <row r="101" ht="18.75" customHeight="1">
      <c r="A101" s="174"/>
      <c r="B101" s="144"/>
      <c r="C101" s="144"/>
      <c r="D101" s="144"/>
      <c r="E101" s="144"/>
      <c r="F101" s="144"/>
      <c r="G101" s="144"/>
      <c r="H101" s="145"/>
      <c r="I101" s="144"/>
      <c r="J101" s="175"/>
      <c r="K101" s="139"/>
      <c r="L101" s="139"/>
      <c r="M101" s="139"/>
      <c r="N101" s="139"/>
      <c r="O101" s="139"/>
      <c r="P101" s="139"/>
      <c r="Q101" s="141"/>
      <c r="R101" s="227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</row>
    <row r="102" ht="18.75" customHeight="1">
      <c r="A102" s="139"/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41"/>
      <c r="R102" s="227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</row>
    <row r="103" ht="18.7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41"/>
      <c r="R103" s="227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</row>
    <row r="104" ht="18.75" customHeight="1">
      <c r="A104" s="139" t="s">
        <v>39</v>
      </c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41"/>
      <c r="R104" s="227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</row>
    <row r="105" ht="18.7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41"/>
      <c r="R105" s="227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</row>
    <row r="106" ht="42.0" customHeight="1">
      <c r="A106" s="176"/>
      <c r="B106" s="160" t="s">
        <v>12</v>
      </c>
      <c r="C106" s="177" t="s">
        <v>74</v>
      </c>
      <c r="D106" s="52"/>
      <c r="E106" s="53"/>
      <c r="F106" s="228"/>
      <c r="G106" s="228"/>
      <c r="H106" s="179" t="s">
        <v>14</v>
      </c>
      <c r="I106" s="224" t="s">
        <v>15</v>
      </c>
      <c r="J106" s="160" t="s">
        <v>16</v>
      </c>
      <c r="K106" s="139"/>
      <c r="L106" s="139"/>
      <c r="M106" s="139"/>
      <c r="N106" s="139"/>
      <c r="O106" s="139"/>
      <c r="P106" s="139"/>
      <c r="Q106" s="141"/>
      <c r="R106" s="227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</row>
    <row r="107" ht="24.75" customHeight="1">
      <c r="A107" s="160">
        <v>1.0</v>
      </c>
      <c r="B107" s="229" t="s">
        <v>55</v>
      </c>
      <c r="C107" s="181"/>
      <c r="D107" s="181"/>
      <c r="E107" s="181"/>
      <c r="F107" s="181"/>
      <c r="G107" s="181"/>
      <c r="H107" s="232">
        <v>45.0</v>
      </c>
      <c r="I107" s="181">
        <v>1.0</v>
      </c>
      <c r="J107" s="194">
        <f t="shared" ref="J107:J118" si="91">+I107*H107</f>
        <v>45</v>
      </c>
      <c r="K107" s="176"/>
      <c r="L107" s="176"/>
      <c r="M107" s="176"/>
      <c r="N107" s="176"/>
      <c r="O107" s="176"/>
      <c r="P107" s="176"/>
      <c r="Q107" s="231"/>
      <c r="R107" s="227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</row>
    <row r="108" ht="24.75" customHeight="1">
      <c r="A108" s="160">
        <v>2.0</v>
      </c>
      <c r="B108" s="215" t="s">
        <v>55</v>
      </c>
      <c r="C108" s="181"/>
      <c r="D108" s="181"/>
      <c r="E108" s="181"/>
      <c r="F108" s="181"/>
      <c r="G108" s="181"/>
      <c r="H108" s="232">
        <v>23.0</v>
      </c>
      <c r="I108" s="181">
        <v>1.0</v>
      </c>
      <c r="J108" s="194">
        <f t="shared" si="91"/>
        <v>23</v>
      </c>
      <c r="K108" s="176"/>
      <c r="L108" s="176"/>
      <c r="M108" s="176"/>
      <c r="N108" s="176"/>
      <c r="O108" s="176"/>
      <c r="P108" s="176"/>
      <c r="Q108" s="231"/>
      <c r="R108" s="227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</row>
    <row r="109" ht="24.75" customHeight="1">
      <c r="A109" s="160">
        <v>3.0</v>
      </c>
      <c r="B109" s="182" t="s">
        <v>26</v>
      </c>
      <c r="C109" s="181"/>
      <c r="D109" s="181"/>
      <c r="E109" s="181"/>
      <c r="F109" s="181"/>
      <c r="G109" s="181"/>
      <c r="H109" s="232">
        <v>32.0</v>
      </c>
      <c r="I109" s="181">
        <v>1.0</v>
      </c>
      <c r="J109" s="194">
        <f t="shared" si="91"/>
        <v>32</v>
      </c>
      <c r="K109" s="176"/>
      <c r="L109" s="176"/>
      <c r="M109" s="176"/>
      <c r="N109" s="176"/>
      <c r="O109" s="176"/>
      <c r="P109" s="176"/>
      <c r="Q109" s="231"/>
      <c r="R109" s="227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</row>
    <row r="110" ht="24.75" customHeight="1">
      <c r="A110" s="160">
        <v>4.0</v>
      </c>
      <c r="B110" s="218" t="s">
        <v>26</v>
      </c>
      <c r="C110" s="181"/>
      <c r="D110" s="181"/>
      <c r="E110" s="181"/>
      <c r="F110" s="181"/>
      <c r="G110" s="181"/>
      <c r="H110" s="232">
        <v>17.0</v>
      </c>
      <c r="I110" s="181">
        <v>1.0</v>
      </c>
      <c r="J110" s="194">
        <f t="shared" si="91"/>
        <v>17</v>
      </c>
      <c r="K110" s="176"/>
      <c r="L110" s="176"/>
      <c r="M110" s="176"/>
      <c r="N110" s="176"/>
      <c r="O110" s="176"/>
      <c r="P110" s="176"/>
      <c r="Q110" s="231"/>
      <c r="R110" s="227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</row>
    <row r="111" ht="24.75" customHeight="1">
      <c r="A111" s="160">
        <v>5.0</v>
      </c>
      <c r="B111" s="182" t="s">
        <v>77</v>
      </c>
      <c r="C111" s="181"/>
      <c r="D111" s="181"/>
      <c r="E111" s="181"/>
      <c r="F111" s="181"/>
      <c r="G111" s="181"/>
      <c r="H111" s="232">
        <v>36.0</v>
      </c>
      <c r="I111" s="181">
        <v>1.0</v>
      </c>
      <c r="J111" s="194">
        <f t="shared" si="91"/>
        <v>36</v>
      </c>
      <c r="K111" s="176"/>
      <c r="L111" s="176"/>
      <c r="M111" s="176"/>
      <c r="N111" s="176"/>
      <c r="O111" s="176"/>
      <c r="P111" s="176"/>
      <c r="Q111" s="231"/>
      <c r="R111" s="227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</row>
    <row r="112" ht="24.75" customHeight="1">
      <c r="A112" s="160">
        <v>6.0</v>
      </c>
      <c r="B112" s="218" t="s">
        <v>77</v>
      </c>
      <c r="C112" s="181"/>
      <c r="D112" s="181"/>
      <c r="E112" s="181"/>
      <c r="F112" s="181"/>
      <c r="G112" s="181"/>
      <c r="H112" s="232">
        <v>10.0</v>
      </c>
      <c r="I112" s="181">
        <v>1.0</v>
      </c>
      <c r="J112" s="194">
        <f t="shared" si="91"/>
        <v>10</v>
      </c>
      <c r="K112" s="176"/>
      <c r="L112" s="176"/>
      <c r="M112" s="176"/>
      <c r="N112" s="176"/>
      <c r="O112" s="176"/>
      <c r="P112" s="176"/>
      <c r="Q112" s="231"/>
      <c r="R112" s="227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</row>
    <row r="113" ht="24.75" customHeight="1">
      <c r="A113" s="160">
        <v>7.0</v>
      </c>
      <c r="B113" s="182" t="s">
        <v>99</v>
      </c>
      <c r="C113" s="181"/>
      <c r="D113" s="181"/>
      <c r="E113" s="181"/>
      <c r="F113" s="181"/>
      <c r="G113" s="181"/>
      <c r="H113" s="232">
        <v>42.0</v>
      </c>
      <c r="I113" s="181">
        <v>1.0</v>
      </c>
      <c r="J113" s="194">
        <f t="shared" si="91"/>
        <v>42</v>
      </c>
      <c r="K113" s="176"/>
      <c r="L113" s="176"/>
      <c r="M113" s="176"/>
      <c r="N113" s="176"/>
      <c r="O113" s="176"/>
      <c r="P113" s="176"/>
      <c r="Q113" s="231"/>
      <c r="R113" s="227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</row>
    <row r="114" ht="24.75" customHeight="1">
      <c r="A114" s="160">
        <v>8.0</v>
      </c>
      <c r="B114" s="218" t="s">
        <v>99</v>
      </c>
      <c r="C114" s="181"/>
      <c r="D114" s="181"/>
      <c r="E114" s="181"/>
      <c r="F114" s="181"/>
      <c r="G114" s="181"/>
      <c r="H114" s="232">
        <v>18.0</v>
      </c>
      <c r="I114" s="181">
        <v>1.0</v>
      </c>
      <c r="J114" s="194">
        <f t="shared" si="91"/>
        <v>18</v>
      </c>
      <c r="K114" s="176"/>
      <c r="L114" s="176"/>
      <c r="M114" s="176"/>
      <c r="N114" s="176"/>
      <c r="O114" s="176"/>
      <c r="P114" s="176"/>
      <c r="Q114" s="231"/>
      <c r="R114" s="227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</row>
    <row r="115" ht="24.75" customHeight="1">
      <c r="A115" s="160">
        <v>9.0</v>
      </c>
      <c r="B115" s="182" t="s">
        <v>99</v>
      </c>
      <c r="C115" s="181"/>
      <c r="D115" s="181"/>
      <c r="E115" s="181"/>
      <c r="F115" s="181"/>
      <c r="G115" s="181"/>
      <c r="H115" s="232">
        <v>37.0</v>
      </c>
      <c r="I115" s="181">
        <v>1.0</v>
      </c>
      <c r="J115" s="194">
        <f t="shared" si="91"/>
        <v>37</v>
      </c>
      <c r="K115" s="176"/>
      <c r="L115" s="176"/>
      <c r="M115" s="176"/>
      <c r="N115" s="176"/>
      <c r="O115" s="176"/>
      <c r="P115" s="176"/>
      <c r="Q115" s="231"/>
      <c r="R115" s="227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</row>
    <row r="116" ht="24.75" customHeight="1">
      <c r="A116" s="160">
        <v>10.0</v>
      </c>
      <c r="B116" s="218" t="s">
        <v>99</v>
      </c>
      <c r="C116" s="181"/>
      <c r="D116" s="181"/>
      <c r="E116" s="181"/>
      <c r="F116" s="181"/>
      <c r="G116" s="181"/>
      <c r="H116" s="232">
        <v>19.0</v>
      </c>
      <c r="I116" s="181">
        <v>1.0</v>
      </c>
      <c r="J116" s="194">
        <f t="shared" si="91"/>
        <v>19</v>
      </c>
      <c r="K116" s="176"/>
      <c r="L116" s="176"/>
      <c r="M116" s="176"/>
      <c r="N116" s="176"/>
      <c r="O116" s="176"/>
      <c r="P116" s="176"/>
      <c r="Q116" s="231"/>
      <c r="R116" s="227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ht="24.75" customHeight="1">
      <c r="A117" s="160">
        <v>11.0</v>
      </c>
      <c r="B117" s="182" t="s">
        <v>84</v>
      </c>
      <c r="C117" s="181"/>
      <c r="D117" s="181"/>
      <c r="E117" s="181"/>
      <c r="F117" s="181"/>
      <c r="G117" s="181"/>
      <c r="H117" s="232">
        <v>40.0</v>
      </c>
      <c r="I117" s="181">
        <v>1.0</v>
      </c>
      <c r="J117" s="194">
        <f t="shared" si="91"/>
        <v>40</v>
      </c>
      <c r="K117" s="176"/>
      <c r="L117" s="176"/>
      <c r="M117" s="176"/>
      <c r="N117" s="176"/>
      <c r="O117" s="176"/>
      <c r="P117" s="176"/>
      <c r="Q117" s="231"/>
      <c r="R117" s="227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</row>
    <row r="118" ht="24.75" customHeight="1">
      <c r="A118" s="160">
        <v>12.0</v>
      </c>
      <c r="B118" s="218" t="s">
        <v>84</v>
      </c>
      <c r="C118" s="181"/>
      <c r="D118" s="181"/>
      <c r="E118" s="181"/>
      <c r="F118" s="181"/>
      <c r="G118" s="181"/>
      <c r="H118" s="232">
        <v>20.0</v>
      </c>
      <c r="I118" s="181">
        <v>1.0</v>
      </c>
      <c r="J118" s="194">
        <f t="shared" si="91"/>
        <v>20</v>
      </c>
      <c r="K118" s="176"/>
      <c r="L118" s="176"/>
      <c r="M118" s="176"/>
      <c r="N118" s="176"/>
      <c r="O118" s="176"/>
      <c r="P118" s="176"/>
      <c r="Q118" s="231"/>
      <c r="R118" s="227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</row>
    <row r="119" ht="18.75" customHeight="1">
      <c r="A119" s="139"/>
      <c r="B119" s="139"/>
      <c r="C119" s="139"/>
      <c r="D119" s="139"/>
      <c r="E119" s="139"/>
      <c r="F119" s="139"/>
      <c r="G119" s="139"/>
      <c r="H119" s="140" t="s">
        <v>38</v>
      </c>
      <c r="I119" s="139"/>
      <c r="J119" s="235">
        <f>SUM(J107:J118)</f>
        <v>339</v>
      </c>
      <c r="K119" s="236"/>
      <c r="L119" s="236"/>
      <c r="M119" s="236"/>
      <c r="N119" s="236"/>
      <c r="O119" s="236"/>
      <c r="P119" s="236"/>
      <c r="Q119" s="237"/>
      <c r="R119" s="227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</row>
    <row r="120" ht="18.75" customHeight="1">
      <c r="A120" s="144"/>
      <c r="B120" s="144"/>
      <c r="C120" s="144"/>
      <c r="D120" s="144"/>
      <c r="E120" s="144"/>
      <c r="F120" s="144"/>
      <c r="G120" s="144"/>
      <c r="H120" s="145"/>
      <c r="I120" s="173"/>
      <c r="J120" s="205">
        <f>+J119*60%</f>
        <v>203.4</v>
      </c>
      <c r="K120" s="205"/>
      <c r="L120" s="205"/>
      <c r="M120" s="205"/>
      <c r="N120" s="205"/>
      <c r="O120" s="205"/>
      <c r="P120" s="205"/>
      <c r="Q120" s="207">
        <f>+J119*40%</f>
        <v>135.6</v>
      </c>
      <c r="R120" s="227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</row>
    <row r="121" ht="18.75" customHeight="1">
      <c r="A121" s="139"/>
      <c r="B121" s="139"/>
      <c r="C121" s="139"/>
      <c r="D121" s="139"/>
      <c r="E121" s="139"/>
      <c r="F121" s="139"/>
      <c r="G121" s="139"/>
      <c r="H121" s="140"/>
      <c r="I121" s="139"/>
      <c r="J121" s="139"/>
      <c r="K121" s="139"/>
      <c r="L121" s="139"/>
      <c r="M121" s="139"/>
      <c r="N121" s="139"/>
      <c r="O121" s="139"/>
      <c r="P121" s="139"/>
      <c r="Q121" s="141"/>
      <c r="R121" s="227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</row>
    <row r="122" ht="18.75" customHeight="1">
      <c r="A122" s="139"/>
      <c r="B122" s="139"/>
      <c r="C122" s="139"/>
      <c r="D122" s="139"/>
      <c r="E122" s="139"/>
      <c r="F122" s="139"/>
      <c r="G122" s="139"/>
      <c r="H122" s="140"/>
      <c r="I122" s="139"/>
      <c r="J122" s="139"/>
      <c r="K122" s="139"/>
      <c r="L122" s="139"/>
      <c r="M122" s="139"/>
      <c r="N122" s="139"/>
      <c r="O122" s="139"/>
      <c r="P122" s="139"/>
      <c r="Q122" s="141"/>
      <c r="R122" s="227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</row>
    <row r="123" ht="19.5" customHeight="1">
      <c r="A123" s="238" t="s">
        <v>41</v>
      </c>
      <c r="B123" s="139"/>
      <c r="C123" s="139"/>
      <c r="D123" s="139"/>
      <c r="E123" s="139"/>
      <c r="F123" s="139"/>
      <c r="G123" s="139"/>
      <c r="H123" s="140"/>
      <c r="I123" s="139"/>
      <c r="J123" s="139"/>
      <c r="K123" s="139"/>
      <c r="L123" s="139"/>
      <c r="M123" s="139"/>
      <c r="N123" s="139"/>
      <c r="O123" s="139"/>
      <c r="P123" s="139"/>
      <c r="Q123" s="141"/>
      <c r="R123" s="227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</row>
    <row r="124" ht="57.0" customHeight="1">
      <c r="A124" s="239"/>
      <c r="B124" s="240" t="s">
        <v>42</v>
      </c>
      <c r="C124" s="240" t="s">
        <v>43</v>
      </c>
      <c r="D124" s="240" t="s">
        <v>44</v>
      </c>
      <c r="E124" s="240" t="s">
        <v>45</v>
      </c>
      <c r="F124" s="240"/>
      <c r="G124" s="240"/>
      <c r="H124" s="241" t="s">
        <v>46</v>
      </c>
      <c r="I124" s="242" t="s">
        <v>47</v>
      </c>
      <c r="J124" s="139"/>
      <c r="K124" s="139"/>
      <c r="L124" s="139"/>
      <c r="M124" s="139"/>
      <c r="N124" s="139"/>
      <c r="O124" s="139"/>
      <c r="P124" s="139"/>
      <c r="Q124" s="141"/>
      <c r="R124" s="227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</row>
    <row r="125" ht="18.75" customHeight="1">
      <c r="A125" s="243" t="s">
        <v>48</v>
      </c>
      <c r="B125" s="244">
        <f>+E14</f>
        <v>18324.71731</v>
      </c>
      <c r="C125" s="245">
        <f>+J87</f>
        <v>15995.98773</v>
      </c>
      <c r="D125" s="245">
        <f>+J100</f>
        <v>0</v>
      </c>
      <c r="E125" s="246">
        <f>J120</f>
        <v>203.4</v>
      </c>
      <c r="F125" s="246"/>
      <c r="G125" s="246"/>
      <c r="H125" s="247">
        <f>+I14</f>
        <v>558.7497036</v>
      </c>
      <c r="I125" s="248">
        <f>+B125-C125-D125-E125-H125</f>
        <v>1566.57988</v>
      </c>
      <c r="J125" s="139"/>
      <c r="K125" s="139"/>
      <c r="L125" s="139"/>
      <c r="M125" s="139"/>
      <c r="N125" s="139"/>
      <c r="O125" s="139"/>
      <c r="P125" s="139"/>
      <c r="Q125" s="141"/>
      <c r="R125" s="227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</row>
    <row r="126" ht="19.5" customHeight="1">
      <c r="A126" s="249" t="s">
        <v>49</v>
      </c>
      <c r="B126" s="250"/>
      <c r="C126" s="251">
        <f>+C125/B125</f>
        <v>0.8729186626</v>
      </c>
      <c r="D126" s="251">
        <f>+D125/B125</f>
        <v>0</v>
      </c>
      <c r="E126" s="251">
        <f>+E125/B125</f>
        <v>0.01109976195</v>
      </c>
      <c r="F126" s="251"/>
      <c r="G126" s="251"/>
      <c r="H126" s="252">
        <f>+H125/B125</f>
        <v>0.03049158653</v>
      </c>
      <c r="I126" s="253">
        <f>+I125/B125</f>
        <v>0.0854899889</v>
      </c>
      <c r="J126" s="139"/>
      <c r="K126" s="139"/>
      <c r="L126" s="139"/>
      <c r="M126" s="139"/>
      <c r="N126" s="139"/>
      <c r="O126" s="139"/>
      <c r="P126" s="139"/>
      <c r="Q126" s="141"/>
      <c r="R126" s="227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</row>
    <row r="127" ht="19.5" customHeight="1">
      <c r="A127" s="163"/>
      <c r="B127" s="221"/>
      <c r="C127" s="254"/>
      <c r="D127" s="254"/>
      <c r="E127" s="254"/>
      <c r="F127" s="254"/>
      <c r="G127" s="254"/>
      <c r="H127" s="255"/>
      <c r="I127" s="256"/>
      <c r="J127" s="139"/>
      <c r="K127" s="139"/>
      <c r="L127" s="139"/>
      <c r="M127" s="139"/>
      <c r="N127" s="139"/>
      <c r="O127" s="139"/>
      <c r="P127" s="139"/>
      <c r="Q127" s="141"/>
      <c r="R127" s="227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</row>
    <row r="128" ht="18.75" customHeight="1">
      <c r="A128" s="257"/>
      <c r="B128" s="258"/>
      <c r="C128" s="258"/>
      <c r="D128" s="258" t="s">
        <v>50</v>
      </c>
      <c r="E128" s="258" t="s">
        <v>48</v>
      </c>
      <c r="F128" s="258"/>
      <c r="G128" s="258"/>
      <c r="H128" s="259">
        <f>+D125+E125+H125+I125</f>
        <v>2328.729583</v>
      </c>
      <c r="I128" s="260"/>
      <c r="J128" s="139"/>
      <c r="K128" s="139"/>
      <c r="L128" s="139"/>
      <c r="M128" s="139"/>
      <c r="N128" s="139"/>
      <c r="O128" s="139"/>
      <c r="P128" s="139"/>
      <c r="Q128" s="141"/>
      <c r="R128" s="140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</row>
    <row r="129" ht="18.75" customHeight="1">
      <c r="A129" s="261"/>
      <c r="B129" s="139"/>
      <c r="C129" s="139"/>
      <c r="D129" s="139"/>
      <c r="E129" s="139" t="s">
        <v>49</v>
      </c>
      <c r="F129" s="139"/>
      <c r="G129" s="139"/>
      <c r="H129" s="255">
        <f>+H128/B125</f>
        <v>0.1270813374</v>
      </c>
      <c r="I129" s="262"/>
      <c r="J129" s="139"/>
      <c r="K129" s="139"/>
      <c r="L129" s="139"/>
      <c r="M129" s="139"/>
      <c r="N129" s="139"/>
      <c r="O129" s="139"/>
      <c r="P129" s="139"/>
      <c r="Q129" s="141"/>
      <c r="R129" s="140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</row>
    <row r="130" ht="18.75" customHeight="1">
      <c r="A130" s="261"/>
      <c r="B130" s="139"/>
      <c r="C130" s="139" t="s">
        <v>51</v>
      </c>
      <c r="D130" s="139"/>
      <c r="E130" s="139"/>
      <c r="F130" s="139"/>
      <c r="G130" s="139"/>
      <c r="H130" s="140"/>
      <c r="I130" s="262"/>
      <c r="J130" s="139"/>
      <c r="K130" s="139"/>
      <c r="L130" s="139"/>
      <c r="M130" s="139"/>
      <c r="N130" s="139"/>
      <c r="O130" s="139"/>
      <c r="P130" s="139"/>
      <c r="Q130" s="141"/>
      <c r="R130" s="140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</row>
    <row r="131" ht="18.75" customHeight="1">
      <c r="A131" s="261"/>
      <c r="B131" s="139"/>
      <c r="C131" s="139"/>
      <c r="D131" s="139" t="s">
        <v>52</v>
      </c>
      <c r="E131" s="139"/>
      <c r="F131" s="139"/>
      <c r="G131" s="139"/>
      <c r="H131" s="140">
        <f>+H130*(H128-H125)</f>
        <v>0</v>
      </c>
      <c r="I131" s="262"/>
      <c r="J131" s="139"/>
      <c r="K131" s="139"/>
      <c r="L131" s="139"/>
      <c r="M131" s="139"/>
      <c r="N131" s="139"/>
      <c r="O131" s="139"/>
      <c r="P131" s="139"/>
      <c r="Q131" s="141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</row>
    <row r="132" ht="19.5" customHeight="1">
      <c r="A132" s="263"/>
      <c r="B132" s="264"/>
      <c r="C132" s="264"/>
      <c r="D132" s="264"/>
      <c r="E132" s="264"/>
      <c r="F132" s="264"/>
      <c r="G132" s="264"/>
      <c r="H132" s="265"/>
      <c r="I132" s="266"/>
      <c r="J132" s="139"/>
      <c r="K132" s="139"/>
      <c r="L132" s="139"/>
      <c r="M132" s="139"/>
      <c r="N132" s="139"/>
      <c r="O132" s="139"/>
      <c r="P132" s="139"/>
      <c r="Q132" s="141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</row>
    <row r="133" ht="18.75" customHeight="1">
      <c r="A133" s="139"/>
      <c r="B133" s="139"/>
      <c r="C133" s="139"/>
      <c r="D133" s="139"/>
      <c r="E133" s="139"/>
      <c r="F133" s="139"/>
      <c r="G133" s="139"/>
      <c r="H133" s="140"/>
      <c r="I133" s="139"/>
      <c r="J133" s="139"/>
      <c r="K133" s="139"/>
      <c r="L133" s="139"/>
      <c r="M133" s="139"/>
      <c r="N133" s="139"/>
      <c r="O133" s="139"/>
      <c r="P133" s="139"/>
      <c r="Q133" s="141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</row>
    <row r="134" ht="18.75" customHeight="1">
      <c r="A134" s="139"/>
      <c r="B134" s="139"/>
      <c r="C134" s="139"/>
      <c r="D134" s="139"/>
      <c r="E134" s="139"/>
      <c r="F134" s="139"/>
      <c r="G134" s="139"/>
      <c r="H134" s="140"/>
      <c r="I134" s="139"/>
      <c r="J134" s="139"/>
      <c r="K134" s="139"/>
      <c r="L134" s="139"/>
      <c r="M134" s="139"/>
      <c r="N134" s="139"/>
      <c r="O134" s="139"/>
      <c r="P134" s="139"/>
      <c r="Q134" s="141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</row>
    <row r="135" ht="18.75" customHeight="1">
      <c r="A135" s="139"/>
      <c r="B135" s="139"/>
      <c r="C135" s="139"/>
      <c r="D135" s="139"/>
      <c r="E135" s="139"/>
      <c r="F135" s="139"/>
      <c r="G135" s="139"/>
      <c r="H135" s="140"/>
      <c r="I135" s="139"/>
      <c r="J135" s="139"/>
      <c r="K135" s="139"/>
      <c r="L135" s="139"/>
      <c r="M135" s="139"/>
      <c r="N135" s="139"/>
      <c r="O135" s="139"/>
      <c r="P135" s="139"/>
      <c r="Q135" s="141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93:E93"/>
    <mergeCell ref="C106:E106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44361.0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136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137</v>
      </c>
      <c r="C8" s="154">
        <v>25.5</v>
      </c>
      <c r="D8" s="155">
        <v>0.0577</v>
      </c>
      <c r="E8" s="156">
        <f>254.809*10</f>
        <v>2548.09</v>
      </c>
      <c r="F8" s="156"/>
      <c r="G8" s="156"/>
      <c r="H8" s="157">
        <v>10.0</v>
      </c>
      <c r="I8" s="158">
        <f t="shared" ref="I8:I11" si="1">+D8*E8</f>
        <v>147.024793</v>
      </c>
      <c r="J8" s="159">
        <f t="shared" ref="J8:J11" si="2">E8-I8</f>
        <v>2401.065207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60" t="s">
        <v>138</v>
      </c>
      <c r="C9" s="154">
        <v>18.5</v>
      </c>
      <c r="D9" s="161">
        <v>0.0919</v>
      </c>
      <c r="E9" s="162">
        <f>194.978*7</f>
        <v>1364.846</v>
      </c>
      <c r="F9" s="162"/>
      <c r="G9" s="162"/>
      <c r="H9" s="157">
        <v>7.0</v>
      </c>
      <c r="I9" s="158">
        <f t="shared" si="1"/>
        <v>125.4293474</v>
      </c>
      <c r="J9" s="159">
        <f t="shared" si="2"/>
        <v>1239.416653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60" t="s">
        <v>56</v>
      </c>
      <c r="C10" s="154">
        <v>29.5</v>
      </c>
      <c r="D10" s="155">
        <v>0.0146</v>
      </c>
      <c r="E10" s="156">
        <f>253.85*41</f>
        <v>10407.85</v>
      </c>
      <c r="F10" s="156"/>
      <c r="G10" s="156"/>
      <c r="H10" s="157">
        <v>41.0</v>
      </c>
      <c r="I10" s="158">
        <f t="shared" si="1"/>
        <v>151.95461</v>
      </c>
      <c r="J10" s="159">
        <f t="shared" si="2"/>
        <v>10255.89539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55</v>
      </c>
      <c r="C11" s="154">
        <v>29.5</v>
      </c>
      <c r="D11" s="161">
        <v>0.0155</v>
      </c>
      <c r="E11" s="162">
        <f>254.485*36</f>
        <v>9161.46</v>
      </c>
      <c r="F11" s="162"/>
      <c r="G11" s="162"/>
      <c r="H11" s="157">
        <v>36.0</v>
      </c>
      <c r="I11" s="158">
        <f t="shared" si="1"/>
        <v>142.00263</v>
      </c>
      <c r="J11" s="159">
        <f t="shared" si="2"/>
        <v>9019.45737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18.75" customHeight="1">
      <c r="A12" s="163"/>
      <c r="B12" s="164"/>
      <c r="C12" s="165"/>
      <c r="D12" s="166"/>
      <c r="E12" s="167">
        <f>SUM(E8:E11)</f>
        <v>23482.246</v>
      </c>
      <c r="F12" s="168"/>
      <c r="G12" s="168"/>
      <c r="H12" s="169"/>
      <c r="I12" s="170">
        <f t="shared" ref="I12:J12" si="3">SUM(I8:I11)</f>
        <v>566.4113804</v>
      </c>
      <c r="J12" s="171">
        <f t="shared" si="3"/>
        <v>22915.83462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18.75" customHeight="1">
      <c r="A13" s="172"/>
      <c r="B13" s="144"/>
      <c r="C13" s="144"/>
      <c r="D13" s="173"/>
      <c r="E13" s="174"/>
      <c r="F13" s="151"/>
      <c r="G13" s="151"/>
      <c r="H13" s="147"/>
      <c r="I13" s="175"/>
      <c r="J13" s="139"/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39"/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 t="s">
        <v>11</v>
      </c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40.5" customHeight="1">
      <c r="A18" s="176"/>
      <c r="B18" s="160" t="s">
        <v>12</v>
      </c>
      <c r="C18" s="177" t="s">
        <v>62</v>
      </c>
      <c r="D18" s="52"/>
      <c r="E18" s="53"/>
      <c r="F18" s="178"/>
      <c r="G18" s="178"/>
      <c r="H18" s="179" t="s">
        <v>14</v>
      </c>
      <c r="I18" s="160" t="s">
        <v>15</v>
      </c>
      <c r="J18" s="160" t="s">
        <v>16</v>
      </c>
      <c r="K18" s="139"/>
      <c r="L18" s="160" t="s">
        <v>17</v>
      </c>
      <c r="M18" s="160" t="s">
        <v>15</v>
      </c>
      <c r="N18" s="176" t="s">
        <v>18</v>
      </c>
      <c r="O18" s="139"/>
      <c r="P18" s="139"/>
      <c r="Q18" s="176" t="s">
        <v>129</v>
      </c>
      <c r="R18" s="180"/>
      <c r="S18" s="160" t="s">
        <v>17</v>
      </c>
      <c r="T18" s="160" t="s">
        <v>15</v>
      </c>
      <c r="U18" s="176" t="s">
        <v>18</v>
      </c>
      <c r="V18" s="139"/>
      <c r="W18" s="176" t="s">
        <v>19</v>
      </c>
      <c r="X18" s="176" t="s">
        <v>20</v>
      </c>
      <c r="Y18" s="176" t="s">
        <v>21</v>
      </c>
      <c r="Z18" s="176" t="s">
        <v>139</v>
      </c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27.0" customHeight="1">
      <c r="A19" s="160">
        <v>1.0</v>
      </c>
      <c r="B19" s="229" t="s">
        <v>140</v>
      </c>
      <c r="C19" s="285">
        <v>80.0</v>
      </c>
      <c r="D19" s="285">
        <v>206.0</v>
      </c>
      <c r="E19" s="285">
        <v>206.0</v>
      </c>
      <c r="F19" s="285">
        <f t="shared" ref="F19:F100" si="5">VALUE(IF(RIGHT(B19, 1)="%", RIGHT(B19, 3), 0))</f>
        <v>0.8</v>
      </c>
      <c r="G19" s="285">
        <f t="shared" ref="G19:G100" si="6">+R19*C19/100*D19/100*E19/100</f>
        <v>86.56944</v>
      </c>
      <c r="H19" s="184">
        <f t="shared" ref="H19:H100" si="7">IF(F19=0, G19, F19*G19)</f>
        <v>69.255552</v>
      </c>
      <c r="I19" s="183">
        <v>1.0</v>
      </c>
      <c r="J19" s="185">
        <f t="shared" ref="J19:J100" si="8">+I19*H19</f>
        <v>69.255552</v>
      </c>
      <c r="K19" s="286"/>
      <c r="L19" s="287">
        <f t="shared" ref="L19:L22" si="9">D19*25.4/1000</f>
        <v>5.2324</v>
      </c>
      <c r="M19" s="288">
        <f t="shared" ref="M19:M22" si="10">+I19</f>
        <v>1</v>
      </c>
      <c r="N19" s="288">
        <f t="shared" ref="N19:N22" si="11">M19*L19</f>
        <v>5.2324</v>
      </c>
      <c r="O19" s="286"/>
      <c r="P19" s="286"/>
      <c r="Q19" s="287"/>
      <c r="R19" s="281">
        <v>25.5</v>
      </c>
      <c r="S19" s="176">
        <f t="shared" ref="S19:S101" si="12">E19/100</f>
        <v>2.06</v>
      </c>
      <c r="T19" s="160">
        <f t="shared" ref="T19:T101" si="13">I19</f>
        <v>1</v>
      </c>
      <c r="U19" s="160">
        <f t="shared" ref="U19:U101" si="14">T19*S19</f>
        <v>2.06</v>
      </c>
      <c r="V19" s="282">
        <f t="shared" ref="V19:V100" si="15">R19*C19/100*D19/100*E19/100</f>
        <v>86.56944</v>
      </c>
      <c r="W19" s="176">
        <f t="shared" ref="W19:X19" si="4">C19/100</f>
        <v>0.8</v>
      </c>
      <c r="X19" s="176">
        <f t="shared" si="4"/>
        <v>2.06</v>
      </c>
      <c r="Y19" s="176">
        <f t="shared" ref="Y19:Y101" si="17">U19</f>
        <v>2.06</v>
      </c>
      <c r="Z19" s="283">
        <f t="shared" ref="Z19:Z101" si="18">W19*X19*Y19</f>
        <v>3.39488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27.0" customHeight="1">
      <c r="A20" s="160">
        <v>2.0</v>
      </c>
      <c r="B20" s="289" t="s">
        <v>137</v>
      </c>
      <c r="C20" s="290">
        <v>97.0</v>
      </c>
      <c r="D20" s="290">
        <v>206.0</v>
      </c>
      <c r="E20" s="290">
        <v>207.0</v>
      </c>
      <c r="F20" s="290">
        <f t="shared" si="5"/>
        <v>0</v>
      </c>
      <c r="G20" s="290">
        <f t="shared" si="6"/>
        <v>105.474987</v>
      </c>
      <c r="H20" s="291">
        <f t="shared" si="7"/>
        <v>105.474987</v>
      </c>
      <c r="I20" s="218">
        <v>1.0</v>
      </c>
      <c r="J20" s="193">
        <f t="shared" si="8"/>
        <v>105.474987</v>
      </c>
      <c r="K20" s="186"/>
      <c r="L20" s="187">
        <f t="shared" si="9"/>
        <v>5.2324</v>
      </c>
      <c r="M20" s="181">
        <f t="shared" si="10"/>
        <v>1</v>
      </c>
      <c r="N20" s="181">
        <f t="shared" si="11"/>
        <v>5.2324</v>
      </c>
      <c r="O20" s="186"/>
      <c r="P20" s="186"/>
      <c r="Q20" s="187" t="s">
        <v>141</v>
      </c>
      <c r="R20" s="281">
        <v>25.5</v>
      </c>
      <c r="S20" s="176">
        <f t="shared" si="12"/>
        <v>2.07</v>
      </c>
      <c r="T20" s="160">
        <f t="shared" si="13"/>
        <v>1</v>
      </c>
      <c r="U20" s="160">
        <f t="shared" si="14"/>
        <v>2.07</v>
      </c>
      <c r="V20" s="282">
        <f t="shared" si="15"/>
        <v>105.474987</v>
      </c>
      <c r="W20" s="176">
        <f t="shared" ref="W20:X20" si="16">C20/100</f>
        <v>0.97</v>
      </c>
      <c r="X20" s="176">
        <f t="shared" si="16"/>
        <v>2.06</v>
      </c>
      <c r="Y20" s="176">
        <f t="shared" si="17"/>
        <v>2.07</v>
      </c>
      <c r="Z20" s="283">
        <f t="shared" si="18"/>
        <v>4.136274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3.0</v>
      </c>
      <c r="B21" s="289" t="s">
        <v>137</v>
      </c>
      <c r="C21" s="290">
        <v>97.0</v>
      </c>
      <c r="D21" s="290">
        <v>206.0</v>
      </c>
      <c r="E21" s="290">
        <v>207.0</v>
      </c>
      <c r="F21" s="290">
        <f t="shared" si="5"/>
        <v>0</v>
      </c>
      <c r="G21" s="290">
        <f t="shared" si="6"/>
        <v>105.474987</v>
      </c>
      <c r="H21" s="291">
        <f t="shared" si="7"/>
        <v>105.474987</v>
      </c>
      <c r="I21" s="218">
        <v>1.0</v>
      </c>
      <c r="J21" s="193">
        <f t="shared" si="8"/>
        <v>105.474987</v>
      </c>
      <c r="K21" s="186"/>
      <c r="L21" s="187">
        <f t="shared" si="9"/>
        <v>5.2324</v>
      </c>
      <c r="M21" s="181">
        <f t="shared" si="10"/>
        <v>1</v>
      </c>
      <c r="N21" s="181">
        <f t="shared" si="11"/>
        <v>5.2324</v>
      </c>
      <c r="O21" s="186"/>
      <c r="P21" s="186"/>
      <c r="Q21" s="187" t="s">
        <v>141</v>
      </c>
      <c r="R21" s="281">
        <v>25.5</v>
      </c>
      <c r="S21" s="176">
        <f t="shared" si="12"/>
        <v>2.07</v>
      </c>
      <c r="T21" s="160">
        <f t="shared" si="13"/>
        <v>1</v>
      </c>
      <c r="U21" s="160">
        <f t="shared" si="14"/>
        <v>2.07</v>
      </c>
      <c r="V21" s="282">
        <f t="shared" si="15"/>
        <v>105.474987</v>
      </c>
      <c r="W21" s="176">
        <f t="shared" ref="W21:X21" si="19">C21/100</f>
        <v>0.97</v>
      </c>
      <c r="X21" s="176">
        <f t="shared" si="19"/>
        <v>2.06</v>
      </c>
      <c r="Y21" s="176">
        <f t="shared" si="17"/>
        <v>2.07</v>
      </c>
      <c r="Z21" s="283">
        <f t="shared" si="18"/>
        <v>4.136274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4.0</v>
      </c>
      <c r="B22" s="289" t="s">
        <v>137</v>
      </c>
      <c r="C22" s="290">
        <v>97.0</v>
      </c>
      <c r="D22" s="290">
        <v>206.0</v>
      </c>
      <c r="E22" s="290">
        <v>207.0</v>
      </c>
      <c r="F22" s="290">
        <f t="shared" si="5"/>
        <v>0</v>
      </c>
      <c r="G22" s="290">
        <f t="shared" si="6"/>
        <v>105.474987</v>
      </c>
      <c r="H22" s="291">
        <f t="shared" si="7"/>
        <v>105.474987</v>
      </c>
      <c r="I22" s="218">
        <v>1.0</v>
      </c>
      <c r="J22" s="193">
        <f t="shared" si="8"/>
        <v>105.474987</v>
      </c>
      <c r="K22" s="186"/>
      <c r="L22" s="187">
        <f t="shared" si="9"/>
        <v>5.2324</v>
      </c>
      <c r="M22" s="181">
        <f t="shared" si="10"/>
        <v>1</v>
      </c>
      <c r="N22" s="181">
        <f t="shared" si="11"/>
        <v>5.2324</v>
      </c>
      <c r="O22" s="186"/>
      <c r="P22" s="186"/>
      <c r="Q22" s="187"/>
      <c r="R22" s="281">
        <v>25.5</v>
      </c>
      <c r="S22" s="176">
        <f t="shared" si="12"/>
        <v>2.07</v>
      </c>
      <c r="T22" s="160">
        <f t="shared" si="13"/>
        <v>1</v>
      </c>
      <c r="U22" s="160">
        <f t="shared" si="14"/>
        <v>2.07</v>
      </c>
      <c r="V22" s="282">
        <f t="shared" si="15"/>
        <v>105.474987</v>
      </c>
      <c r="W22" s="176">
        <f t="shared" ref="W22:X22" si="20">C22/100</f>
        <v>0.97</v>
      </c>
      <c r="X22" s="176">
        <f t="shared" si="20"/>
        <v>2.06</v>
      </c>
      <c r="Y22" s="176">
        <f t="shared" si="17"/>
        <v>2.07</v>
      </c>
      <c r="Z22" s="283">
        <f t="shared" si="18"/>
        <v>4.136274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5.0</v>
      </c>
      <c r="B23" s="289" t="s">
        <v>137</v>
      </c>
      <c r="C23" s="290">
        <v>84.0</v>
      </c>
      <c r="D23" s="290">
        <v>206.0</v>
      </c>
      <c r="E23" s="290">
        <v>174.0</v>
      </c>
      <c r="F23" s="290">
        <f t="shared" si="5"/>
        <v>0</v>
      </c>
      <c r="G23" s="290">
        <f t="shared" si="6"/>
        <v>76.777848</v>
      </c>
      <c r="H23" s="291">
        <f t="shared" si="7"/>
        <v>76.777848</v>
      </c>
      <c r="I23" s="218">
        <v>1.0</v>
      </c>
      <c r="J23" s="193">
        <f t="shared" si="8"/>
        <v>76.777848</v>
      </c>
      <c r="K23" s="186"/>
      <c r="L23" s="187"/>
      <c r="M23" s="181"/>
      <c r="N23" s="181"/>
      <c r="O23" s="186"/>
      <c r="P23" s="186"/>
      <c r="Q23" s="187"/>
      <c r="R23" s="281">
        <v>25.5</v>
      </c>
      <c r="S23" s="176">
        <f t="shared" si="12"/>
        <v>1.74</v>
      </c>
      <c r="T23" s="160">
        <f t="shared" si="13"/>
        <v>1</v>
      </c>
      <c r="U23" s="160">
        <f t="shared" si="14"/>
        <v>1.74</v>
      </c>
      <c r="V23" s="282">
        <f t="shared" si="15"/>
        <v>76.777848</v>
      </c>
      <c r="W23" s="176">
        <f t="shared" ref="W23:X23" si="21">C23/100</f>
        <v>0.84</v>
      </c>
      <c r="X23" s="176">
        <f t="shared" si="21"/>
        <v>2.06</v>
      </c>
      <c r="Y23" s="176">
        <f t="shared" si="17"/>
        <v>1.74</v>
      </c>
      <c r="Z23" s="283">
        <f t="shared" si="18"/>
        <v>3.010896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6.0</v>
      </c>
      <c r="B24" s="289" t="s">
        <v>137</v>
      </c>
      <c r="C24" s="290">
        <v>88.0</v>
      </c>
      <c r="D24" s="290">
        <v>206.0</v>
      </c>
      <c r="E24" s="290">
        <v>207.0</v>
      </c>
      <c r="F24" s="290">
        <f t="shared" si="5"/>
        <v>0</v>
      </c>
      <c r="G24" s="290">
        <f t="shared" si="6"/>
        <v>95.688648</v>
      </c>
      <c r="H24" s="291">
        <f t="shared" si="7"/>
        <v>95.688648</v>
      </c>
      <c r="I24" s="218">
        <v>1.0</v>
      </c>
      <c r="J24" s="193">
        <f t="shared" si="8"/>
        <v>95.688648</v>
      </c>
      <c r="K24" s="186"/>
      <c r="L24" s="187"/>
      <c r="M24" s="181"/>
      <c r="N24" s="181"/>
      <c r="O24" s="186"/>
      <c r="P24" s="186"/>
      <c r="Q24" s="187" t="s">
        <v>142</v>
      </c>
      <c r="R24" s="281">
        <v>25.5</v>
      </c>
      <c r="S24" s="176">
        <f t="shared" si="12"/>
        <v>2.07</v>
      </c>
      <c r="T24" s="160">
        <f t="shared" si="13"/>
        <v>1</v>
      </c>
      <c r="U24" s="160">
        <f t="shared" si="14"/>
        <v>2.07</v>
      </c>
      <c r="V24" s="282">
        <f t="shared" si="15"/>
        <v>95.688648</v>
      </c>
      <c r="W24" s="176">
        <f t="shared" ref="W24:X24" si="22">C24/100</f>
        <v>0.88</v>
      </c>
      <c r="X24" s="176">
        <f t="shared" si="22"/>
        <v>2.06</v>
      </c>
      <c r="Y24" s="176">
        <f t="shared" si="17"/>
        <v>2.07</v>
      </c>
      <c r="Z24" s="283">
        <f t="shared" si="18"/>
        <v>3.752496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7.0</v>
      </c>
      <c r="B25" s="289" t="s">
        <v>137</v>
      </c>
      <c r="C25" s="290">
        <v>96.0</v>
      </c>
      <c r="D25" s="290">
        <v>206.0</v>
      </c>
      <c r="E25" s="290">
        <v>207.0</v>
      </c>
      <c r="F25" s="290">
        <f t="shared" si="5"/>
        <v>0</v>
      </c>
      <c r="G25" s="290">
        <f t="shared" si="6"/>
        <v>104.387616</v>
      </c>
      <c r="H25" s="291">
        <f t="shared" si="7"/>
        <v>104.387616</v>
      </c>
      <c r="I25" s="218">
        <v>1.0</v>
      </c>
      <c r="J25" s="193">
        <f t="shared" si="8"/>
        <v>104.387616</v>
      </c>
      <c r="K25" s="186"/>
      <c r="L25" s="187">
        <f t="shared" ref="L25:L49" si="24">D25*25.4/1000</f>
        <v>5.2324</v>
      </c>
      <c r="M25" s="181">
        <f t="shared" ref="M25:M60" si="25">+I25</f>
        <v>1</v>
      </c>
      <c r="N25" s="181">
        <f t="shared" ref="N25:N49" si="26">M25*L25</f>
        <v>5.2324</v>
      </c>
      <c r="O25" s="186"/>
      <c r="P25" s="186"/>
      <c r="Q25" s="187" t="s">
        <v>143</v>
      </c>
      <c r="R25" s="281">
        <v>25.5</v>
      </c>
      <c r="S25" s="176">
        <f t="shared" si="12"/>
        <v>2.07</v>
      </c>
      <c r="T25" s="160">
        <f t="shared" si="13"/>
        <v>1</v>
      </c>
      <c r="U25" s="160">
        <f t="shared" si="14"/>
        <v>2.07</v>
      </c>
      <c r="V25" s="282">
        <f t="shared" si="15"/>
        <v>104.387616</v>
      </c>
      <c r="W25" s="176">
        <f t="shared" ref="W25:X25" si="23">C25/100</f>
        <v>0.96</v>
      </c>
      <c r="X25" s="176">
        <f t="shared" si="23"/>
        <v>2.06</v>
      </c>
      <c r="Y25" s="176">
        <f t="shared" si="17"/>
        <v>2.07</v>
      </c>
      <c r="Z25" s="283">
        <f t="shared" si="18"/>
        <v>4.093632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8.0</v>
      </c>
      <c r="B26" s="289" t="s">
        <v>137</v>
      </c>
      <c r="C26" s="290">
        <v>96.0</v>
      </c>
      <c r="D26" s="290">
        <v>206.0</v>
      </c>
      <c r="E26" s="290">
        <v>207.0</v>
      </c>
      <c r="F26" s="290">
        <f t="shared" si="5"/>
        <v>0</v>
      </c>
      <c r="G26" s="290">
        <f t="shared" si="6"/>
        <v>104.387616</v>
      </c>
      <c r="H26" s="291">
        <f t="shared" si="7"/>
        <v>104.387616</v>
      </c>
      <c r="I26" s="218">
        <v>3.0</v>
      </c>
      <c r="J26" s="193">
        <f t="shared" si="8"/>
        <v>313.162848</v>
      </c>
      <c r="K26" s="186"/>
      <c r="L26" s="187">
        <f t="shared" si="24"/>
        <v>5.2324</v>
      </c>
      <c r="M26" s="181">
        <f t="shared" si="25"/>
        <v>3</v>
      </c>
      <c r="N26" s="181">
        <f t="shared" si="26"/>
        <v>15.6972</v>
      </c>
      <c r="O26" s="186"/>
      <c r="P26" s="186"/>
      <c r="Q26" s="187"/>
      <c r="R26" s="281">
        <v>25.5</v>
      </c>
      <c r="S26" s="176">
        <f t="shared" si="12"/>
        <v>2.07</v>
      </c>
      <c r="T26" s="160">
        <f t="shared" si="13"/>
        <v>3</v>
      </c>
      <c r="U26" s="160">
        <f t="shared" si="14"/>
        <v>6.21</v>
      </c>
      <c r="V26" s="282">
        <f t="shared" si="15"/>
        <v>104.387616</v>
      </c>
      <c r="W26" s="176">
        <f t="shared" ref="W26:X26" si="27">C26/100</f>
        <v>0.96</v>
      </c>
      <c r="X26" s="176">
        <f t="shared" si="27"/>
        <v>2.06</v>
      </c>
      <c r="Y26" s="176">
        <f t="shared" si="17"/>
        <v>6.21</v>
      </c>
      <c r="Z26" s="283">
        <f t="shared" si="18"/>
        <v>12.280896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9.0</v>
      </c>
      <c r="B27" s="289" t="s">
        <v>137</v>
      </c>
      <c r="C27" s="290">
        <v>95.0</v>
      </c>
      <c r="D27" s="290">
        <v>206.0</v>
      </c>
      <c r="E27" s="290">
        <v>207.0</v>
      </c>
      <c r="F27" s="290">
        <f t="shared" si="5"/>
        <v>0</v>
      </c>
      <c r="G27" s="290">
        <f t="shared" si="6"/>
        <v>103.300245</v>
      </c>
      <c r="H27" s="291">
        <f t="shared" si="7"/>
        <v>103.300245</v>
      </c>
      <c r="I27" s="218">
        <v>1.0</v>
      </c>
      <c r="J27" s="193">
        <f t="shared" si="8"/>
        <v>103.300245</v>
      </c>
      <c r="K27" s="186"/>
      <c r="L27" s="187">
        <f t="shared" si="24"/>
        <v>5.2324</v>
      </c>
      <c r="M27" s="181">
        <f t="shared" si="25"/>
        <v>1</v>
      </c>
      <c r="N27" s="181">
        <f t="shared" si="26"/>
        <v>5.2324</v>
      </c>
      <c r="O27" s="186"/>
      <c r="P27" s="186"/>
      <c r="Q27" s="187" t="s">
        <v>143</v>
      </c>
      <c r="R27" s="281">
        <v>25.5</v>
      </c>
      <c r="S27" s="176">
        <f t="shared" si="12"/>
        <v>2.07</v>
      </c>
      <c r="T27" s="160">
        <f t="shared" si="13"/>
        <v>1</v>
      </c>
      <c r="U27" s="160">
        <f t="shared" si="14"/>
        <v>2.07</v>
      </c>
      <c r="V27" s="282">
        <f t="shared" si="15"/>
        <v>103.300245</v>
      </c>
      <c r="W27" s="176">
        <f t="shared" ref="W27:X27" si="28">C27/100</f>
        <v>0.95</v>
      </c>
      <c r="X27" s="176">
        <f t="shared" si="28"/>
        <v>2.06</v>
      </c>
      <c r="Y27" s="176">
        <f t="shared" si="17"/>
        <v>2.07</v>
      </c>
      <c r="Z27" s="283">
        <f t="shared" si="18"/>
        <v>4.05099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10.0</v>
      </c>
      <c r="B28" s="289" t="s">
        <v>137</v>
      </c>
      <c r="C28" s="290">
        <v>95.0</v>
      </c>
      <c r="D28" s="290">
        <v>206.0</v>
      </c>
      <c r="E28" s="290">
        <v>207.0</v>
      </c>
      <c r="F28" s="290">
        <f t="shared" si="5"/>
        <v>0</v>
      </c>
      <c r="G28" s="290">
        <f t="shared" si="6"/>
        <v>103.300245</v>
      </c>
      <c r="H28" s="291">
        <f t="shared" si="7"/>
        <v>103.300245</v>
      </c>
      <c r="I28" s="218">
        <v>1.0</v>
      </c>
      <c r="J28" s="193">
        <f t="shared" si="8"/>
        <v>103.300245</v>
      </c>
      <c r="K28" s="186"/>
      <c r="L28" s="187">
        <f t="shared" si="24"/>
        <v>5.2324</v>
      </c>
      <c r="M28" s="181">
        <f t="shared" si="25"/>
        <v>1</v>
      </c>
      <c r="N28" s="181">
        <f t="shared" si="26"/>
        <v>5.2324</v>
      </c>
      <c r="O28" s="186"/>
      <c r="P28" s="186"/>
      <c r="Q28" s="187"/>
      <c r="R28" s="281">
        <v>25.5</v>
      </c>
      <c r="S28" s="176">
        <f t="shared" si="12"/>
        <v>2.07</v>
      </c>
      <c r="T28" s="160">
        <f t="shared" si="13"/>
        <v>1</v>
      </c>
      <c r="U28" s="160">
        <f t="shared" si="14"/>
        <v>2.07</v>
      </c>
      <c r="V28" s="282">
        <f t="shared" si="15"/>
        <v>103.300245</v>
      </c>
      <c r="W28" s="176">
        <f t="shared" ref="W28:X28" si="29">C28/100</f>
        <v>0.95</v>
      </c>
      <c r="X28" s="176">
        <f t="shared" si="29"/>
        <v>2.06</v>
      </c>
      <c r="Y28" s="176">
        <f t="shared" si="17"/>
        <v>2.07</v>
      </c>
      <c r="Z28" s="283">
        <f t="shared" si="18"/>
        <v>4.05099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11.0</v>
      </c>
      <c r="B29" s="289" t="s">
        <v>137</v>
      </c>
      <c r="C29" s="290">
        <v>96.0</v>
      </c>
      <c r="D29" s="290">
        <v>206.0</v>
      </c>
      <c r="E29" s="290">
        <v>206.0</v>
      </c>
      <c r="F29" s="290">
        <f t="shared" si="5"/>
        <v>0</v>
      </c>
      <c r="G29" s="290">
        <f t="shared" si="6"/>
        <v>103.883328</v>
      </c>
      <c r="H29" s="291">
        <f t="shared" si="7"/>
        <v>103.883328</v>
      </c>
      <c r="I29" s="218">
        <v>3.0</v>
      </c>
      <c r="J29" s="193">
        <f t="shared" si="8"/>
        <v>311.649984</v>
      </c>
      <c r="K29" s="186"/>
      <c r="L29" s="187">
        <f t="shared" si="24"/>
        <v>5.2324</v>
      </c>
      <c r="M29" s="181">
        <f t="shared" si="25"/>
        <v>3</v>
      </c>
      <c r="N29" s="181">
        <f t="shared" si="26"/>
        <v>15.6972</v>
      </c>
      <c r="O29" s="186"/>
      <c r="P29" s="186"/>
      <c r="Q29" s="187"/>
      <c r="R29" s="281">
        <v>25.5</v>
      </c>
      <c r="S29" s="176">
        <f t="shared" si="12"/>
        <v>2.06</v>
      </c>
      <c r="T29" s="160">
        <f t="shared" si="13"/>
        <v>3</v>
      </c>
      <c r="U29" s="160">
        <f t="shared" si="14"/>
        <v>6.18</v>
      </c>
      <c r="V29" s="282">
        <f t="shared" si="15"/>
        <v>103.883328</v>
      </c>
      <c r="W29" s="176">
        <f t="shared" ref="W29:X29" si="30">C29/100</f>
        <v>0.96</v>
      </c>
      <c r="X29" s="176">
        <f t="shared" si="30"/>
        <v>2.06</v>
      </c>
      <c r="Y29" s="176">
        <f t="shared" si="17"/>
        <v>6.18</v>
      </c>
      <c r="Z29" s="283">
        <f t="shared" si="18"/>
        <v>12.221568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12.0</v>
      </c>
      <c r="B30" s="289" t="s">
        <v>137</v>
      </c>
      <c r="C30" s="290">
        <v>95.0</v>
      </c>
      <c r="D30" s="290">
        <v>206.0</v>
      </c>
      <c r="E30" s="290">
        <v>206.0</v>
      </c>
      <c r="F30" s="290">
        <f t="shared" si="5"/>
        <v>0</v>
      </c>
      <c r="G30" s="290">
        <f t="shared" si="6"/>
        <v>102.80121</v>
      </c>
      <c r="H30" s="291">
        <f t="shared" si="7"/>
        <v>102.80121</v>
      </c>
      <c r="I30" s="218">
        <v>3.0</v>
      </c>
      <c r="J30" s="193">
        <f t="shared" si="8"/>
        <v>308.40363</v>
      </c>
      <c r="K30" s="186"/>
      <c r="L30" s="187">
        <f t="shared" si="24"/>
        <v>5.2324</v>
      </c>
      <c r="M30" s="181">
        <f t="shared" si="25"/>
        <v>3</v>
      </c>
      <c r="N30" s="181">
        <f t="shared" si="26"/>
        <v>15.6972</v>
      </c>
      <c r="O30" s="186"/>
      <c r="P30" s="186"/>
      <c r="Q30" s="187"/>
      <c r="R30" s="281">
        <v>25.5</v>
      </c>
      <c r="S30" s="176">
        <f t="shared" si="12"/>
        <v>2.06</v>
      </c>
      <c r="T30" s="160">
        <f t="shared" si="13"/>
        <v>3</v>
      </c>
      <c r="U30" s="160">
        <f t="shared" si="14"/>
        <v>6.18</v>
      </c>
      <c r="V30" s="282">
        <f t="shared" si="15"/>
        <v>102.80121</v>
      </c>
      <c r="W30" s="176">
        <f t="shared" ref="W30:X30" si="31">C30/100</f>
        <v>0.95</v>
      </c>
      <c r="X30" s="176">
        <f t="shared" si="31"/>
        <v>2.06</v>
      </c>
      <c r="Y30" s="176">
        <f t="shared" si="17"/>
        <v>6.18</v>
      </c>
      <c r="Z30" s="283">
        <f t="shared" si="18"/>
        <v>12.09426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13.0</v>
      </c>
      <c r="B31" s="289" t="s">
        <v>137</v>
      </c>
      <c r="C31" s="290">
        <v>92.0</v>
      </c>
      <c r="D31" s="290">
        <v>206.0</v>
      </c>
      <c r="E31" s="290">
        <v>206.0</v>
      </c>
      <c r="F31" s="290">
        <f t="shared" si="5"/>
        <v>0</v>
      </c>
      <c r="G31" s="290">
        <f t="shared" si="6"/>
        <v>99.554856</v>
      </c>
      <c r="H31" s="291">
        <f t="shared" si="7"/>
        <v>99.554856</v>
      </c>
      <c r="I31" s="218">
        <v>1.0</v>
      </c>
      <c r="J31" s="193">
        <f t="shared" si="8"/>
        <v>99.554856</v>
      </c>
      <c r="K31" s="186"/>
      <c r="L31" s="187">
        <f t="shared" si="24"/>
        <v>5.2324</v>
      </c>
      <c r="M31" s="181">
        <f t="shared" si="25"/>
        <v>1</v>
      </c>
      <c r="N31" s="181">
        <f t="shared" si="26"/>
        <v>5.2324</v>
      </c>
      <c r="O31" s="186"/>
      <c r="P31" s="186"/>
      <c r="Q31" s="187"/>
      <c r="R31" s="281">
        <v>25.5</v>
      </c>
      <c r="S31" s="176">
        <f t="shared" si="12"/>
        <v>2.06</v>
      </c>
      <c r="T31" s="160">
        <f t="shared" si="13"/>
        <v>1</v>
      </c>
      <c r="U31" s="160">
        <f t="shared" si="14"/>
        <v>2.06</v>
      </c>
      <c r="V31" s="282">
        <f t="shared" si="15"/>
        <v>99.554856</v>
      </c>
      <c r="W31" s="176">
        <f t="shared" ref="W31:X31" si="32">C31/100</f>
        <v>0.92</v>
      </c>
      <c r="X31" s="176">
        <f t="shared" si="32"/>
        <v>2.06</v>
      </c>
      <c r="Y31" s="176">
        <f t="shared" si="17"/>
        <v>2.06</v>
      </c>
      <c r="Z31" s="283">
        <f t="shared" si="18"/>
        <v>3.904112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14.0</v>
      </c>
      <c r="B32" s="289" t="s">
        <v>137</v>
      </c>
      <c r="C32" s="290">
        <v>94.0</v>
      </c>
      <c r="D32" s="290">
        <v>206.0</v>
      </c>
      <c r="E32" s="290">
        <v>206.0</v>
      </c>
      <c r="F32" s="290">
        <f t="shared" si="5"/>
        <v>0</v>
      </c>
      <c r="G32" s="290">
        <f t="shared" si="6"/>
        <v>101.719092</v>
      </c>
      <c r="H32" s="291">
        <f t="shared" si="7"/>
        <v>101.719092</v>
      </c>
      <c r="I32" s="218">
        <v>1.0</v>
      </c>
      <c r="J32" s="193">
        <f t="shared" si="8"/>
        <v>101.719092</v>
      </c>
      <c r="K32" s="186"/>
      <c r="L32" s="187">
        <f t="shared" si="24"/>
        <v>5.2324</v>
      </c>
      <c r="M32" s="181">
        <f t="shared" si="25"/>
        <v>1</v>
      </c>
      <c r="N32" s="181">
        <f t="shared" si="26"/>
        <v>5.2324</v>
      </c>
      <c r="O32" s="186"/>
      <c r="P32" s="186"/>
      <c r="Q32" s="187"/>
      <c r="R32" s="281">
        <v>25.5</v>
      </c>
      <c r="S32" s="176">
        <f t="shared" si="12"/>
        <v>2.06</v>
      </c>
      <c r="T32" s="160">
        <f t="shared" si="13"/>
        <v>1</v>
      </c>
      <c r="U32" s="160">
        <f t="shared" si="14"/>
        <v>2.06</v>
      </c>
      <c r="V32" s="282">
        <f t="shared" si="15"/>
        <v>101.719092</v>
      </c>
      <c r="W32" s="176">
        <f t="shared" ref="W32:X32" si="33">C32/100</f>
        <v>0.94</v>
      </c>
      <c r="X32" s="176">
        <f t="shared" si="33"/>
        <v>2.06</v>
      </c>
      <c r="Y32" s="176">
        <f t="shared" si="17"/>
        <v>2.06</v>
      </c>
      <c r="Z32" s="283">
        <f t="shared" si="18"/>
        <v>3.988984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15.0</v>
      </c>
      <c r="B33" s="289" t="s">
        <v>137</v>
      </c>
      <c r="C33" s="290">
        <v>98.0</v>
      </c>
      <c r="D33" s="290">
        <v>206.0</v>
      </c>
      <c r="E33" s="290">
        <v>207.0</v>
      </c>
      <c r="F33" s="290">
        <f t="shared" si="5"/>
        <v>0</v>
      </c>
      <c r="G33" s="290">
        <f t="shared" si="6"/>
        <v>106.562358</v>
      </c>
      <c r="H33" s="291">
        <f t="shared" si="7"/>
        <v>106.562358</v>
      </c>
      <c r="I33" s="218">
        <v>1.0</v>
      </c>
      <c r="J33" s="193">
        <f t="shared" si="8"/>
        <v>106.562358</v>
      </c>
      <c r="K33" s="186"/>
      <c r="L33" s="187">
        <f t="shared" si="24"/>
        <v>5.2324</v>
      </c>
      <c r="M33" s="181">
        <f t="shared" si="25"/>
        <v>1</v>
      </c>
      <c r="N33" s="181">
        <f t="shared" si="26"/>
        <v>5.2324</v>
      </c>
      <c r="O33" s="186"/>
      <c r="P33" s="186"/>
      <c r="Q33" s="187"/>
      <c r="R33" s="281">
        <v>25.5</v>
      </c>
      <c r="S33" s="176">
        <f t="shared" si="12"/>
        <v>2.07</v>
      </c>
      <c r="T33" s="160">
        <f t="shared" si="13"/>
        <v>1</v>
      </c>
      <c r="U33" s="160">
        <f t="shared" si="14"/>
        <v>2.07</v>
      </c>
      <c r="V33" s="282">
        <f t="shared" si="15"/>
        <v>106.562358</v>
      </c>
      <c r="W33" s="176">
        <f t="shared" ref="W33:X33" si="34">C33/100</f>
        <v>0.98</v>
      </c>
      <c r="X33" s="176">
        <f t="shared" si="34"/>
        <v>2.06</v>
      </c>
      <c r="Y33" s="176">
        <f t="shared" si="17"/>
        <v>2.07</v>
      </c>
      <c r="Z33" s="283">
        <f t="shared" si="18"/>
        <v>4.178916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16.0</v>
      </c>
      <c r="B34" s="289" t="s">
        <v>137</v>
      </c>
      <c r="C34" s="290">
        <v>97.0</v>
      </c>
      <c r="D34" s="290">
        <v>206.0</v>
      </c>
      <c r="E34" s="290">
        <v>144.0</v>
      </c>
      <c r="F34" s="290">
        <f t="shared" si="5"/>
        <v>0</v>
      </c>
      <c r="G34" s="290">
        <f t="shared" si="6"/>
        <v>73.373904</v>
      </c>
      <c r="H34" s="291">
        <f t="shared" si="7"/>
        <v>73.373904</v>
      </c>
      <c r="I34" s="218">
        <v>1.0</v>
      </c>
      <c r="J34" s="193">
        <f t="shared" si="8"/>
        <v>73.373904</v>
      </c>
      <c r="K34" s="186"/>
      <c r="L34" s="187">
        <f t="shared" si="24"/>
        <v>5.2324</v>
      </c>
      <c r="M34" s="181">
        <f t="shared" si="25"/>
        <v>1</v>
      </c>
      <c r="N34" s="181">
        <f t="shared" si="26"/>
        <v>5.2324</v>
      </c>
      <c r="O34" s="186"/>
      <c r="P34" s="186"/>
      <c r="Q34" s="187"/>
      <c r="R34" s="281">
        <v>25.5</v>
      </c>
      <c r="S34" s="176">
        <f t="shared" si="12"/>
        <v>1.44</v>
      </c>
      <c r="T34" s="160">
        <f t="shared" si="13"/>
        <v>1</v>
      </c>
      <c r="U34" s="160">
        <f t="shared" si="14"/>
        <v>1.44</v>
      </c>
      <c r="V34" s="282">
        <f t="shared" si="15"/>
        <v>73.373904</v>
      </c>
      <c r="W34" s="176">
        <f t="shared" ref="W34:X34" si="35">C34/100</f>
        <v>0.97</v>
      </c>
      <c r="X34" s="176">
        <f t="shared" si="35"/>
        <v>2.06</v>
      </c>
      <c r="Y34" s="176">
        <f t="shared" si="17"/>
        <v>1.44</v>
      </c>
      <c r="Z34" s="283">
        <f t="shared" si="18"/>
        <v>2.877408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17.0</v>
      </c>
      <c r="B35" s="182" t="s">
        <v>144</v>
      </c>
      <c r="C35" s="183">
        <v>87.0</v>
      </c>
      <c r="D35" s="183">
        <v>203.0</v>
      </c>
      <c r="E35" s="183">
        <v>208.0</v>
      </c>
      <c r="F35" s="183">
        <f t="shared" si="5"/>
        <v>0.8</v>
      </c>
      <c r="G35" s="183">
        <f t="shared" si="6"/>
        <v>67.959528</v>
      </c>
      <c r="H35" s="184">
        <f t="shared" si="7"/>
        <v>54.3676224</v>
      </c>
      <c r="I35" s="183">
        <v>1.0</v>
      </c>
      <c r="J35" s="185">
        <f t="shared" si="8"/>
        <v>54.3676224</v>
      </c>
      <c r="K35" s="286"/>
      <c r="L35" s="287">
        <f t="shared" si="24"/>
        <v>5.1562</v>
      </c>
      <c r="M35" s="288">
        <f t="shared" si="25"/>
        <v>1</v>
      </c>
      <c r="N35" s="288">
        <f t="shared" si="26"/>
        <v>5.1562</v>
      </c>
      <c r="O35" s="286"/>
      <c r="P35" s="286"/>
      <c r="Q35" s="287"/>
      <c r="R35" s="281">
        <v>18.5</v>
      </c>
      <c r="S35" s="176">
        <f t="shared" si="12"/>
        <v>2.08</v>
      </c>
      <c r="T35" s="160">
        <f t="shared" si="13"/>
        <v>1</v>
      </c>
      <c r="U35" s="160">
        <f t="shared" si="14"/>
        <v>2.08</v>
      </c>
      <c r="V35" s="282">
        <f t="shared" si="15"/>
        <v>67.959528</v>
      </c>
      <c r="W35" s="176">
        <f t="shared" ref="W35:X35" si="36">C35/100</f>
        <v>0.87</v>
      </c>
      <c r="X35" s="176">
        <f t="shared" si="36"/>
        <v>2.03</v>
      </c>
      <c r="Y35" s="176">
        <f t="shared" si="17"/>
        <v>2.08</v>
      </c>
      <c r="Z35" s="283">
        <f t="shared" si="18"/>
        <v>3.673488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18.0</v>
      </c>
      <c r="B36" s="289" t="s">
        <v>138</v>
      </c>
      <c r="C36" s="290">
        <v>99.0</v>
      </c>
      <c r="D36" s="290">
        <v>203.0</v>
      </c>
      <c r="E36" s="290">
        <v>207.0</v>
      </c>
      <c r="F36" s="290">
        <f t="shared" si="5"/>
        <v>0</v>
      </c>
      <c r="G36" s="290">
        <f t="shared" si="6"/>
        <v>76.9614615</v>
      </c>
      <c r="H36" s="291">
        <f t="shared" si="7"/>
        <v>76.9614615</v>
      </c>
      <c r="I36" s="218">
        <v>1.0</v>
      </c>
      <c r="J36" s="193">
        <f t="shared" si="8"/>
        <v>76.9614615</v>
      </c>
      <c r="K36" s="186"/>
      <c r="L36" s="187">
        <f t="shared" si="24"/>
        <v>5.1562</v>
      </c>
      <c r="M36" s="181">
        <f t="shared" si="25"/>
        <v>1</v>
      </c>
      <c r="N36" s="181">
        <f t="shared" si="26"/>
        <v>5.1562</v>
      </c>
      <c r="O36" s="186"/>
      <c r="P36" s="186"/>
      <c r="Q36" s="187" t="s">
        <v>145</v>
      </c>
      <c r="R36" s="281">
        <v>18.5</v>
      </c>
      <c r="S36" s="176">
        <f t="shared" si="12"/>
        <v>2.07</v>
      </c>
      <c r="T36" s="160">
        <f t="shared" si="13"/>
        <v>1</v>
      </c>
      <c r="U36" s="160">
        <f t="shared" si="14"/>
        <v>2.07</v>
      </c>
      <c r="V36" s="282">
        <f t="shared" si="15"/>
        <v>76.9614615</v>
      </c>
      <c r="W36" s="176">
        <f t="shared" ref="W36:X36" si="37">C36/100</f>
        <v>0.99</v>
      </c>
      <c r="X36" s="176">
        <f t="shared" si="37"/>
        <v>2.03</v>
      </c>
      <c r="Y36" s="176">
        <f t="shared" si="17"/>
        <v>2.07</v>
      </c>
      <c r="Z36" s="283">
        <f t="shared" si="18"/>
        <v>4.160079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19.0</v>
      </c>
      <c r="B37" s="289" t="s">
        <v>138</v>
      </c>
      <c r="C37" s="290">
        <v>99.0</v>
      </c>
      <c r="D37" s="290">
        <v>203.0</v>
      </c>
      <c r="E37" s="290">
        <v>207.0</v>
      </c>
      <c r="F37" s="290">
        <f t="shared" si="5"/>
        <v>0</v>
      </c>
      <c r="G37" s="290">
        <f t="shared" si="6"/>
        <v>76.9614615</v>
      </c>
      <c r="H37" s="291">
        <f t="shared" si="7"/>
        <v>76.9614615</v>
      </c>
      <c r="I37" s="218">
        <v>1.0</v>
      </c>
      <c r="J37" s="193">
        <f t="shared" si="8"/>
        <v>76.9614615</v>
      </c>
      <c r="K37" s="186"/>
      <c r="L37" s="187">
        <f t="shared" si="24"/>
        <v>5.1562</v>
      </c>
      <c r="M37" s="181">
        <f t="shared" si="25"/>
        <v>1</v>
      </c>
      <c r="N37" s="181">
        <f t="shared" si="26"/>
        <v>5.1562</v>
      </c>
      <c r="O37" s="186"/>
      <c r="P37" s="186"/>
      <c r="Q37" s="187" t="s">
        <v>145</v>
      </c>
      <c r="R37" s="281">
        <v>18.5</v>
      </c>
      <c r="S37" s="176">
        <f t="shared" si="12"/>
        <v>2.07</v>
      </c>
      <c r="T37" s="160">
        <f t="shared" si="13"/>
        <v>1</v>
      </c>
      <c r="U37" s="160">
        <f t="shared" si="14"/>
        <v>2.07</v>
      </c>
      <c r="V37" s="282">
        <f t="shared" si="15"/>
        <v>76.9614615</v>
      </c>
      <c r="W37" s="176">
        <f t="shared" ref="W37:X37" si="38">C37/100</f>
        <v>0.99</v>
      </c>
      <c r="X37" s="176">
        <f t="shared" si="38"/>
        <v>2.03</v>
      </c>
      <c r="Y37" s="176">
        <f t="shared" si="17"/>
        <v>2.07</v>
      </c>
      <c r="Z37" s="283">
        <f t="shared" si="18"/>
        <v>4.160079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20.0</v>
      </c>
      <c r="B38" s="289" t="s">
        <v>138</v>
      </c>
      <c r="C38" s="290">
        <v>99.0</v>
      </c>
      <c r="D38" s="290">
        <v>203.0</v>
      </c>
      <c r="E38" s="290">
        <v>207.0</v>
      </c>
      <c r="F38" s="290">
        <f t="shared" si="5"/>
        <v>0</v>
      </c>
      <c r="G38" s="290">
        <f t="shared" si="6"/>
        <v>76.9614615</v>
      </c>
      <c r="H38" s="291">
        <f t="shared" si="7"/>
        <v>76.9614615</v>
      </c>
      <c r="I38" s="218">
        <v>1.0</v>
      </c>
      <c r="J38" s="193">
        <f t="shared" si="8"/>
        <v>76.9614615</v>
      </c>
      <c r="K38" s="186"/>
      <c r="L38" s="187">
        <f t="shared" si="24"/>
        <v>5.1562</v>
      </c>
      <c r="M38" s="181">
        <f t="shared" si="25"/>
        <v>1</v>
      </c>
      <c r="N38" s="181">
        <f t="shared" si="26"/>
        <v>5.1562</v>
      </c>
      <c r="O38" s="186"/>
      <c r="P38" s="186"/>
      <c r="Q38" s="187" t="s">
        <v>146</v>
      </c>
      <c r="R38" s="281">
        <v>18.5</v>
      </c>
      <c r="S38" s="176">
        <f t="shared" si="12"/>
        <v>2.07</v>
      </c>
      <c r="T38" s="160">
        <f t="shared" si="13"/>
        <v>1</v>
      </c>
      <c r="U38" s="160">
        <f t="shared" si="14"/>
        <v>2.07</v>
      </c>
      <c r="V38" s="282">
        <f t="shared" si="15"/>
        <v>76.9614615</v>
      </c>
      <c r="W38" s="176">
        <f t="shared" ref="W38:X38" si="39">C38/100</f>
        <v>0.99</v>
      </c>
      <c r="X38" s="176">
        <f t="shared" si="39"/>
        <v>2.03</v>
      </c>
      <c r="Y38" s="176">
        <f t="shared" si="17"/>
        <v>2.07</v>
      </c>
      <c r="Z38" s="283">
        <f t="shared" si="18"/>
        <v>4.160079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21.0</v>
      </c>
      <c r="B39" s="289" t="s">
        <v>138</v>
      </c>
      <c r="C39" s="290">
        <v>99.0</v>
      </c>
      <c r="D39" s="290">
        <v>203.0</v>
      </c>
      <c r="E39" s="290">
        <v>207.0</v>
      </c>
      <c r="F39" s="290">
        <f t="shared" si="5"/>
        <v>0</v>
      </c>
      <c r="G39" s="290">
        <f t="shared" si="6"/>
        <v>76.9614615</v>
      </c>
      <c r="H39" s="291">
        <f t="shared" si="7"/>
        <v>76.9614615</v>
      </c>
      <c r="I39" s="218">
        <v>1.0</v>
      </c>
      <c r="J39" s="193">
        <f t="shared" si="8"/>
        <v>76.9614615</v>
      </c>
      <c r="K39" s="186"/>
      <c r="L39" s="187">
        <f t="shared" si="24"/>
        <v>5.1562</v>
      </c>
      <c r="M39" s="181">
        <f t="shared" si="25"/>
        <v>1</v>
      </c>
      <c r="N39" s="181">
        <f t="shared" si="26"/>
        <v>5.1562</v>
      </c>
      <c r="O39" s="186"/>
      <c r="P39" s="186"/>
      <c r="Q39" s="187"/>
      <c r="R39" s="281">
        <v>18.5</v>
      </c>
      <c r="S39" s="176">
        <f t="shared" si="12"/>
        <v>2.07</v>
      </c>
      <c r="T39" s="160">
        <f t="shared" si="13"/>
        <v>1</v>
      </c>
      <c r="U39" s="160">
        <f t="shared" si="14"/>
        <v>2.07</v>
      </c>
      <c r="V39" s="282">
        <f t="shared" si="15"/>
        <v>76.9614615</v>
      </c>
      <c r="W39" s="176">
        <f t="shared" ref="W39:X39" si="40">C39/100</f>
        <v>0.99</v>
      </c>
      <c r="X39" s="176">
        <f t="shared" si="40"/>
        <v>2.03</v>
      </c>
      <c r="Y39" s="176">
        <f t="shared" si="17"/>
        <v>2.07</v>
      </c>
      <c r="Z39" s="283">
        <f t="shared" si="18"/>
        <v>4.160079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22.0</v>
      </c>
      <c r="B40" s="289" t="s">
        <v>138</v>
      </c>
      <c r="C40" s="290">
        <v>99.0</v>
      </c>
      <c r="D40" s="290">
        <v>203.0</v>
      </c>
      <c r="E40" s="290">
        <v>206.0</v>
      </c>
      <c r="F40" s="290">
        <f t="shared" si="5"/>
        <v>0</v>
      </c>
      <c r="G40" s="290">
        <f t="shared" si="6"/>
        <v>76.589667</v>
      </c>
      <c r="H40" s="291">
        <f t="shared" si="7"/>
        <v>76.589667</v>
      </c>
      <c r="I40" s="218">
        <v>1.0</v>
      </c>
      <c r="J40" s="193">
        <f t="shared" si="8"/>
        <v>76.589667</v>
      </c>
      <c r="K40" s="186"/>
      <c r="L40" s="187">
        <f t="shared" si="24"/>
        <v>5.1562</v>
      </c>
      <c r="M40" s="181">
        <f t="shared" si="25"/>
        <v>1</v>
      </c>
      <c r="N40" s="181">
        <f t="shared" si="26"/>
        <v>5.1562</v>
      </c>
      <c r="O40" s="186"/>
      <c r="P40" s="186"/>
      <c r="Q40" s="187" t="s">
        <v>147</v>
      </c>
      <c r="R40" s="281">
        <v>18.5</v>
      </c>
      <c r="S40" s="176">
        <f t="shared" si="12"/>
        <v>2.06</v>
      </c>
      <c r="T40" s="160">
        <f t="shared" si="13"/>
        <v>1</v>
      </c>
      <c r="U40" s="160">
        <f t="shared" si="14"/>
        <v>2.06</v>
      </c>
      <c r="V40" s="282">
        <f t="shared" si="15"/>
        <v>76.589667</v>
      </c>
      <c r="W40" s="176">
        <f t="shared" ref="W40:X40" si="41">C40/100</f>
        <v>0.99</v>
      </c>
      <c r="X40" s="176">
        <f t="shared" si="41"/>
        <v>2.03</v>
      </c>
      <c r="Y40" s="176">
        <f t="shared" si="17"/>
        <v>2.06</v>
      </c>
      <c r="Z40" s="283">
        <f t="shared" si="18"/>
        <v>4.139982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23.0</v>
      </c>
      <c r="B41" s="289" t="s">
        <v>138</v>
      </c>
      <c r="C41" s="290">
        <v>99.0</v>
      </c>
      <c r="D41" s="290">
        <v>203.0</v>
      </c>
      <c r="E41" s="290">
        <v>206.0</v>
      </c>
      <c r="F41" s="290">
        <f t="shared" si="5"/>
        <v>0</v>
      </c>
      <c r="G41" s="290">
        <f t="shared" si="6"/>
        <v>76.589667</v>
      </c>
      <c r="H41" s="291">
        <f t="shared" si="7"/>
        <v>76.589667</v>
      </c>
      <c r="I41" s="218">
        <v>1.0</v>
      </c>
      <c r="J41" s="193">
        <f t="shared" si="8"/>
        <v>76.589667</v>
      </c>
      <c r="K41" s="186"/>
      <c r="L41" s="187">
        <f t="shared" si="24"/>
        <v>5.1562</v>
      </c>
      <c r="M41" s="181">
        <f t="shared" si="25"/>
        <v>1</v>
      </c>
      <c r="N41" s="181">
        <f t="shared" si="26"/>
        <v>5.1562</v>
      </c>
      <c r="O41" s="186"/>
      <c r="P41" s="186"/>
      <c r="Q41" s="187"/>
      <c r="R41" s="281">
        <v>18.5</v>
      </c>
      <c r="S41" s="176">
        <f t="shared" si="12"/>
        <v>2.06</v>
      </c>
      <c r="T41" s="160">
        <f t="shared" si="13"/>
        <v>1</v>
      </c>
      <c r="U41" s="160">
        <f t="shared" si="14"/>
        <v>2.06</v>
      </c>
      <c r="V41" s="282">
        <f t="shared" si="15"/>
        <v>76.589667</v>
      </c>
      <c r="W41" s="176">
        <f t="shared" ref="W41:X41" si="42">C41/100</f>
        <v>0.99</v>
      </c>
      <c r="X41" s="176">
        <f t="shared" si="42"/>
        <v>2.03</v>
      </c>
      <c r="Y41" s="176">
        <f t="shared" si="17"/>
        <v>2.06</v>
      </c>
      <c r="Z41" s="283">
        <f t="shared" si="18"/>
        <v>4.139982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24.0</v>
      </c>
      <c r="B42" s="289" t="s">
        <v>138</v>
      </c>
      <c r="C42" s="290">
        <v>99.0</v>
      </c>
      <c r="D42" s="290">
        <v>203.0</v>
      </c>
      <c r="E42" s="290">
        <v>144.0</v>
      </c>
      <c r="F42" s="290">
        <f t="shared" si="5"/>
        <v>0</v>
      </c>
      <c r="G42" s="290">
        <f t="shared" si="6"/>
        <v>53.538408</v>
      </c>
      <c r="H42" s="291">
        <f t="shared" si="7"/>
        <v>53.538408</v>
      </c>
      <c r="I42" s="218">
        <v>1.0</v>
      </c>
      <c r="J42" s="193">
        <f t="shared" si="8"/>
        <v>53.538408</v>
      </c>
      <c r="K42" s="186"/>
      <c r="L42" s="187">
        <f t="shared" si="24"/>
        <v>5.1562</v>
      </c>
      <c r="M42" s="181">
        <f t="shared" si="25"/>
        <v>1</v>
      </c>
      <c r="N42" s="181">
        <f t="shared" si="26"/>
        <v>5.1562</v>
      </c>
      <c r="O42" s="186"/>
      <c r="P42" s="186"/>
      <c r="Q42" s="187"/>
      <c r="R42" s="281">
        <v>18.5</v>
      </c>
      <c r="S42" s="176">
        <f t="shared" si="12"/>
        <v>1.44</v>
      </c>
      <c r="T42" s="160">
        <f t="shared" si="13"/>
        <v>1</v>
      </c>
      <c r="U42" s="160">
        <f t="shared" si="14"/>
        <v>1.44</v>
      </c>
      <c r="V42" s="282">
        <f t="shared" si="15"/>
        <v>53.538408</v>
      </c>
      <c r="W42" s="176">
        <f t="shared" ref="W42:X42" si="43">C42/100</f>
        <v>0.99</v>
      </c>
      <c r="X42" s="176">
        <f t="shared" si="43"/>
        <v>2.03</v>
      </c>
      <c r="Y42" s="176">
        <f t="shared" si="17"/>
        <v>1.44</v>
      </c>
      <c r="Z42" s="283">
        <f t="shared" si="18"/>
        <v>2.893968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25.0</v>
      </c>
      <c r="B43" s="289" t="s">
        <v>138</v>
      </c>
      <c r="C43" s="290">
        <v>103.0</v>
      </c>
      <c r="D43" s="290">
        <v>203.0</v>
      </c>
      <c r="E43" s="290">
        <v>207.0</v>
      </c>
      <c r="F43" s="290">
        <f t="shared" si="5"/>
        <v>0</v>
      </c>
      <c r="G43" s="290">
        <f t="shared" si="6"/>
        <v>80.0710155</v>
      </c>
      <c r="H43" s="291">
        <f t="shared" si="7"/>
        <v>80.0710155</v>
      </c>
      <c r="I43" s="218">
        <v>1.0</v>
      </c>
      <c r="J43" s="193">
        <f t="shared" si="8"/>
        <v>80.0710155</v>
      </c>
      <c r="K43" s="186"/>
      <c r="L43" s="187">
        <f t="shared" si="24"/>
        <v>5.1562</v>
      </c>
      <c r="M43" s="181">
        <f t="shared" si="25"/>
        <v>1</v>
      </c>
      <c r="N43" s="181">
        <f t="shared" si="26"/>
        <v>5.1562</v>
      </c>
      <c r="O43" s="186"/>
      <c r="P43" s="186"/>
      <c r="Q43" s="187" t="s">
        <v>146</v>
      </c>
      <c r="R43" s="281">
        <v>18.5</v>
      </c>
      <c r="S43" s="176">
        <f t="shared" si="12"/>
        <v>2.07</v>
      </c>
      <c r="T43" s="160">
        <f t="shared" si="13"/>
        <v>1</v>
      </c>
      <c r="U43" s="160">
        <f t="shared" si="14"/>
        <v>2.07</v>
      </c>
      <c r="V43" s="282">
        <f t="shared" si="15"/>
        <v>80.0710155</v>
      </c>
      <c r="W43" s="176">
        <f t="shared" ref="W43:X43" si="44">C43/100</f>
        <v>1.03</v>
      </c>
      <c r="X43" s="176">
        <f t="shared" si="44"/>
        <v>2.03</v>
      </c>
      <c r="Y43" s="176">
        <f t="shared" si="17"/>
        <v>2.07</v>
      </c>
      <c r="Z43" s="283">
        <f t="shared" si="18"/>
        <v>4.328163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26.0</v>
      </c>
      <c r="B44" s="289" t="s">
        <v>138</v>
      </c>
      <c r="C44" s="290">
        <v>103.0</v>
      </c>
      <c r="D44" s="290">
        <v>203.0</v>
      </c>
      <c r="E44" s="290">
        <v>207.0</v>
      </c>
      <c r="F44" s="290">
        <f t="shared" si="5"/>
        <v>0</v>
      </c>
      <c r="G44" s="290">
        <f t="shared" si="6"/>
        <v>80.0710155</v>
      </c>
      <c r="H44" s="291">
        <f t="shared" si="7"/>
        <v>80.0710155</v>
      </c>
      <c r="I44" s="218">
        <v>1.0</v>
      </c>
      <c r="J44" s="193">
        <f t="shared" si="8"/>
        <v>80.0710155</v>
      </c>
      <c r="K44" s="186"/>
      <c r="L44" s="187">
        <f t="shared" si="24"/>
        <v>5.1562</v>
      </c>
      <c r="M44" s="181">
        <f t="shared" si="25"/>
        <v>1</v>
      </c>
      <c r="N44" s="181">
        <f t="shared" si="26"/>
        <v>5.1562</v>
      </c>
      <c r="O44" s="186"/>
      <c r="P44" s="186"/>
      <c r="Q44" s="187"/>
      <c r="R44" s="281">
        <v>18.5</v>
      </c>
      <c r="S44" s="176">
        <f t="shared" si="12"/>
        <v>2.07</v>
      </c>
      <c r="T44" s="160">
        <f t="shared" si="13"/>
        <v>1</v>
      </c>
      <c r="U44" s="160">
        <f t="shared" si="14"/>
        <v>2.07</v>
      </c>
      <c r="V44" s="282">
        <f t="shared" si="15"/>
        <v>80.0710155</v>
      </c>
      <c r="W44" s="176">
        <f t="shared" ref="W44:X44" si="45">C44/100</f>
        <v>1.03</v>
      </c>
      <c r="X44" s="176">
        <f t="shared" si="45"/>
        <v>2.03</v>
      </c>
      <c r="Y44" s="176">
        <f t="shared" si="17"/>
        <v>2.07</v>
      </c>
      <c r="Z44" s="283">
        <f t="shared" si="18"/>
        <v>4.328163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27.0</v>
      </c>
      <c r="B45" s="289" t="s">
        <v>138</v>
      </c>
      <c r="C45" s="290">
        <v>101.0</v>
      </c>
      <c r="D45" s="290">
        <v>203.0</v>
      </c>
      <c r="E45" s="290">
        <v>206.0</v>
      </c>
      <c r="F45" s="290">
        <f t="shared" si="5"/>
        <v>0</v>
      </c>
      <c r="G45" s="290">
        <f t="shared" si="6"/>
        <v>78.136933</v>
      </c>
      <c r="H45" s="291">
        <f t="shared" si="7"/>
        <v>78.136933</v>
      </c>
      <c r="I45" s="218">
        <v>1.0</v>
      </c>
      <c r="J45" s="193">
        <f t="shared" si="8"/>
        <v>78.136933</v>
      </c>
      <c r="K45" s="186"/>
      <c r="L45" s="187">
        <f t="shared" si="24"/>
        <v>5.1562</v>
      </c>
      <c r="M45" s="181">
        <f t="shared" si="25"/>
        <v>1</v>
      </c>
      <c r="N45" s="181">
        <f t="shared" si="26"/>
        <v>5.1562</v>
      </c>
      <c r="O45" s="186"/>
      <c r="P45" s="186"/>
      <c r="Q45" s="187"/>
      <c r="R45" s="281">
        <v>18.5</v>
      </c>
      <c r="S45" s="176">
        <f t="shared" si="12"/>
        <v>2.06</v>
      </c>
      <c r="T45" s="160">
        <f t="shared" si="13"/>
        <v>1</v>
      </c>
      <c r="U45" s="160">
        <f t="shared" si="14"/>
        <v>2.06</v>
      </c>
      <c r="V45" s="282">
        <f t="shared" si="15"/>
        <v>78.136933</v>
      </c>
      <c r="W45" s="176">
        <f t="shared" ref="W45:X45" si="46">C45/100</f>
        <v>1.01</v>
      </c>
      <c r="X45" s="176">
        <f t="shared" si="46"/>
        <v>2.03</v>
      </c>
      <c r="Y45" s="176">
        <f t="shared" si="17"/>
        <v>2.06</v>
      </c>
      <c r="Z45" s="283">
        <f t="shared" si="18"/>
        <v>4.223618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28.0</v>
      </c>
      <c r="B46" s="289" t="s">
        <v>138</v>
      </c>
      <c r="C46" s="290">
        <v>102.0</v>
      </c>
      <c r="D46" s="290">
        <v>203.0</v>
      </c>
      <c r="E46" s="290">
        <v>207.0</v>
      </c>
      <c r="F46" s="290">
        <f t="shared" si="5"/>
        <v>0</v>
      </c>
      <c r="G46" s="290">
        <f t="shared" si="6"/>
        <v>79.293627</v>
      </c>
      <c r="H46" s="291">
        <f t="shared" si="7"/>
        <v>79.293627</v>
      </c>
      <c r="I46" s="218">
        <v>1.0</v>
      </c>
      <c r="J46" s="193">
        <f t="shared" si="8"/>
        <v>79.293627</v>
      </c>
      <c r="K46" s="186"/>
      <c r="L46" s="187">
        <f t="shared" si="24"/>
        <v>5.1562</v>
      </c>
      <c r="M46" s="181">
        <f t="shared" si="25"/>
        <v>1</v>
      </c>
      <c r="N46" s="181">
        <f t="shared" si="26"/>
        <v>5.1562</v>
      </c>
      <c r="O46" s="186"/>
      <c r="P46" s="186"/>
      <c r="Q46" s="187"/>
      <c r="R46" s="281">
        <v>18.5</v>
      </c>
      <c r="S46" s="176">
        <f t="shared" si="12"/>
        <v>2.07</v>
      </c>
      <c r="T46" s="160">
        <f t="shared" si="13"/>
        <v>1</v>
      </c>
      <c r="U46" s="160">
        <f t="shared" si="14"/>
        <v>2.07</v>
      </c>
      <c r="V46" s="282">
        <f t="shared" si="15"/>
        <v>79.293627</v>
      </c>
      <c r="W46" s="176">
        <f t="shared" ref="W46:X46" si="47">C46/100</f>
        <v>1.02</v>
      </c>
      <c r="X46" s="176">
        <f t="shared" si="47"/>
        <v>2.03</v>
      </c>
      <c r="Y46" s="176">
        <f t="shared" si="17"/>
        <v>2.07</v>
      </c>
      <c r="Z46" s="283">
        <f t="shared" si="18"/>
        <v>4.286142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29.0</v>
      </c>
      <c r="B47" s="289" t="s">
        <v>138</v>
      </c>
      <c r="C47" s="290">
        <v>100.0</v>
      </c>
      <c r="D47" s="290">
        <v>203.0</v>
      </c>
      <c r="E47" s="290">
        <v>207.0</v>
      </c>
      <c r="F47" s="290">
        <f t="shared" si="5"/>
        <v>0</v>
      </c>
      <c r="G47" s="290">
        <f t="shared" si="6"/>
        <v>77.73885</v>
      </c>
      <c r="H47" s="291">
        <f t="shared" si="7"/>
        <v>77.73885</v>
      </c>
      <c r="I47" s="218">
        <v>1.0</v>
      </c>
      <c r="J47" s="193">
        <f t="shared" si="8"/>
        <v>77.73885</v>
      </c>
      <c r="K47" s="186"/>
      <c r="L47" s="187">
        <f t="shared" si="24"/>
        <v>5.1562</v>
      </c>
      <c r="M47" s="181">
        <f t="shared" si="25"/>
        <v>1</v>
      </c>
      <c r="N47" s="181">
        <f t="shared" si="26"/>
        <v>5.1562</v>
      </c>
      <c r="O47" s="186"/>
      <c r="P47" s="186"/>
      <c r="Q47" s="187"/>
      <c r="R47" s="281">
        <v>18.5</v>
      </c>
      <c r="S47" s="176">
        <f t="shared" si="12"/>
        <v>2.07</v>
      </c>
      <c r="T47" s="160">
        <f t="shared" si="13"/>
        <v>1</v>
      </c>
      <c r="U47" s="160">
        <f t="shared" si="14"/>
        <v>2.07</v>
      </c>
      <c r="V47" s="282">
        <f t="shared" si="15"/>
        <v>77.73885</v>
      </c>
      <c r="W47" s="176">
        <f t="shared" ref="W47:X47" si="48">C47/100</f>
        <v>1</v>
      </c>
      <c r="X47" s="176">
        <f t="shared" si="48"/>
        <v>2.03</v>
      </c>
      <c r="Y47" s="176">
        <f t="shared" si="17"/>
        <v>2.07</v>
      </c>
      <c r="Z47" s="283">
        <f t="shared" si="18"/>
        <v>4.2021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30.0</v>
      </c>
      <c r="B48" s="289" t="s">
        <v>138</v>
      </c>
      <c r="C48" s="290">
        <v>102.0</v>
      </c>
      <c r="D48" s="290">
        <v>203.0</v>
      </c>
      <c r="E48" s="290">
        <v>210.0</v>
      </c>
      <c r="F48" s="290">
        <f t="shared" si="5"/>
        <v>0</v>
      </c>
      <c r="G48" s="290">
        <f t="shared" si="6"/>
        <v>80.44281</v>
      </c>
      <c r="H48" s="291">
        <f t="shared" si="7"/>
        <v>80.44281</v>
      </c>
      <c r="I48" s="218">
        <v>1.0</v>
      </c>
      <c r="J48" s="193">
        <f t="shared" si="8"/>
        <v>80.44281</v>
      </c>
      <c r="K48" s="186"/>
      <c r="L48" s="187">
        <f t="shared" si="24"/>
        <v>5.1562</v>
      </c>
      <c r="M48" s="181">
        <f t="shared" si="25"/>
        <v>1</v>
      </c>
      <c r="N48" s="181">
        <f t="shared" si="26"/>
        <v>5.1562</v>
      </c>
      <c r="O48" s="186"/>
      <c r="P48" s="186"/>
      <c r="Q48" s="187"/>
      <c r="R48" s="281">
        <v>18.5</v>
      </c>
      <c r="S48" s="176">
        <f t="shared" si="12"/>
        <v>2.1</v>
      </c>
      <c r="T48" s="160">
        <f t="shared" si="13"/>
        <v>1</v>
      </c>
      <c r="U48" s="160">
        <f t="shared" si="14"/>
        <v>2.1</v>
      </c>
      <c r="V48" s="282">
        <f t="shared" si="15"/>
        <v>80.44281</v>
      </c>
      <c r="W48" s="176">
        <f t="shared" ref="W48:X48" si="49">C48/100</f>
        <v>1.02</v>
      </c>
      <c r="X48" s="176">
        <f t="shared" si="49"/>
        <v>2.03</v>
      </c>
      <c r="Y48" s="176">
        <f t="shared" si="17"/>
        <v>2.1</v>
      </c>
      <c r="Z48" s="283">
        <f t="shared" si="18"/>
        <v>4.34826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31.0</v>
      </c>
      <c r="B49" s="289" t="s">
        <v>138</v>
      </c>
      <c r="C49" s="290">
        <v>103.0</v>
      </c>
      <c r="D49" s="290">
        <v>203.0</v>
      </c>
      <c r="E49" s="290">
        <v>196.0</v>
      </c>
      <c r="F49" s="290">
        <f t="shared" si="5"/>
        <v>0</v>
      </c>
      <c r="G49" s="290">
        <f t="shared" si="6"/>
        <v>75.816034</v>
      </c>
      <c r="H49" s="291">
        <f t="shared" si="7"/>
        <v>75.816034</v>
      </c>
      <c r="I49" s="218">
        <v>1.0</v>
      </c>
      <c r="J49" s="193">
        <f t="shared" si="8"/>
        <v>75.816034</v>
      </c>
      <c r="K49" s="186"/>
      <c r="L49" s="187">
        <f t="shared" si="24"/>
        <v>5.1562</v>
      </c>
      <c r="M49" s="181">
        <f t="shared" si="25"/>
        <v>1</v>
      </c>
      <c r="N49" s="181">
        <f t="shared" si="26"/>
        <v>5.1562</v>
      </c>
      <c r="O49" s="186"/>
      <c r="P49" s="186"/>
      <c r="Q49" s="187"/>
      <c r="R49" s="281">
        <v>18.5</v>
      </c>
      <c r="S49" s="176">
        <f t="shared" si="12"/>
        <v>1.96</v>
      </c>
      <c r="T49" s="160">
        <f t="shared" si="13"/>
        <v>1</v>
      </c>
      <c r="U49" s="160">
        <f t="shared" si="14"/>
        <v>1.96</v>
      </c>
      <c r="V49" s="282">
        <f t="shared" si="15"/>
        <v>75.816034</v>
      </c>
      <c r="W49" s="176">
        <f t="shared" ref="W49:X49" si="50">C49/100</f>
        <v>1.03</v>
      </c>
      <c r="X49" s="176">
        <f t="shared" si="50"/>
        <v>2.03</v>
      </c>
      <c r="Y49" s="176">
        <f t="shared" si="17"/>
        <v>1.96</v>
      </c>
      <c r="Z49" s="283">
        <f t="shared" si="18"/>
        <v>4.098164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32.0</v>
      </c>
      <c r="B50" s="182" t="s">
        <v>65</v>
      </c>
      <c r="C50" s="183">
        <v>90.0</v>
      </c>
      <c r="D50" s="183">
        <v>203.0</v>
      </c>
      <c r="E50" s="183">
        <v>202.0</v>
      </c>
      <c r="F50" s="183">
        <f t="shared" si="5"/>
        <v>0.8</v>
      </c>
      <c r="G50" s="183">
        <f t="shared" si="6"/>
        <v>108.87093</v>
      </c>
      <c r="H50" s="184">
        <f t="shared" si="7"/>
        <v>87.096744</v>
      </c>
      <c r="I50" s="183">
        <v>1.0</v>
      </c>
      <c r="J50" s="185">
        <f t="shared" si="8"/>
        <v>87.096744</v>
      </c>
      <c r="K50" s="286"/>
      <c r="L50" s="292"/>
      <c r="M50" s="293">
        <f t="shared" si="25"/>
        <v>1</v>
      </c>
      <c r="N50" s="293"/>
      <c r="O50" s="286"/>
      <c r="P50" s="286"/>
      <c r="Q50" s="287"/>
      <c r="R50" s="281">
        <v>29.5</v>
      </c>
      <c r="S50" s="176">
        <f t="shared" si="12"/>
        <v>2.02</v>
      </c>
      <c r="T50" s="160">
        <f t="shared" si="13"/>
        <v>1</v>
      </c>
      <c r="U50" s="160">
        <f t="shared" si="14"/>
        <v>2.02</v>
      </c>
      <c r="V50" s="282">
        <f t="shared" si="15"/>
        <v>108.87093</v>
      </c>
      <c r="W50" s="176">
        <f t="shared" ref="W50:X50" si="51">C50/100</f>
        <v>0.9</v>
      </c>
      <c r="X50" s="176">
        <f t="shared" si="51"/>
        <v>2.03</v>
      </c>
      <c r="Y50" s="176">
        <f t="shared" si="17"/>
        <v>2.02</v>
      </c>
      <c r="Z50" s="283">
        <f t="shared" si="18"/>
        <v>3.69054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33.0</v>
      </c>
      <c r="B51" s="289" t="s">
        <v>56</v>
      </c>
      <c r="C51" s="290">
        <v>99.0</v>
      </c>
      <c r="D51" s="290">
        <v>203.0</v>
      </c>
      <c r="E51" s="290">
        <v>250.0</v>
      </c>
      <c r="F51" s="290">
        <f t="shared" si="5"/>
        <v>0</v>
      </c>
      <c r="G51" s="290">
        <f t="shared" si="6"/>
        <v>148.215375</v>
      </c>
      <c r="H51" s="291">
        <f t="shared" si="7"/>
        <v>148.215375</v>
      </c>
      <c r="I51" s="218">
        <v>1.0</v>
      </c>
      <c r="J51" s="193">
        <f t="shared" si="8"/>
        <v>148.215375</v>
      </c>
      <c r="K51" s="186"/>
      <c r="L51" s="164"/>
      <c r="M51" s="195">
        <f t="shared" si="25"/>
        <v>1</v>
      </c>
      <c r="N51" s="195"/>
      <c r="O51" s="186"/>
      <c r="P51" s="186"/>
      <c r="Q51" s="187" t="s">
        <v>148</v>
      </c>
      <c r="R51" s="281">
        <v>29.5</v>
      </c>
      <c r="S51" s="176">
        <f t="shared" si="12"/>
        <v>2.5</v>
      </c>
      <c r="T51" s="160">
        <f t="shared" si="13"/>
        <v>1</v>
      </c>
      <c r="U51" s="160">
        <f t="shared" si="14"/>
        <v>2.5</v>
      </c>
      <c r="V51" s="282">
        <f t="shared" si="15"/>
        <v>148.215375</v>
      </c>
      <c r="W51" s="176">
        <f t="shared" ref="W51:X51" si="52">C51/100</f>
        <v>0.99</v>
      </c>
      <c r="X51" s="176">
        <f t="shared" si="52"/>
        <v>2.03</v>
      </c>
      <c r="Y51" s="176">
        <f t="shared" si="17"/>
        <v>2.5</v>
      </c>
      <c r="Z51" s="283">
        <f t="shared" si="18"/>
        <v>5.02425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34.0</v>
      </c>
      <c r="B52" s="289" t="s">
        <v>56</v>
      </c>
      <c r="C52" s="290">
        <v>99.0</v>
      </c>
      <c r="D52" s="290">
        <v>203.0</v>
      </c>
      <c r="E52" s="290">
        <v>250.0</v>
      </c>
      <c r="F52" s="290">
        <f t="shared" si="5"/>
        <v>0</v>
      </c>
      <c r="G52" s="290">
        <f t="shared" si="6"/>
        <v>148.215375</v>
      </c>
      <c r="H52" s="291">
        <f t="shared" si="7"/>
        <v>148.215375</v>
      </c>
      <c r="I52" s="218">
        <v>1.0</v>
      </c>
      <c r="J52" s="193">
        <f t="shared" si="8"/>
        <v>148.215375</v>
      </c>
      <c r="K52" s="186"/>
      <c r="L52" s="164"/>
      <c r="M52" s="195">
        <f t="shared" si="25"/>
        <v>1</v>
      </c>
      <c r="N52" s="195"/>
      <c r="O52" s="186"/>
      <c r="P52" s="186"/>
      <c r="Q52" s="187"/>
      <c r="R52" s="281">
        <v>29.5</v>
      </c>
      <c r="S52" s="176">
        <f t="shared" si="12"/>
        <v>2.5</v>
      </c>
      <c r="T52" s="160">
        <f t="shared" si="13"/>
        <v>1</v>
      </c>
      <c r="U52" s="160">
        <f t="shared" si="14"/>
        <v>2.5</v>
      </c>
      <c r="V52" s="282">
        <f t="shared" si="15"/>
        <v>148.215375</v>
      </c>
      <c r="W52" s="176">
        <f t="shared" ref="W52:X52" si="53">C52/100</f>
        <v>0.99</v>
      </c>
      <c r="X52" s="176">
        <f t="shared" si="53"/>
        <v>2.03</v>
      </c>
      <c r="Y52" s="176">
        <f t="shared" si="17"/>
        <v>2.5</v>
      </c>
      <c r="Z52" s="283">
        <f t="shared" si="18"/>
        <v>5.02425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35.0</v>
      </c>
      <c r="B53" s="289" t="s">
        <v>56</v>
      </c>
      <c r="C53" s="290">
        <v>100.0</v>
      </c>
      <c r="D53" s="290">
        <v>203.0</v>
      </c>
      <c r="E53" s="290">
        <v>251.0</v>
      </c>
      <c r="F53" s="290">
        <f t="shared" si="5"/>
        <v>0</v>
      </c>
      <c r="G53" s="290">
        <f t="shared" si="6"/>
        <v>150.31135</v>
      </c>
      <c r="H53" s="291">
        <f t="shared" si="7"/>
        <v>150.31135</v>
      </c>
      <c r="I53" s="218">
        <v>14.0</v>
      </c>
      <c r="J53" s="193">
        <f t="shared" si="8"/>
        <v>2104.3589</v>
      </c>
      <c r="K53" s="186"/>
      <c r="L53" s="164"/>
      <c r="M53" s="195">
        <f t="shared" si="25"/>
        <v>14</v>
      </c>
      <c r="N53" s="195"/>
      <c r="O53" s="186"/>
      <c r="P53" s="186"/>
      <c r="Q53" s="187"/>
      <c r="R53" s="281">
        <v>29.5</v>
      </c>
      <c r="S53" s="176">
        <f t="shared" si="12"/>
        <v>2.51</v>
      </c>
      <c r="T53" s="160">
        <f t="shared" si="13"/>
        <v>14</v>
      </c>
      <c r="U53" s="160">
        <f t="shared" si="14"/>
        <v>35.14</v>
      </c>
      <c r="V53" s="282">
        <f t="shared" si="15"/>
        <v>150.31135</v>
      </c>
      <c r="W53" s="176">
        <f t="shared" ref="W53:X53" si="54">C53/100</f>
        <v>1</v>
      </c>
      <c r="X53" s="176">
        <f t="shared" si="54"/>
        <v>2.03</v>
      </c>
      <c r="Y53" s="176">
        <f t="shared" si="17"/>
        <v>35.14</v>
      </c>
      <c r="Z53" s="283">
        <f t="shared" si="18"/>
        <v>71.3342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36.0</v>
      </c>
      <c r="B54" s="289" t="s">
        <v>56</v>
      </c>
      <c r="C54" s="290">
        <v>100.0</v>
      </c>
      <c r="D54" s="290">
        <v>203.0</v>
      </c>
      <c r="E54" s="290">
        <v>251.0</v>
      </c>
      <c r="F54" s="290">
        <f t="shared" si="5"/>
        <v>0</v>
      </c>
      <c r="G54" s="290">
        <f t="shared" si="6"/>
        <v>150.31135</v>
      </c>
      <c r="H54" s="291">
        <f t="shared" si="7"/>
        <v>150.31135</v>
      </c>
      <c r="I54" s="218">
        <v>1.0</v>
      </c>
      <c r="J54" s="193">
        <f t="shared" si="8"/>
        <v>150.31135</v>
      </c>
      <c r="K54" s="186"/>
      <c r="L54" s="164"/>
      <c r="M54" s="195">
        <f t="shared" si="25"/>
        <v>1</v>
      </c>
      <c r="N54" s="195"/>
      <c r="O54" s="186"/>
      <c r="P54" s="186"/>
      <c r="Q54" s="187" t="s">
        <v>149</v>
      </c>
      <c r="R54" s="281">
        <v>29.5</v>
      </c>
      <c r="S54" s="176">
        <f t="shared" si="12"/>
        <v>2.51</v>
      </c>
      <c r="T54" s="160">
        <f t="shared" si="13"/>
        <v>1</v>
      </c>
      <c r="U54" s="160">
        <f t="shared" si="14"/>
        <v>2.51</v>
      </c>
      <c r="V54" s="282">
        <f t="shared" si="15"/>
        <v>150.31135</v>
      </c>
      <c r="W54" s="176">
        <f t="shared" ref="W54:X54" si="55">C54/100</f>
        <v>1</v>
      </c>
      <c r="X54" s="176">
        <f t="shared" si="55"/>
        <v>2.03</v>
      </c>
      <c r="Y54" s="176">
        <f t="shared" si="17"/>
        <v>2.51</v>
      </c>
      <c r="Z54" s="283">
        <f t="shared" si="18"/>
        <v>5.0953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37.0</v>
      </c>
      <c r="B55" s="289" t="s">
        <v>56</v>
      </c>
      <c r="C55" s="290">
        <v>100.0</v>
      </c>
      <c r="D55" s="290">
        <v>203.0</v>
      </c>
      <c r="E55" s="290">
        <v>251.0</v>
      </c>
      <c r="F55" s="290">
        <f t="shared" si="5"/>
        <v>0</v>
      </c>
      <c r="G55" s="290">
        <f t="shared" si="6"/>
        <v>150.31135</v>
      </c>
      <c r="H55" s="291">
        <f t="shared" si="7"/>
        <v>150.31135</v>
      </c>
      <c r="I55" s="218">
        <v>1.0</v>
      </c>
      <c r="J55" s="193">
        <f t="shared" si="8"/>
        <v>150.31135</v>
      </c>
      <c r="K55" s="186"/>
      <c r="L55" s="164"/>
      <c r="M55" s="195">
        <f t="shared" si="25"/>
        <v>1</v>
      </c>
      <c r="N55" s="195"/>
      <c r="O55" s="186"/>
      <c r="P55" s="186"/>
      <c r="Q55" s="187" t="s">
        <v>148</v>
      </c>
      <c r="R55" s="281">
        <v>29.5</v>
      </c>
      <c r="S55" s="176">
        <f t="shared" si="12"/>
        <v>2.51</v>
      </c>
      <c r="T55" s="160">
        <f t="shared" si="13"/>
        <v>1</v>
      </c>
      <c r="U55" s="160">
        <f t="shared" si="14"/>
        <v>2.51</v>
      </c>
      <c r="V55" s="282">
        <f t="shared" si="15"/>
        <v>150.31135</v>
      </c>
      <c r="W55" s="176">
        <f t="shared" ref="W55:X55" si="56">C55/100</f>
        <v>1</v>
      </c>
      <c r="X55" s="176">
        <f t="shared" si="56"/>
        <v>2.03</v>
      </c>
      <c r="Y55" s="176">
        <f t="shared" si="17"/>
        <v>2.51</v>
      </c>
      <c r="Z55" s="283">
        <f t="shared" si="18"/>
        <v>5.0953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38.0</v>
      </c>
      <c r="B56" s="289" t="s">
        <v>56</v>
      </c>
      <c r="C56" s="290">
        <v>100.0</v>
      </c>
      <c r="D56" s="290">
        <v>203.0</v>
      </c>
      <c r="E56" s="290">
        <v>251.0</v>
      </c>
      <c r="F56" s="290">
        <f t="shared" si="5"/>
        <v>0</v>
      </c>
      <c r="G56" s="290">
        <f t="shared" si="6"/>
        <v>150.31135</v>
      </c>
      <c r="H56" s="291">
        <f t="shared" si="7"/>
        <v>150.31135</v>
      </c>
      <c r="I56" s="218">
        <v>1.0</v>
      </c>
      <c r="J56" s="193">
        <f t="shared" si="8"/>
        <v>150.31135</v>
      </c>
      <c r="K56" s="186"/>
      <c r="L56" s="164"/>
      <c r="M56" s="195">
        <f t="shared" si="25"/>
        <v>1</v>
      </c>
      <c r="N56" s="195"/>
      <c r="O56" s="186"/>
      <c r="P56" s="186"/>
      <c r="Q56" s="187" t="s">
        <v>150</v>
      </c>
      <c r="R56" s="281">
        <v>29.5</v>
      </c>
      <c r="S56" s="176">
        <f t="shared" si="12"/>
        <v>2.51</v>
      </c>
      <c r="T56" s="160">
        <f t="shared" si="13"/>
        <v>1</v>
      </c>
      <c r="U56" s="160">
        <f t="shared" si="14"/>
        <v>2.51</v>
      </c>
      <c r="V56" s="282">
        <f t="shared" si="15"/>
        <v>150.31135</v>
      </c>
      <c r="W56" s="176">
        <f t="shared" ref="W56:X56" si="57">C56/100</f>
        <v>1</v>
      </c>
      <c r="X56" s="176">
        <f t="shared" si="57"/>
        <v>2.03</v>
      </c>
      <c r="Y56" s="176">
        <f t="shared" si="17"/>
        <v>2.51</v>
      </c>
      <c r="Z56" s="283">
        <f t="shared" si="18"/>
        <v>5.0953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39.0</v>
      </c>
      <c r="B57" s="289" t="s">
        <v>56</v>
      </c>
      <c r="C57" s="290">
        <v>100.0</v>
      </c>
      <c r="D57" s="290">
        <v>203.0</v>
      </c>
      <c r="E57" s="290">
        <v>251.0</v>
      </c>
      <c r="F57" s="290">
        <f t="shared" si="5"/>
        <v>0</v>
      </c>
      <c r="G57" s="290">
        <f t="shared" si="6"/>
        <v>150.31135</v>
      </c>
      <c r="H57" s="291">
        <f t="shared" si="7"/>
        <v>150.31135</v>
      </c>
      <c r="I57" s="218">
        <v>1.0</v>
      </c>
      <c r="J57" s="193">
        <f t="shared" si="8"/>
        <v>150.31135</v>
      </c>
      <c r="K57" s="186"/>
      <c r="L57" s="164"/>
      <c r="M57" s="195">
        <f t="shared" si="25"/>
        <v>1</v>
      </c>
      <c r="N57" s="195"/>
      <c r="O57" s="186"/>
      <c r="P57" s="186"/>
      <c r="Q57" s="187" t="s">
        <v>149</v>
      </c>
      <c r="R57" s="281">
        <v>29.5</v>
      </c>
      <c r="S57" s="176">
        <f t="shared" si="12"/>
        <v>2.51</v>
      </c>
      <c r="T57" s="160">
        <f t="shared" si="13"/>
        <v>1</v>
      </c>
      <c r="U57" s="160">
        <f t="shared" si="14"/>
        <v>2.51</v>
      </c>
      <c r="V57" s="282">
        <f t="shared" si="15"/>
        <v>150.31135</v>
      </c>
      <c r="W57" s="176">
        <f t="shared" ref="W57:X57" si="58">C57/100</f>
        <v>1</v>
      </c>
      <c r="X57" s="176">
        <f t="shared" si="58"/>
        <v>2.03</v>
      </c>
      <c r="Y57" s="176">
        <f t="shared" si="17"/>
        <v>2.51</v>
      </c>
      <c r="Z57" s="283">
        <f t="shared" si="18"/>
        <v>5.0953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40.0</v>
      </c>
      <c r="B58" s="289" t="s">
        <v>56</v>
      </c>
      <c r="C58" s="290">
        <v>100.0</v>
      </c>
      <c r="D58" s="290">
        <v>203.0</v>
      </c>
      <c r="E58" s="290">
        <v>251.0</v>
      </c>
      <c r="F58" s="290">
        <f t="shared" si="5"/>
        <v>0</v>
      </c>
      <c r="G58" s="290">
        <f t="shared" si="6"/>
        <v>150.31135</v>
      </c>
      <c r="H58" s="291">
        <f t="shared" si="7"/>
        <v>150.31135</v>
      </c>
      <c r="I58" s="218">
        <v>1.0</v>
      </c>
      <c r="J58" s="193">
        <f t="shared" si="8"/>
        <v>150.31135</v>
      </c>
      <c r="K58" s="186"/>
      <c r="L58" s="164"/>
      <c r="M58" s="195">
        <f t="shared" si="25"/>
        <v>1</v>
      </c>
      <c r="N58" s="195"/>
      <c r="O58" s="186"/>
      <c r="P58" s="186"/>
      <c r="Q58" s="187" t="s">
        <v>148</v>
      </c>
      <c r="R58" s="281">
        <v>29.5</v>
      </c>
      <c r="S58" s="176">
        <f t="shared" si="12"/>
        <v>2.51</v>
      </c>
      <c r="T58" s="160">
        <f t="shared" si="13"/>
        <v>1</v>
      </c>
      <c r="U58" s="160">
        <f t="shared" si="14"/>
        <v>2.51</v>
      </c>
      <c r="V58" s="282">
        <f t="shared" si="15"/>
        <v>150.31135</v>
      </c>
      <c r="W58" s="176">
        <f t="shared" ref="W58:X58" si="59">C58/100</f>
        <v>1</v>
      </c>
      <c r="X58" s="176">
        <f t="shared" si="59"/>
        <v>2.03</v>
      </c>
      <c r="Y58" s="176">
        <f t="shared" si="17"/>
        <v>2.51</v>
      </c>
      <c r="Z58" s="283">
        <f t="shared" si="18"/>
        <v>5.0953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41.0</v>
      </c>
      <c r="B59" s="289" t="s">
        <v>56</v>
      </c>
      <c r="C59" s="290">
        <v>98.0</v>
      </c>
      <c r="D59" s="290">
        <v>203.0</v>
      </c>
      <c r="E59" s="290">
        <v>202.0</v>
      </c>
      <c r="F59" s="290">
        <f t="shared" si="5"/>
        <v>0</v>
      </c>
      <c r="G59" s="290">
        <f t="shared" si="6"/>
        <v>118.548346</v>
      </c>
      <c r="H59" s="291">
        <f t="shared" si="7"/>
        <v>118.548346</v>
      </c>
      <c r="I59" s="218">
        <v>1.0</v>
      </c>
      <c r="J59" s="193">
        <f t="shared" si="8"/>
        <v>118.548346</v>
      </c>
      <c r="K59" s="186"/>
      <c r="L59" s="164"/>
      <c r="M59" s="195">
        <f t="shared" si="25"/>
        <v>1</v>
      </c>
      <c r="N59" s="195"/>
      <c r="O59" s="186"/>
      <c r="P59" s="186"/>
      <c r="Q59" s="187" t="s">
        <v>151</v>
      </c>
      <c r="R59" s="281">
        <v>29.5</v>
      </c>
      <c r="S59" s="176">
        <f t="shared" si="12"/>
        <v>2.02</v>
      </c>
      <c r="T59" s="160">
        <f t="shared" si="13"/>
        <v>1</v>
      </c>
      <c r="U59" s="160">
        <f t="shared" si="14"/>
        <v>2.02</v>
      </c>
      <c r="V59" s="282">
        <f t="shared" si="15"/>
        <v>118.548346</v>
      </c>
      <c r="W59" s="176">
        <f t="shared" ref="W59:X59" si="60">C59/100</f>
        <v>0.98</v>
      </c>
      <c r="X59" s="176">
        <f t="shared" si="60"/>
        <v>2.03</v>
      </c>
      <c r="Y59" s="176">
        <f t="shared" si="17"/>
        <v>2.02</v>
      </c>
      <c r="Z59" s="283">
        <f t="shared" si="18"/>
        <v>4.018588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42.0</v>
      </c>
      <c r="B60" s="289" t="s">
        <v>56</v>
      </c>
      <c r="C60" s="290">
        <v>98.0</v>
      </c>
      <c r="D60" s="290">
        <v>203.0</v>
      </c>
      <c r="E60" s="290">
        <v>202.0</v>
      </c>
      <c r="F60" s="290">
        <f t="shared" si="5"/>
        <v>0</v>
      </c>
      <c r="G60" s="290">
        <f t="shared" si="6"/>
        <v>118.548346</v>
      </c>
      <c r="H60" s="291">
        <f t="shared" si="7"/>
        <v>118.548346</v>
      </c>
      <c r="I60" s="218">
        <v>2.0</v>
      </c>
      <c r="J60" s="193">
        <f t="shared" si="8"/>
        <v>237.096692</v>
      </c>
      <c r="K60" s="186"/>
      <c r="L60" s="164"/>
      <c r="M60" s="195">
        <f t="shared" si="25"/>
        <v>2</v>
      </c>
      <c r="N60" s="195"/>
      <c r="O60" s="186"/>
      <c r="P60" s="186"/>
      <c r="Q60" s="187"/>
      <c r="R60" s="281">
        <v>29.5</v>
      </c>
      <c r="S60" s="176">
        <f t="shared" si="12"/>
        <v>2.02</v>
      </c>
      <c r="T60" s="160">
        <f t="shared" si="13"/>
        <v>2</v>
      </c>
      <c r="U60" s="160">
        <f t="shared" si="14"/>
        <v>4.04</v>
      </c>
      <c r="V60" s="282">
        <f t="shared" si="15"/>
        <v>118.548346</v>
      </c>
      <c r="W60" s="176">
        <f t="shared" ref="W60:X60" si="61">C60/100</f>
        <v>0.98</v>
      </c>
      <c r="X60" s="176">
        <f t="shared" si="61"/>
        <v>2.03</v>
      </c>
      <c r="Y60" s="176">
        <f t="shared" si="17"/>
        <v>4.04</v>
      </c>
      <c r="Z60" s="283">
        <f t="shared" si="18"/>
        <v>8.037176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43.0</v>
      </c>
      <c r="B61" s="289" t="s">
        <v>56</v>
      </c>
      <c r="C61" s="290">
        <v>100.0</v>
      </c>
      <c r="D61" s="290">
        <v>203.0</v>
      </c>
      <c r="E61" s="290">
        <v>201.0</v>
      </c>
      <c r="F61" s="290">
        <f t="shared" si="5"/>
        <v>0</v>
      </c>
      <c r="G61" s="290">
        <f t="shared" si="6"/>
        <v>120.36885</v>
      </c>
      <c r="H61" s="291">
        <f t="shared" si="7"/>
        <v>120.36885</v>
      </c>
      <c r="I61" s="218">
        <v>1.0</v>
      </c>
      <c r="J61" s="193">
        <f t="shared" si="8"/>
        <v>120.36885</v>
      </c>
      <c r="K61" s="186"/>
      <c r="L61" s="164"/>
      <c r="M61" s="195"/>
      <c r="N61" s="195"/>
      <c r="O61" s="186"/>
      <c r="P61" s="186"/>
      <c r="Q61" s="187" t="s">
        <v>152</v>
      </c>
      <c r="R61" s="141">
        <v>29.5</v>
      </c>
      <c r="S61" s="176">
        <f t="shared" si="12"/>
        <v>2.01</v>
      </c>
      <c r="T61" s="160">
        <f t="shared" si="13"/>
        <v>1</v>
      </c>
      <c r="U61" s="160">
        <f t="shared" si="14"/>
        <v>2.01</v>
      </c>
      <c r="V61" s="282">
        <f t="shared" si="15"/>
        <v>120.36885</v>
      </c>
      <c r="W61" s="176">
        <f t="shared" ref="W61:X61" si="62">C61/100</f>
        <v>1</v>
      </c>
      <c r="X61" s="176">
        <f t="shared" si="62"/>
        <v>2.03</v>
      </c>
      <c r="Y61" s="176">
        <f t="shared" si="17"/>
        <v>2.01</v>
      </c>
      <c r="Z61" s="283">
        <f t="shared" si="18"/>
        <v>4.0803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44.0</v>
      </c>
      <c r="B62" s="289" t="s">
        <v>56</v>
      </c>
      <c r="C62" s="290">
        <v>100.0</v>
      </c>
      <c r="D62" s="290">
        <v>203.0</v>
      </c>
      <c r="E62" s="290">
        <v>201.0</v>
      </c>
      <c r="F62" s="290">
        <f t="shared" si="5"/>
        <v>0</v>
      </c>
      <c r="G62" s="290">
        <f t="shared" si="6"/>
        <v>120.36885</v>
      </c>
      <c r="H62" s="291">
        <f t="shared" si="7"/>
        <v>120.36885</v>
      </c>
      <c r="I62" s="218">
        <v>5.0</v>
      </c>
      <c r="J62" s="193">
        <f t="shared" si="8"/>
        <v>601.84425</v>
      </c>
      <c r="K62" s="186"/>
      <c r="L62" s="164"/>
      <c r="M62" s="195"/>
      <c r="N62" s="195"/>
      <c r="O62" s="186"/>
      <c r="P62" s="186"/>
      <c r="Q62" s="187"/>
      <c r="R62" s="141">
        <v>29.5</v>
      </c>
      <c r="S62" s="176">
        <f t="shared" si="12"/>
        <v>2.01</v>
      </c>
      <c r="T62" s="160">
        <f t="shared" si="13"/>
        <v>5</v>
      </c>
      <c r="U62" s="160">
        <f t="shared" si="14"/>
        <v>10.05</v>
      </c>
      <c r="V62" s="282">
        <f t="shared" si="15"/>
        <v>120.36885</v>
      </c>
      <c r="W62" s="176">
        <f t="shared" ref="W62:X62" si="63">C62/100</f>
        <v>1</v>
      </c>
      <c r="X62" s="176">
        <f t="shared" si="63"/>
        <v>2.03</v>
      </c>
      <c r="Y62" s="176">
        <f t="shared" si="17"/>
        <v>10.05</v>
      </c>
      <c r="Z62" s="283">
        <f t="shared" si="18"/>
        <v>20.4015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45.0</v>
      </c>
      <c r="B63" s="289" t="s">
        <v>56</v>
      </c>
      <c r="C63" s="290">
        <v>99.0</v>
      </c>
      <c r="D63" s="290">
        <v>203.0</v>
      </c>
      <c r="E63" s="290">
        <v>202.0</v>
      </c>
      <c r="F63" s="290">
        <f t="shared" si="5"/>
        <v>0</v>
      </c>
      <c r="G63" s="290">
        <f t="shared" si="6"/>
        <v>119.758023</v>
      </c>
      <c r="H63" s="291">
        <f t="shared" si="7"/>
        <v>119.758023</v>
      </c>
      <c r="I63" s="218">
        <v>4.0</v>
      </c>
      <c r="J63" s="193">
        <f t="shared" si="8"/>
        <v>479.032092</v>
      </c>
      <c r="K63" s="186"/>
      <c r="L63" s="164"/>
      <c r="M63" s="195"/>
      <c r="N63" s="195"/>
      <c r="O63" s="186"/>
      <c r="P63" s="186"/>
      <c r="Q63" s="187"/>
      <c r="R63" s="141">
        <v>29.5</v>
      </c>
      <c r="S63" s="176">
        <f t="shared" si="12"/>
        <v>2.02</v>
      </c>
      <c r="T63" s="160">
        <f t="shared" si="13"/>
        <v>4</v>
      </c>
      <c r="U63" s="160">
        <f t="shared" si="14"/>
        <v>8.08</v>
      </c>
      <c r="V63" s="282">
        <f t="shared" si="15"/>
        <v>119.758023</v>
      </c>
      <c r="W63" s="176">
        <f t="shared" ref="W63:X63" si="64">C63/100</f>
        <v>0.99</v>
      </c>
      <c r="X63" s="176">
        <f t="shared" si="64"/>
        <v>2.03</v>
      </c>
      <c r="Y63" s="176">
        <f t="shared" si="17"/>
        <v>8.08</v>
      </c>
      <c r="Z63" s="283">
        <f t="shared" si="18"/>
        <v>16.238376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46.0</v>
      </c>
      <c r="B64" s="289" t="s">
        <v>56</v>
      </c>
      <c r="C64" s="290">
        <v>98.0</v>
      </c>
      <c r="D64" s="290">
        <v>203.0</v>
      </c>
      <c r="E64" s="290">
        <v>201.0</v>
      </c>
      <c r="F64" s="290">
        <f t="shared" si="5"/>
        <v>0</v>
      </c>
      <c r="G64" s="290">
        <f t="shared" si="6"/>
        <v>117.961473</v>
      </c>
      <c r="H64" s="291">
        <f t="shared" si="7"/>
        <v>117.961473</v>
      </c>
      <c r="I64" s="218">
        <v>4.0</v>
      </c>
      <c r="J64" s="193">
        <f t="shared" si="8"/>
        <v>471.845892</v>
      </c>
      <c r="K64" s="186"/>
      <c r="L64" s="164"/>
      <c r="M64" s="195"/>
      <c r="N64" s="195"/>
      <c r="O64" s="186"/>
      <c r="P64" s="186"/>
      <c r="Q64" s="187"/>
      <c r="R64" s="141">
        <v>29.5</v>
      </c>
      <c r="S64" s="176">
        <f t="shared" si="12"/>
        <v>2.01</v>
      </c>
      <c r="T64" s="160">
        <f t="shared" si="13"/>
        <v>4</v>
      </c>
      <c r="U64" s="160">
        <f t="shared" si="14"/>
        <v>8.04</v>
      </c>
      <c r="V64" s="282">
        <f t="shared" si="15"/>
        <v>117.961473</v>
      </c>
      <c r="W64" s="176">
        <f t="shared" ref="W64:X64" si="65">C64/100</f>
        <v>0.98</v>
      </c>
      <c r="X64" s="176">
        <f t="shared" si="65"/>
        <v>2.03</v>
      </c>
      <c r="Y64" s="176">
        <f t="shared" si="17"/>
        <v>8.04</v>
      </c>
      <c r="Z64" s="283">
        <f t="shared" si="18"/>
        <v>15.994776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47.0</v>
      </c>
      <c r="B65" s="289" t="s">
        <v>56</v>
      </c>
      <c r="C65" s="290">
        <v>100.0</v>
      </c>
      <c r="D65" s="290">
        <v>203.0</v>
      </c>
      <c r="E65" s="290">
        <v>202.0</v>
      </c>
      <c r="F65" s="290">
        <f t="shared" si="5"/>
        <v>0</v>
      </c>
      <c r="G65" s="290">
        <f t="shared" si="6"/>
        <v>120.9677</v>
      </c>
      <c r="H65" s="291">
        <f t="shared" si="7"/>
        <v>120.9677</v>
      </c>
      <c r="I65" s="218">
        <v>2.0</v>
      </c>
      <c r="J65" s="193">
        <f t="shared" si="8"/>
        <v>241.9354</v>
      </c>
      <c r="K65" s="186"/>
      <c r="L65" s="164"/>
      <c r="M65" s="195"/>
      <c r="N65" s="195"/>
      <c r="O65" s="186"/>
      <c r="P65" s="186"/>
      <c r="Q65" s="187"/>
      <c r="R65" s="141">
        <v>29.5</v>
      </c>
      <c r="S65" s="176">
        <f t="shared" si="12"/>
        <v>2.02</v>
      </c>
      <c r="T65" s="160">
        <f t="shared" si="13"/>
        <v>2</v>
      </c>
      <c r="U65" s="160">
        <f t="shared" si="14"/>
        <v>4.04</v>
      </c>
      <c r="V65" s="282">
        <f t="shared" si="15"/>
        <v>120.9677</v>
      </c>
      <c r="W65" s="176">
        <f t="shared" ref="W65:X65" si="66">C65/100</f>
        <v>1</v>
      </c>
      <c r="X65" s="176">
        <f t="shared" si="66"/>
        <v>2.03</v>
      </c>
      <c r="Y65" s="176">
        <f t="shared" si="17"/>
        <v>4.04</v>
      </c>
      <c r="Z65" s="283">
        <f t="shared" si="18"/>
        <v>8.2012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48.0</v>
      </c>
      <c r="B66" s="289" t="s">
        <v>56</v>
      </c>
      <c r="C66" s="290">
        <v>96.0</v>
      </c>
      <c r="D66" s="290">
        <v>203.0</v>
      </c>
      <c r="E66" s="290">
        <v>202.0</v>
      </c>
      <c r="F66" s="290">
        <f t="shared" si="5"/>
        <v>0</v>
      </c>
      <c r="G66" s="290">
        <f t="shared" si="6"/>
        <v>116.128992</v>
      </c>
      <c r="H66" s="291">
        <f t="shared" si="7"/>
        <v>116.128992</v>
      </c>
      <c r="I66" s="218">
        <v>1.0</v>
      </c>
      <c r="J66" s="193">
        <f t="shared" si="8"/>
        <v>116.128992</v>
      </c>
      <c r="K66" s="186"/>
      <c r="L66" s="164"/>
      <c r="M66" s="195"/>
      <c r="N66" s="195"/>
      <c r="O66" s="186"/>
      <c r="P66" s="186"/>
      <c r="Q66" s="187"/>
      <c r="R66" s="141">
        <v>29.5</v>
      </c>
      <c r="S66" s="176">
        <f t="shared" si="12"/>
        <v>2.02</v>
      </c>
      <c r="T66" s="160">
        <f t="shared" si="13"/>
        <v>1</v>
      </c>
      <c r="U66" s="160">
        <f t="shared" si="14"/>
        <v>2.02</v>
      </c>
      <c r="V66" s="282">
        <f t="shared" si="15"/>
        <v>116.128992</v>
      </c>
      <c r="W66" s="176">
        <f t="shared" ref="W66:X66" si="67">C66/100</f>
        <v>0.96</v>
      </c>
      <c r="X66" s="176">
        <f t="shared" si="67"/>
        <v>2.03</v>
      </c>
      <c r="Y66" s="176">
        <f t="shared" si="17"/>
        <v>2.02</v>
      </c>
      <c r="Z66" s="283">
        <f t="shared" si="18"/>
        <v>3.936576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49.0</v>
      </c>
      <c r="B67" s="289" t="s">
        <v>56</v>
      </c>
      <c r="C67" s="290">
        <v>100.0</v>
      </c>
      <c r="D67" s="290">
        <v>203.0</v>
      </c>
      <c r="E67" s="290">
        <v>250.0</v>
      </c>
      <c r="F67" s="290">
        <f t="shared" si="5"/>
        <v>0</v>
      </c>
      <c r="G67" s="290">
        <f t="shared" si="6"/>
        <v>149.7125</v>
      </c>
      <c r="H67" s="291">
        <f t="shared" si="7"/>
        <v>149.7125</v>
      </c>
      <c r="I67" s="218">
        <v>5.0</v>
      </c>
      <c r="J67" s="193">
        <f t="shared" si="8"/>
        <v>748.5625</v>
      </c>
      <c r="K67" s="186"/>
      <c r="L67" s="164"/>
      <c r="M67" s="195"/>
      <c r="N67" s="195"/>
      <c r="O67" s="186"/>
      <c r="P67" s="186"/>
      <c r="Q67" s="187"/>
      <c r="R67" s="141">
        <v>29.5</v>
      </c>
      <c r="S67" s="176">
        <f t="shared" si="12"/>
        <v>2.5</v>
      </c>
      <c r="T67" s="160">
        <f t="shared" si="13"/>
        <v>5</v>
      </c>
      <c r="U67" s="160">
        <f t="shared" si="14"/>
        <v>12.5</v>
      </c>
      <c r="V67" s="282">
        <f t="shared" si="15"/>
        <v>149.7125</v>
      </c>
      <c r="W67" s="176">
        <f t="shared" ref="W67:X67" si="68">C67/100</f>
        <v>1</v>
      </c>
      <c r="X67" s="176">
        <f t="shared" si="68"/>
        <v>2.03</v>
      </c>
      <c r="Y67" s="176">
        <f t="shared" si="17"/>
        <v>12.5</v>
      </c>
      <c r="Z67" s="283">
        <f t="shared" si="18"/>
        <v>25.375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50.0</v>
      </c>
      <c r="B68" s="289" t="s">
        <v>56</v>
      </c>
      <c r="C68" s="290">
        <v>100.0</v>
      </c>
      <c r="D68" s="290">
        <v>203.0</v>
      </c>
      <c r="E68" s="290">
        <v>240.0</v>
      </c>
      <c r="F68" s="290">
        <f t="shared" si="5"/>
        <v>0</v>
      </c>
      <c r="G68" s="290">
        <f t="shared" si="6"/>
        <v>143.724</v>
      </c>
      <c r="H68" s="291">
        <f t="shared" si="7"/>
        <v>143.724</v>
      </c>
      <c r="I68" s="218">
        <v>5.0</v>
      </c>
      <c r="J68" s="194">
        <f t="shared" si="8"/>
        <v>718.62</v>
      </c>
      <c r="K68" s="139"/>
      <c r="L68" s="197"/>
      <c r="M68" s="198"/>
      <c r="N68" s="198"/>
      <c r="O68" s="139"/>
      <c r="P68" s="139"/>
      <c r="Q68" s="187"/>
      <c r="R68" s="141">
        <v>29.5</v>
      </c>
      <c r="S68" s="176">
        <f t="shared" si="12"/>
        <v>2.4</v>
      </c>
      <c r="T68" s="160">
        <f t="shared" si="13"/>
        <v>5</v>
      </c>
      <c r="U68" s="160">
        <f t="shared" si="14"/>
        <v>12</v>
      </c>
      <c r="V68" s="282">
        <f t="shared" si="15"/>
        <v>143.724</v>
      </c>
      <c r="W68" s="176">
        <f t="shared" ref="W68:X68" si="69">C68/100</f>
        <v>1</v>
      </c>
      <c r="X68" s="176">
        <f t="shared" si="69"/>
        <v>2.03</v>
      </c>
      <c r="Y68" s="176">
        <f t="shared" si="17"/>
        <v>12</v>
      </c>
      <c r="Z68" s="283">
        <f t="shared" si="18"/>
        <v>24.36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51.0</v>
      </c>
      <c r="B69" s="289" t="s">
        <v>56</v>
      </c>
      <c r="C69" s="290">
        <v>100.0</v>
      </c>
      <c r="D69" s="290">
        <v>203.0</v>
      </c>
      <c r="E69" s="290">
        <v>239.0</v>
      </c>
      <c r="F69" s="290">
        <f t="shared" si="5"/>
        <v>0</v>
      </c>
      <c r="G69" s="290">
        <f t="shared" si="6"/>
        <v>143.12515</v>
      </c>
      <c r="H69" s="291">
        <f t="shared" si="7"/>
        <v>143.12515</v>
      </c>
      <c r="I69" s="218">
        <v>1.0</v>
      </c>
      <c r="J69" s="194">
        <f t="shared" si="8"/>
        <v>143.12515</v>
      </c>
      <c r="K69" s="139"/>
      <c r="L69" s="197"/>
      <c r="M69" s="198"/>
      <c r="N69" s="198"/>
      <c r="O69" s="139"/>
      <c r="P69" s="139"/>
      <c r="Q69" s="187"/>
      <c r="R69" s="141">
        <v>29.5</v>
      </c>
      <c r="S69" s="176">
        <f t="shared" si="12"/>
        <v>2.39</v>
      </c>
      <c r="T69" s="160">
        <f t="shared" si="13"/>
        <v>1</v>
      </c>
      <c r="U69" s="160">
        <f t="shared" si="14"/>
        <v>2.39</v>
      </c>
      <c r="V69" s="282">
        <f t="shared" si="15"/>
        <v>143.12515</v>
      </c>
      <c r="W69" s="176">
        <f t="shared" ref="W69:X69" si="70">C69/100</f>
        <v>1</v>
      </c>
      <c r="X69" s="176">
        <f t="shared" si="70"/>
        <v>2.03</v>
      </c>
      <c r="Y69" s="176">
        <f t="shared" si="17"/>
        <v>2.39</v>
      </c>
      <c r="Z69" s="283">
        <f t="shared" si="18"/>
        <v>4.8517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52.0</v>
      </c>
      <c r="B70" s="289" t="s">
        <v>56</v>
      </c>
      <c r="C70" s="290">
        <v>100.0</v>
      </c>
      <c r="D70" s="290">
        <v>203.0</v>
      </c>
      <c r="E70" s="290">
        <v>193.0</v>
      </c>
      <c r="F70" s="290">
        <f t="shared" si="5"/>
        <v>0</v>
      </c>
      <c r="G70" s="290">
        <f t="shared" si="6"/>
        <v>115.57805</v>
      </c>
      <c r="H70" s="291">
        <f t="shared" si="7"/>
        <v>115.57805</v>
      </c>
      <c r="I70" s="218">
        <v>10.0</v>
      </c>
      <c r="J70" s="194">
        <f t="shared" si="8"/>
        <v>1155.7805</v>
      </c>
      <c r="K70" s="139"/>
      <c r="L70" s="197"/>
      <c r="M70" s="198"/>
      <c r="N70" s="198"/>
      <c r="O70" s="139"/>
      <c r="P70" s="139"/>
      <c r="Q70" s="187"/>
      <c r="R70" s="141">
        <v>29.5</v>
      </c>
      <c r="S70" s="176">
        <f t="shared" si="12"/>
        <v>1.93</v>
      </c>
      <c r="T70" s="160">
        <f t="shared" si="13"/>
        <v>10</v>
      </c>
      <c r="U70" s="160">
        <f t="shared" si="14"/>
        <v>19.3</v>
      </c>
      <c r="V70" s="282">
        <f t="shared" si="15"/>
        <v>115.57805</v>
      </c>
      <c r="W70" s="176">
        <f t="shared" ref="W70:X70" si="71">C70/100</f>
        <v>1</v>
      </c>
      <c r="X70" s="176">
        <f t="shared" si="71"/>
        <v>2.03</v>
      </c>
      <c r="Y70" s="176">
        <f t="shared" si="17"/>
        <v>19.3</v>
      </c>
      <c r="Z70" s="283">
        <f t="shared" si="18"/>
        <v>39.179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53.0</v>
      </c>
      <c r="B71" s="289" t="s">
        <v>56</v>
      </c>
      <c r="C71" s="290">
        <v>99.0</v>
      </c>
      <c r="D71" s="290">
        <v>203.0</v>
      </c>
      <c r="E71" s="290">
        <v>201.0</v>
      </c>
      <c r="F71" s="290">
        <f t="shared" si="5"/>
        <v>0</v>
      </c>
      <c r="G71" s="290">
        <f t="shared" si="6"/>
        <v>119.1651615</v>
      </c>
      <c r="H71" s="291">
        <f t="shared" si="7"/>
        <v>119.1651615</v>
      </c>
      <c r="I71" s="218">
        <v>3.0</v>
      </c>
      <c r="J71" s="194">
        <f t="shared" si="8"/>
        <v>357.4954845</v>
      </c>
      <c r="K71" s="139"/>
      <c r="L71" s="197"/>
      <c r="M71" s="198"/>
      <c r="N71" s="198"/>
      <c r="O71" s="139"/>
      <c r="P71" s="139"/>
      <c r="Q71" s="187"/>
      <c r="R71" s="141">
        <v>29.5</v>
      </c>
      <c r="S71" s="176">
        <f t="shared" si="12"/>
        <v>2.01</v>
      </c>
      <c r="T71" s="160">
        <f t="shared" si="13"/>
        <v>3</v>
      </c>
      <c r="U71" s="160">
        <f t="shared" si="14"/>
        <v>6.03</v>
      </c>
      <c r="V71" s="282">
        <f t="shared" si="15"/>
        <v>119.1651615</v>
      </c>
      <c r="W71" s="176">
        <f t="shared" ref="W71:X71" si="72">C71/100</f>
        <v>0.99</v>
      </c>
      <c r="X71" s="176">
        <f t="shared" si="72"/>
        <v>2.03</v>
      </c>
      <c r="Y71" s="176">
        <f t="shared" si="17"/>
        <v>6.03</v>
      </c>
      <c r="Z71" s="283">
        <f t="shared" si="18"/>
        <v>12.118491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54.0</v>
      </c>
      <c r="B72" s="289" t="s">
        <v>56</v>
      </c>
      <c r="C72" s="290">
        <v>99.0</v>
      </c>
      <c r="D72" s="290">
        <v>203.0</v>
      </c>
      <c r="E72" s="290">
        <v>240.0</v>
      </c>
      <c r="F72" s="290">
        <f t="shared" si="5"/>
        <v>0</v>
      </c>
      <c r="G72" s="290">
        <f t="shared" si="6"/>
        <v>142.28676</v>
      </c>
      <c r="H72" s="291">
        <f t="shared" si="7"/>
        <v>142.28676</v>
      </c>
      <c r="I72" s="218">
        <v>2.0</v>
      </c>
      <c r="J72" s="194">
        <f t="shared" si="8"/>
        <v>284.57352</v>
      </c>
      <c r="K72" s="139"/>
      <c r="L72" s="197"/>
      <c r="M72" s="198"/>
      <c r="N72" s="198"/>
      <c r="O72" s="139"/>
      <c r="P72" s="139"/>
      <c r="Q72" s="187"/>
      <c r="R72" s="141">
        <v>29.5</v>
      </c>
      <c r="S72" s="176">
        <f t="shared" si="12"/>
        <v>2.4</v>
      </c>
      <c r="T72" s="160">
        <f t="shared" si="13"/>
        <v>2</v>
      </c>
      <c r="U72" s="160">
        <f t="shared" si="14"/>
        <v>4.8</v>
      </c>
      <c r="V72" s="282">
        <f t="shared" si="15"/>
        <v>142.28676</v>
      </c>
      <c r="W72" s="176">
        <f t="shared" ref="W72:X72" si="73">C72/100</f>
        <v>0.99</v>
      </c>
      <c r="X72" s="176">
        <f t="shared" si="73"/>
        <v>2.03</v>
      </c>
      <c r="Y72" s="176">
        <f t="shared" si="17"/>
        <v>4.8</v>
      </c>
      <c r="Z72" s="283">
        <f t="shared" si="18"/>
        <v>9.64656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55.0</v>
      </c>
      <c r="B73" s="289" t="s">
        <v>56</v>
      </c>
      <c r="C73" s="290">
        <v>99.0</v>
      </c>
      <c r="D73" s="290">
        <v>203.0</v>
      </c>
      <c r="E73" s="290">
        <v>251.0</v>
      </c>
      <c r="F73" s="290">
        <f t="shared" si="5"/>
        <v>0</v>
      </c>
      <c r="G73" s="290">
        <f t="shared" si="6"/>
        <v>148.8082365</v>
      </c>
      <c r="H73" s="291">
        <f t="shared" si="7"/>
        <v>148.8082365</v>
      </c>
      <c r="I73" s="218">
        <v>4.0</v>
      </c>
      <c r="J73" s="194">
        <f t="shared" si="8"/>
        <v>595.232946</v>
      </c>
      <c r="K73" s="139"/>
      <c r="L73" s="197"/>
      <c r="M73" s="198"/>
      <c r="N73" s="198"/>
      <c r="O73" s="139"/>
      <c r="P73" s="139"/>
      <c r="Q73" s="187"/>
      <c r="R73" s="141">
        <v>29.5</v>
      </c>
      <c r="S73" s="176">
        <f t="shared" si="12"/>
        <v>2.51</v>
      </c>
      <c r="T73" s="160">
        <f t="shared" si="13"/>
        <v>4</v>
      </c>
      <c r="U73" s="160">
        <f t="shared" si="14"/>
        <v>10.04</v>
      </c>
      <c r="V73" s="282">
        <f t="shared" si="15"/>
        <v>148.8082365</v>
      </c>
      <c r="W73" s="176">
        <f t="shared" ref="W73:X73" si="74">C73/100</f>
        <v>0.99</v>
      </c>
      <c r="X73" s="176">
        <f t="shared" si="74"/>
        <v>2.03</v>
      </c>
      <c r="Y73" s="176">
        <f t="shared" si="17"/>
        <v>10.04</v>
      </c>
      <c r="Z73" s="283">
        <f t="shared" si="18"/>
        <v>20.177388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56.0</v>
      </c>
      <c r="B74" s="289" t="s">
        <v>56</v>
      </c>
      <c r="C74" s="290">
        <v>99.0</v>
      </c>
      <c r="D74" s="290">
        <v>203.0</v>
      </c>
      <c r="E74" s="290">
        <v>193.0</v>
      </c>
      <c r="F74" s="290">
        <f t="shared" si="5"/>
        <v>0</v>
      </c>
      <c r="G74" s="290">
        <f t="shared" si="6"/>
        <v>114.4222695</v>
      </c>
      <c r="H74" s="291">
        <f t="shared" si="7"/>
        <v>114.4222695</v>
      </c>
      <c r="I74" s="218">
        <v>3.0</v>
      </c>
      <c r="J74" s="194">
        <f t="shared" si="8"/>
        <v>343.2668085</v>
      </c>
      <c r="K74" s="139"/>
      <c r="L74" s="197"/>
      <c r="M74" s="198"/>
      <c r="N74" s="198"/>
      <c r="O74" s="139"/>
      <c r="P74" s="139"/>
      <c r="Q74" s="187"/>
      <c r="R74" s="141">
        <v>29.5</v>
      </c>
      <c r="S74" s="176">
        <f t="shared" si="12"/>
        <v>1.93</v>
      </c>
      <c r="T74" s="160">
        <f t="shared" si="13"/>
        <v>3</v>
      </c>
      <c r="U74" s="160">
        <f t="shared" si="14"/>
        <v>5.79</v>
      </c>
      <c r="V74" s="282">
        <f t="shared" si="15"/>
        <v>114.4222695</v>
      </c>
      <c r="W74" s="176">
        <f t="shared" ref="W74:X74" si="75">C74/100</f>
        <v>0.99</v>
      </c>
      <c r="X74" s="176">
        <f t="shared" si="75"/>
        <v>2.03</v>
      </c>
      <c r="Y74" s="176">
        <f t="shared" si="17"/>
        <v>5.79</v>
      </c>
      <c r="Z74" s="283">
        <f t="shared" si="18"/>
        <v>11.636163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57.0</v>
      </c>
      <c r="B75" s="289" t="s">
        <v>55</v>
      </c>
      <c r="C75" s="290">
        <v>96.0</v>
      </c>
      <c r="D75" s="290">
        <v>203.0</v>
      </c>
      <c r="E75" s="290">
        <v>231.0</v>
      </c>
      <c r="F75" s="290">
        <f t="shared" si="5"/>
        <v>0</v>
      </c>
      <c r="G75" s="290">
        <f t="shared" si="6"/>
        <v>132.800976</v>
      </c>
      <c r="H75" s="291">
        <f t="shared" si="7"/>
        <v>132.800976</v>
      </c>
      <c r="I75" s="218">
        <v>4.0</v>
      </c>
      <c r="J75" s="194">
        <f t="shared" si="8"/>
        <v>531.203904</v>
      </c>
      <c r="K75" s="139"/>
      <c r="L75" s="197"/>
      <c r="M75" s="198"/>
      <c r="N75" s="198"/>
      <c r="O75" s="139"/>
      <c r="P75" s="139"/>
      <c r="Q75" s="187"/>
      <c r="R75" s="141">
        <v>29.5</v>
      </c>
      <c r="S75" s="176">
        <f t="shared" si="12"/>
        <v>2.31</v>
      </c>
      <c r="T75" s="160">
        <f t="shared" si="13"/>
        <v>4</v>
      </c>
      <c r="U75" s="160">
        <f t="shared" si="14"/>
        <v>9.24</v>
      </c>
      <c r="V75" s="282">
        <f t="shared" si="15"/>
        <v>132.800976</v>
      </c>
      <c r="W75" s="176">
        <f t="shared" ref="W75:X75" si="76">C75/100</f>
        <v>0.96</v>
      </c>
      <c r="X75" s="176">
        <f t="shared" si="76"/>
        <v>2.03</v>
      </c>
      <c r="Y75" s="176">
        <f t="shared" si="17"/>
        <v>9.24</v>
      </c>
      <c r="Z75" s="283">
        <f t="shared" si="18"/>
        <v>18.006912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58.0</v>
      </c>
      <c r="B76" s="289" t="s">
        <v>55</v>
      </c>
      <c r="C76" s="290">
        <v>93.0</v>
      </c>
      <c r="D76" s="290">
        <v>203.0</v>
      </c>
      <c r="E76" s="290">
        <v>235.0</v>
      </c>
      <c r="F76" s="290">
        <f t="shared" si="5"/>
        <v>0</v>
      </c>
      <c r="G76" s="290">
        <f t="shared" si="6"/>
        <v>130.8786675</v>
      </c>
      <c r="H76" s="291">
        <f t="shared" si="7"/>
        <v>130.8786675</v>
      </c>
      <c r="I76" s="218">
        <v>1.0</v>
      </c>
      <c r="J76" s="194">
        <f t="shared" si="8"/>
        <v>130.8786675</v>
      </c>
      <c r="K76" s="139"/>
      <c r="L76" s="197"/>
      <c r="M76" s="198"/>
      <c r="N76" s="198"/>
      <c r="O76" s="139"/>
      <c r="P76" s="139"/>
      <c r="Q76" s="187" t="s">
        <v>153</v>
      </c>
      <c r="R76" s="141">
        <v>29.5</v>
      </c>
      <c r="S76" s="176">
        <f t="shared" si="12"/>
        <v>2.35</v>
      </c>
      <c r="T76" s="160">
        <f t="shared" si="13"/>
        <v>1</v>
      </c>
      <c r="U76" s="160">
        <f t="shared" si="14"/>
        <v>2.35</v>
      </c>
      <c r="V76" s="282">
        <f t="shared" si="15"/>
        <v>130.8786675</v>
      </c>
      <c r="W76" s="176">
        <f t="shared" ref="W76:X76" si="77">C76/100</f>
        <v>0.93</v>
      </c>
      <c r="X76" s="176">
        <f t="shared" si="77"/>
        <v>2.03</v>
      </c>
      <c r="Y76" s="176">
        <f t="shared" si="17"/>
        <v>2.35</v>
      </c>
      <c r="Z76" s="283">
        <f t="shared" si="18"/>
        <v>4.436565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59.0</v>
      </c>
      <c r="B77" s="289" t="s">
        <v>55</v>
      </c>
      <c r="C77" s="290">
        <v>95.0</v>
      </c>
      <c r="D77" s="290">
        <v>203.0</v>
      </c>
      <c r="E77" s="290">
        <v>232.0</v>
      </c>
      <c r="F77" s="290">
        <f t="shared" si="5"/>
        <v>0</v>
      </c>
      <c r="G77" s="290">
        <f t="shared" si="6"/>
        <v>131.98654</v>
      </c>
      <c r="H77" s="291">
        <f t="shared" si="7"/>
        <v>131.98654</v>
      </c>
      <c r="I77" s="218">
        <v>1.0</v>
      </c>
      <c r="J77" s="194">
        <f t="shared" si="8"/>
        <v>131.98654</v>
      </c>
      <c r="K77" s="139"/>
      <c r="L77" s="197"/>
      <c r="M77" s="198"/>
      <c r="N77" s="198"/>
      <c r="O77" s="139"/>
      <c r="P77" s="139"/>
      <c r="Q77" s="187" t="s">
        <v>154</v>
      </c>
      <c r="R77" s="141">
        <v>29.5</v>
      </c>
      <c r="S77" s="176">
        <f t="shared" si="12"/>
        <v>2.32</v>
      </c>
      <c r="T77" s="160">
        <f t="shared" si="13"/>
        <v>1</v>
      </c>
      <c r="U77" s="160">
        <f t="shared" si="14"/>
        <v>2.32</v>
      </c>
      <c r="V77" s="282">
        <f t="shared" si="15"/>
        <v>131.98654</v>
      </c>
      <c r="W77" s="176">
        <f t="shared" ref="W77:X77" si="78">C77/100</f>
        <v>0.95</v>
      </c>
      <c r="X77" s="176">
        <f t="shared" si="78"/>
        <v>2.03</v>
      </c>
      <c r="Y77" s="176">
        <f t="shared" si="17"/>
        <v>2.32</v>
      </c>
      <c r="Z77" s="283">
        <f t="shared" si="18"/>
        <v>4.47412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60.0</v>
      </c>
      <c r="B78" s="289" t="s">
        <v>55</v>
      </c>
      <c r="C78" s="290">
        <v>95.0</v>
      </c>
      <c r="D78" s="290">
        <v>203.0</v>
      </c>
      <c r="E78" s="290">
        <v>232.0</v>
      </c>
      <c r="F78" s="290">
        <f t="shared" si="5"/>
        <v>0</v>
      </c>
      <c r="G78" s="290">
        <f t="shared" si="6"/>
        <v>131.98654</v>
      </c>
      <c r="H78" s="291">
        <f t="shared" si="7"/>
        <v>131.98654</v>
      </c>
      <c r="I78" s="218">
        <v>7.0</v>
      </c>
      <c r="J78" s="194">
        <f t="shared" si="8"/>
        <v>923.90578</v>
      </c>
      <c r="K78" s="139"/>
      <c r="L78" s="197"/>
      <c r="M78" s="198"/>
      <c r="N78" s="198"/>
      <c r="O78" s="139"/>
      <c r="P78" s="139"/>
      <c r="Q78" s="187"/>
      <c r="R78" s="141">
        <v>29.5</v>
      </c>
      <c r="S78" s="176">
        <f t="shared" si="12"/>
        <v>2.32</v>
      </c>
      <c r="T78" s="160">
        <f t="shared" si="13"/>
        <v>7</v>
      </c>
      <c r="U78" s="160">
        <f t="shared" si="14"/>
        <v>16.24</v>
      </c>
      <c r="V78" s="282">
        <f t="shared" si="15"/>
        <v>131.98654</v>
      </c>
      <c r="W78" s="176">
        <f t="shared" ref="W78:X78" si="79">C78/100</f>
        <v>0.95</v>
      </c>
      <c r="X78" s="176">
        <f t="shared" si="79"/>
        <v>2.03</v>
      </c>
      <c r="Y78" s="176">
        <f t="shared" si="17"/>
        <v>16.24</v>
      </c>
      <c r="Z78" s="283">
        <f t="shared" si="18"/>
        <v>31.31884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61.0</v>
      </c>
      <c r="B79" s="289" t="s">
        <v>55</v>
      </c>
      <c r="C79" s="290">
        <v>96.0</v>
      </c>
      <c r="D79" s="290">
        <v>203.0</v>
      </c>
      <c r="E79" s="290">
        <v>232.0</v>
      </c>
      <c r="F79" s="290">
        <f t="shared" si="5"/>
        <v>0</v>
      </c>
      <c r="G79" s="290">
        <f t="shared" si="6"/>
        <v>133.375872</v>
      </c>
      <c r="H79" s="291">
        <f t="shared" si="7"/>
        <v>133.375872</v>
      </c>
      <c r="I79" s="218">
        <v>1.0</v>
      </c>
      <c r="J79" s="194">
        <f t="shared" si="8"/>
        <v>133.375872</v>
      </c>
      <c r="K79" s="139"/>
      <c r="L79" s="197"/>
      <c r="M79" s="198"/>
      <c r="N79" s="198"/>
      <c r="O79" s="139"/>
      <c r="P79" s="139"/>
      <c r="Q79" s="187" t="s">
        <v>155</v>
      </c>
      <c r="R79" s="141">
        <v>29.5</v>
      </c>
      <c r="S79" s="176">
        <f t="shared" si="12"/>
        <v>2.32</v>
      </c>
      <c r="T79" s="160">
        <f t="shared" si="13"/>
        <v>1</v>
      </c>
      <c r="U79" s="160">
        <f t="shared" si="14"/>
        <v>2.32</v>
      </c>
      <c r="V79" s="282">
        <f t="shared" si="15"/>
        <v>133.375872</v>
      </c>
      <c r="W79" s="176">
        <f t="shared" ref="W79:X79" si="80">C79/100</f>
        <v>0.96</v>
      </c>
      <c r="X79" s="176">
        <f t="shared" si="80"/>
        <v>2.03</v>
      </c>
      <c r="Y79" s="176">
        <f t="shared" si="17"/>
        <v>2.32</v>
      </c>
      <c r="Z79" s="283">
        <f t="shared" si="18"/>
        <v>4.521216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62.0</v>
      </c>
      <c r="B80" s="289" t="s">
        <v>55</v>
      </c>
      <c r="C80" s="290">
        <v>96.0</v>
      </c>
      <c r="D80" s="290">
        <v>203.0</v>
      </c>
      <c r="E80" s="290">
        <v>232.0</v>
      </c>
      <c r="F80" s="290">
        <f t="shared" si="5"/>
        <v>0</v>
      </c>
      <c r="G80" s="290">
        <f t="shared" si="6"/>
        <v>133.375872</v>
      </c>
      <c r="H80" s="291">
        <f t="shared" si="7"/>
        <v>133.375872</v>
      </c>
      <c r="I80" s="218">
        <v>1.0</v>
      </c>
      <c r="J80" s="194">
        <f t="shared" si="8"/>
        <v>133.375872</v>
      </c>
      <c r="K80" s="139"/>
      <c r="L80" s="197"/>
      <c r="M80" s="198"/>
      <c r="N80" s="198"/>
      <c r="O80" s="139"/>
      <c r="P80" s="139"/>
      <c r="Q80" s="187" t="s">
        <v>153</v>
      </c>
      <c r="R80" s="141">
        <v>29.5</v>
      </c>
      <c r="S80" s="176">
        <f t="shared" si="12"/>
        <v>2.32</v>
      </c>
      <c r="T80" s="160">
        <f t="shared" si="13"/>
        <v>1</v>
      </c>
      <c r="U80" s="160">
        <f t="shared" si="14"/>
        <v>2.32</v>
      </c>
      <c r="V80" s="282">
        <f t="shared" si="15"/>
        <v>133.375872</v>
      </c>
      <c r="W80" s="176">
        <f t="shared" ref="W80:X80" si="81">C80/100</f>
        <v>0.96</v>
      </c>
      <c r="X80" s="176">
        <f t="shared" si="81"/>
        <v>2.03</v>
      </c>
      <c r="Y80" s="176">
        <f t="shared" si="17"/>
        <v>2.32</v>
      </c>
      <c r="Z80" s="283">
        <f t="shared" si="18"/>
        <v>4.521216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>
        <v>63.0</v>
      </c>
      <c r="B81" s="289" t="s">
        <v>55</v>
      </c>
      <c r="C81" s="290">
        <v>96.0</v>
      </c>
      <c r="D81" s="290">
        <v>203.0</v>
      </c>
      <c r="E81" s="290">
        <v>232.0</v>
      </c>
      <c r="F81" s="290">
        <f t="shared" si="5"/>
        <v>0</v>
      </c>
      <c r="G81" s="290">
        <f t="shared" si="6"/>
        <v>133.375872</v>
      </c>
      <c r="H81" s="291">
        <f t="shared" si="7"/>
        <v>133.375872</v>
      </c>
      <c r="I81" s="218">
        <v>1.0</v>
      </c>
      <c r="J81" s="194">
        <f t="shared" si="8"/>
        <v>133.375872</v>
      </c>
      <c r="K81" s="139"/>
      <c r="L81" s="197"/>
      <c r="M81" s="198"/>
      <c r="N81" s="198"/>
      <c r="O81" s="139"/>
      <c r="P81" s="139"/>
      <c r="Q81" s="187" t="s">
        <v>154</v>
      </c>
      <c r="R81" s="141">
        <v>29.5</v>
      </c>
      <c r="S81" s="176">
        <f t="shared" si="12"/>
        <v>2.32</v>
      </c>
      <c r="T81" s="160">
        <f t="shared" si="13"/>
        <v>1</v>
      </c>
      <c r="U81" s="160">
        <f t="shared" si="14"/>
        <v>2.32</v>
      </c>
      <c r="V81" s="282">
        <f t="shared" si="15"/>
        <v>133.375872</v>
      </c>
      <c r="W81" s="176">
        <f t="shared" ref="W81:X81" si="82">C81/100</f>
        <v>0.96</v>
      </c>
      <c r="X81" s="176">
        <f t="shared" si="82"/>
        <v>2.03</v>
      </c>
      <c r="Y81" s="176">
        <f t="shared" si="17"/>
        <v>2.32</v>
      </c>
      <c r="Z81" s="283">
        <f t="shared" si="18"/>
        <v>4.521216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60">
        <v>64.0</v>
      </c>
      <c r="B82" s="289" t="s">
        <v>55</v>
      </c>
      <c r="C82" s="290">
        <v>96.0</v>
      </c>
      <c r="D82" s="290">
        <v>203.0</v>
      </c>
      <c r="E82" s="290">
        <v>232.0</v>
      </c>
      <c r="F82" s="290">
        <f t="shared" si="5"/>
        <v>0</v>
      </c>
      <c r="G82" s="290">
        <f t="shared" si="6"/>
        <v>133.375872</v>
      </c>
      <c r="H82" s="291">
        <f t="shared" si="7"/>
        <v>133.375872</v>
      </c>
      <c r="I82" s="218">
        <v>1.0</v>
      </c>
      <c r="J82" s="194">
        <f t="shared" si="8"/>
        <v>133.375872</v>
      </c>
      <c r="K82" s="139"/>
      <c r="L82" s="197"/>
      <c r="M82" s="198"/>
      <c r="N82" s="198"/>
      <c r="O82" s="139"/>
      <c r="P82" s="139"/>
      <c r="Q82" s="187" t="s">
        <v>153</v>
      </c>
      <c r="R82" s="141">
        <v>29.5</v>
      </c>
      <c r="S82" s="176">
        <f t="shared" si="12"/>
        <v>2.32</v>
      </c>
      <c r="T82" s="160">
        <f t="shared" si="13"/>
        <v>1</v>
      </c>
      <c r="U82" s="160">
        <f t="shared" si="14"/>
        <v>2.32</v>
      </c>
      <c r="V82" s="282">
        <f t="shared" si="15"/>
        <v>133.375872</v>
      </c>
      <c r="W82" s="176">
        <f t="shared" ref="W82:X82" si="83">C82/100</f>
        <v>0.96</v>
      </c>
      <c r="X82" s="176">
        <f t="shared" si="83"/>
        <v>2.03</v>
      </c>
      <c r="Y82" s="176">
        <f t="shared" si="17"/>
        <v>2.32</v>
      </c>
      <c r="Z82" s="283">
        <f t="shared" si="18"/>
        <v>4.521216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customHeight="1">
      <c r="A83" s="160">
        <v>65.0</v>
      </c>
      <c r="B83" s="289" t="s">
        <v>55</v>
      </c>
      <c r="C83" s="290">
        <v>96.0</v>
      </c>
      <c r="D83" s="290">
        <v>203.0</v>
      </c>
      <c r="E83" s="290">
        <v>232.0</v>
      </c>
      <c r="F83" s="290">
        <f t="shared" si="5"/>
        <v>0</v>
      </c>
      <c r="G83" s="290">
        <f t="shared" si="6"/>
        <v>133.375872</v>
      </c>
      <c r="H83" s="291">
        <f t="shared" si="7"/>
        <v>133.375872</v>
      </c>
      <c r="I83" s="218">
        <v>2.0</v>
      </c>
      <c r="J83" s="194">
        <f t="shared" si="8"/>
        <v>266.751744</v>
      </c>
      <c r="K83" s="139"/>
      <c r="L83" s="197"/>
      <c r="M83" s="198"/>
      <c r="N83" s="198"/>
      <c r="O83" s="139"/>
      <c r="P83" s="139"/>
      <c r="Q83" s="187"/>
      <c r="R83" s="141">
        <v>29.5</v>
      </c>
      <c r="S83" s="176">
        <f t="shared" si="12"/>
        <v>2.32</v>
      </c>
      <c r="T83" s="160">
        <f t="shared" si="13"/>
        <v>2</v>
      </c>
      <c r="U83" s="160">
        <f t="shared" si="14"/>
        <v>4.64</v>
      </c>
      <c r="V83" s="282">
        <f t="shared" si="15"/>
        <v>133.375872</v>
      </c>
      <c r="W83" s="176">
        <f t="shared" ref="W83:X83" si="84">C83/100</f>
        <v>0.96</v>
      </c>
      <c r="X83" s="176">
        <f t="shared" si="84"/>
        <v>2.03</v>
      </c>
      <c r="Y83" s="176">
        <f t="shared" si="17"/>
        <v>4.64</v>
      </c>
      <c r="Z83" s="283">
        <f t="shared" si="18"/>
        <v>9.042432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customHeight="1">
      <c r="A84" s="160">
        <v>66.0</v>
      </c>
      <c r="B84" s="289" t="s">
        <v>55</v>
      </c>
      <c r="C84" s="290">
        <v>95.0</v>
      </c>
      <c r="D84" s="290">
        <v>203.0</v>
      </c>
      <c r="E84" s="290">
        <v>231.0</v>
      </c>
      <c r="F84" s="290">
        <f t="shared" si="5"/>
        <v>0</v>
      </c>
      <c r="G84" s="290">
        <f t="shared" si="6"/>
        <v>131.4176325</v>
      </c>
      <c r="H84" s="291">
        <f t="shared" si="7"/>
        <v>131.4176325</v>
      </c>
      <c r="I84" s="218">
        <v>1.0</v>
      </c>
      <c r="J84" s="194">
        <f t="shared" si="8"/>
        <v>131.4176325</v>
      </c>
      <c r="K84" s="139"/>
      <c r="L84" s="197"/>
      <c r="M84" s="198"/>
      <c r="N84" s="198"/>
      <c r="O84" s="139"/>
      <c r="P84" s="139"/>
      <c r="Q84" s="187" t="s">
        <v>155</v>
      </c>
      <c r="R84" s="141">
        <v>29.5</v>
      </c>
      <c r="S84" s="176">
        <f t="shared" si="12"/>
        <v>2.31</v>
      </c>
      <c r="T84" s="160">
        <f t="shared" si="13"/>
        <v>1</v>
      </c>
      <c r="U84" s="160">
        <f t="shared" si="14"/>
        <v>2.31</v>
      </c>
      <c r="V84" s="282">
        <f t="shared" si="15"/>
        <v>131.4176325</v>
      </c>
      <c r="W84" s="176">
        <f t="shared" ref="W84:X84" si="85">C84/100</f>
        <v>0.95</v>
      </c>
      <c r="X84" s="176">
        <f t="shared" si="85"/>
        <v>2.03</v>
      </c>
      <c r="Y84" s="176">
        <f t="shared" si="17"/>
        <v>2.31</v>
      </c>
      <c r="Z84" s="283">
        <f t="shared" si="18"/>
        <v>4.454835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customHeight="1">
      <c r="A85" s="160">
        <v>67.0</v>
      </c>
      <c r="B85" s="289" t="s">
        <v>55</v>
      </c>
      <c r="C85" s="290">
        <v>95.0</v>
      </c>
      <c r="D85" s="290">
        <v>203.0</v>
      </c>
      <c r="E85" s="290">
        <v>231.0</v>
      </c>
      <c r="F85" s="290">
        <f t="shared" si="5"/>
        <v>0</v>
      </c>
      <c r="G85" s="290">
        <f t="shared" si="6"/>
        <v>131.4176325</v>
      </c>
      <c r="H85" s="291">
        <f t="shared" si="7"/>
        <v>131.4176325</v>
      </c>
      <c r="I85" s="218">
        <v>1.0</v>
      </c>
      <c r="J85" s="194">
        <f t="shared" si="8"/>
        <v>131.4176325</v>
      </c>
      <c r="K85" s="139"/>
      <c r="L85" s="197"/>
      <c r="M85" s="198"/>
      <c r="N85" s="198"/>
      <c r="O85" s="139"/>
      <c r="P85" s="139"/>
      <c r="Q85" s="187" t="s">
        <v>156</v>
      </c>
      <c r="R85" s="141">
        <v>29.5</v>
      </c>
      <c r="S85" s="176">
        <f t="shared" si="12"/>
        <v>2.31</v>
      </c>
      <c r="T85" s="160">
        <f t="shared" si="13"/>
        <v>1</v>
      </c>
      <c r="U85" s="160">
        <f t="shared" si="14"/>
        <v>2.31</v>
      </c>
      <c r="V85" s="282">
        <f t="shared" si="15"/>
        <v>131.4176325</v>
      </c>
      <c r="W85" s="176">
        <f t="shared" ref="W85:X85" si="86">C85/100</f>
        <v>0.95</v>
      </c>
      <c r="X85" s="176">
        <f t="shared" si="86"/>
        <v>2.03</v>
      </c>
      <c r="Y85" s="176">
        <f t="shared" si="17"/>
        <v>2.31</v>
      </c>
      <c r="Z85" s="283">
        <f t="shared" si="18"/>
        <v>4.454835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customHeight="1">
      <c r="A86" s="160">
        <v>68.0</v>
      </c>
      <c r="B86" s="289" t="s">
        <v>55</v>
      </c>
      <c r="C86" s="290">
        <v>95.0</v>
      </c>
      <c r="D86" s="290">
        <v>203.0</v>
      </c>
      <c r="E86" s="290">
        <v>231.0</v>
      </c>
      <c r="F86" s="290">
        <f t="shared" si="5"/>
        <v>0</v>
      </c>
      <c r="G86" s="290">
        <f t="shared" si="6"/>
        <v>131.4176325</v>
      </c>
      <c r="H86" s="291">
        <f t="shared" si="7"/>
        <v>131.4176325</v>
      </c>
      <c r="I86" s="218">
        <v>6.0</v>
      </c>
      <c r="J86" s="194">
        <f t="shared" si="8"/>
        <v>788.505795</v>
      </c>
      <c r="K86" s="139"/>
      <c r="L86" s="197"/>
      <c r="M86" s="198"/>
      <c r="N86" s="198"/>
      <c r="O86" s="139"/>
      <c r="P86" s="139"/>
      <c r="Q86" s="187"/>
      <c r="R86" s="141">
        <v>29.5</v>
      </c>
      <c r="S86" s="176">
        <f t="shared" si="12"/>
        <v>2.31</v>
      </c>
      <c r="T86" s="160">
        <f t="shared" si="13"/>
        <v>6</v>
      </c>
      <c r="U86" s="160">
        <f t="shared" si="14"/>
        <v>13.86</v>
      </c>
      <c r="V86" s="282">
        <f t="shared" si="15"/>
        <v>131.4176325</v>
      </c>
      <c r="W86" s="176">
        <f t="shared" ref="W86:X86" si="87">C86/100</f>
        <v>0.95</v>
      </c>
      <c r="X86" s="176">
        <f t="shared" si="87"/>
        <v>2.03</v>
      </c>
      <c r="Y86" s="176">
        <f t="shared" si="17"/>
        <v>13.86</v>
      </c>
      <c r="Z86" s="283">
        <f t="shared" si="18"/>
        <v>26.72901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customHeight="1">
      <c r="A87" s="160">
        <v>69.0</v>
      </c>
      <c r="B87" s="289" t="s">
        <v>55</v>
      </c>
      <c r="C87" s="290">
        <v>94.0</v>
      </c>
      <c r="D87" s="290">
        <v>203.0</v>
      </c>
      <c r="E87" s="290">
        <v>231.0</v>
      </c>
      <c r="F87" s="290">
        <f t="shared" si="5"/>
        <v>0</v>
      </c>
      <c r="G87" s="290">
        <f t="shared" si="6"/>
        <v>130.034289</v>
      </c>
      <c r="H87" s="291">
        <f t="shared" si="7"/>
        <v>130.034289</v>
      </c>
      <c r="I87" s="218">
        <v>1.0</v>
      </c>
      <c r="J87" s="194">
        <f t="shared" si="8"/>
        <v>130.034289</v>
      </c>
      <c r="K87" s="139"/>
      <c r="L87" s="197"/>
      <c r="M87" s="198"/>
      <c r="N87" s="198"/>
      <c r="O87" s="139"/>
      <c r="P87" s="139"/>
      <c r="Q87" s="187"/>
      <c r="R87" s="141">
        <v>29.5</v>
      </c>
      <c r="S87" s="176">
        <f t="shared" si="12"/>
        <v>2.31</v>
      </c>
      <c r="T87" s="160">
        <f t="shared" si="13"/>
        <v>1</v>
      </c>
      <c r="U87" s="160">
        <f t="shared" si="14"/>
        <v>2.31</v>
      </c>
      <c r="V87" s="282">
        <f t="shared" si="15"/>
        <v>130.034289</v>
      </c>
      <c r="W87" s="176">
        <f t="shared" ref="W87:X87" si="88">C87/100</f>
        <v>0.94</v>
      </c>
      <c r="X87" s="176">
        <f t="shared" si="88"/>
        <v>2.03</v>
      </c>
      <c r="Y87" s="176">
        <f t="shared" si="17"/>
        <v>2.31</v>
      </c>
      <c r="Z87" s="283">
        <f t="shared" si="18"/>
        <v>4.407942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customHeight="1">
      <c r="A88" s="160">
        <v>70.0</v>
      </c>
      <c r="B88" s="289" t="s">
        <v>55</v>
      </c>
      <c r="C88" s="290">
        <v>94.0</v>
      </c>
      <c r="D88" s="290">
        <v>203.0</v>
      </c>
      <c r="E88" s="290">
        <v>233.0</v>
      </c>
      <c r="F88" s="290">
        <f t="shared" si="5"/>
        <v>0</v>
      </c>
      <c r="G88" s="290">
        <f t="shared" si="6"/>
        <v>131.160127</v>
      </c>
      <c r="H88" s="291">
        <f t="shared" si="7"/>
        <v>131.160127</v>
      </c>
      <c r="I88" s="218">
        <v>1.0</v>
      </c>
      <c r="J88" s="194">
        <f t="shared" si="8"/>
        <v>131.160127</v>
      </c>
      <c r="K88" s="139"/>
      <c r="L88" s="197"/>
      <c r="M88" s="198"/>
      <c r="N88" s="198"/>
      <c r="O88" s="139"/>
      <c r="P88" s="139"/>
      <c r="Q88" s="187"/>
      <c r="R88" s="141">
        <v>29.5</v>
      </c>
      <c r="S88" s="176">
        <f t="shared" si="12"/>
        <v>2.33</v>
      </c>
      <c r="T88" s="160">
        <f t="shared" si="13"/>
        <v>1</v>
      </c>
      <c r="U88" s="160">
        <f t="shared" si="14"/>
        <v>2.33</v>
      </c>
      <c r="V88" s="282">
        <f t="shared" si="15"/>
        <v>131.160127</v>
      </c>
      <c r="W88" s="176">
        <f t="shared" ref="W88:X88" si="89">C88/100</f>
        <v>0.94</v>
      </c>
      <c r="X88" s="176">
        <f t="shared" si="89"/>
        <v>2.03</v>
      </c>
      <c r="Y88" s="176">
        <f t="shared" si="17"/>
        <v>2.33</v>
      </c>
      <c r="Z88" s="283">
        <f t="shared" si="18"/>
        <v>4.446106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60">
        <v>71.0</v>
      </c>
      <c r="B89" s="289" t="s">
        <v>55</v>
      </c>
      <c r="C89" s="290">
        <v>94.0</v>
      </c>
      <c r="D89" s="290">
        <v>203.0</v>
      </c>
      <c r="E89" s="290">
        <v>235.0</v>
      </c>
      <c r="F89" s="290">
        <f t="shared" si="5"/>
        <v>0</v>
      </c>
      <c r="G89" s="290">
        <f t="shared" si="6"/>
        <v>132.285965</v>
      </c>
      <c r="H89" s="291">
        <f t="shared" si="7"/>
        <v>132.285965</v>
      </c>
      <c r="I89" s="218">
        <v>1.0</v>
      </c>
      <c r="J89" s="194">
        <f t="shared" si="8"/>
        <v>132.285965</v>
      </c>
      <c r="K89" s="139"/>
      <c r="L89" s="197"/>
      <c r="M89" s="198"/>
      <c r="N89" s="198"/>
      <c r="O89" s="139"/>
      <c r="P89" s="139"/>
      <c r="Q89" s="187"/>
      <c r="R89" s="141">
        <v>29.5</v>
      </c>
      <c r="S89" s="176">
        <f t="shared" si="12"/>
        <v>2.35</v>
      </c>
      <c r="T89" s="160">
        <f t="shared" si="13"/>
        <v>1</v>
      </c>
      <c r="U89" s="160">
        <f t="shared" si="14"/>
        <v>2.35</v>
      </c>
      <c r="V89" s="282">
        <f t="shared" si="15"/>
        <v>132.285965</v>
      </c>
      <c r="W89" s="176">
        <f t="shared" ref="W89:X89" si="90">C89/100</f>
        <v>0.94</v>
      </c>
      <c r="X89" s="176">
        <f t="shared" si="90"/>
        <v>2.03</v>
      </c>
      <c r="Y89" s="176">
        <f t="shared" si="17"/>
        <v>2.35</v>
      </c>
      <c r="Z89" s="283">
        <f t="shared" si="18"/>
        <v>4.48427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customHeight="1">
      <c r="A90" s="160">
        <v>72.0</v>
      </c>
      <c r="B90" s="289" t="s">
        <v>55</v>
      </c>
      <c r="C90" s="290">
        <v>95.0</v>
      </c>
      <c r="D90" s="290">
        <v>203.0</v>
      </c>
      <c r="E90" s="290">
        <v>202.0</v>
      </c>
      <c r="F90" s="290">
        <f t="shared" si="5"/>
        <v>0</v>
      </c>
      <c r="G90" s="290">
        <f t="shared" si="6"/>
        <v>114.919315</v>
      </c>
      <c r="H90" s="291">
        <f t="shared" si="7"/>
        <v>114.919315</v>
      </c>
      <c r="I90" s="218">
        <v>18.0</v>
      </c>
      <c r="J90" s="194">
        <f t="shared" si="8"/>
        <v>2068.54767</v>
      </c>
      <c r="K90" s="139"/>
      <c r="L90" s="197"/>
      <c r="M90" s="198"/>
      <c r="N90" s="198"/>
      <c r="O90" s="139"/>
      <c r="P90" s="139"/>
      <c r="Q90" s="187"/>
      <c r="R90" s="141">
        <v>29.5</v>
      </c>
      <c r="S90" s="187">
        <f t="shared" si="12"/>
        <v>2.02</v>
      </c>
      <c r="T90" s="181">
        <f t="shared" si="13"/>
        <v>18</v>
      </c>
      <c r="U90" s="181">
        <f t="shared" si="14"/>
        <v>36.36</v>
      </c>
      <c r="V90" s="278">
        <f t="shared" si="15"/>
        <v>114.919315</v>
      </c>
      <c r="W90" s="187">
        <f t="shared" ref="W90:X90" si="91">C90/100</f>
        <v>0.95</v>
      </c>
      <c r="X90" s="187">
        <f t="shared" si="91"/>
        <v>2.03</v>
      </c>
      <c r="Y90" s="187">
        <f t="shared" si="17"/>
        <v>36.36</v>
      </c>
      <c r="Z90" s="189">
        <f t="shared" si="18"/>
        <v>70.12026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60">
        <v>73.0</v>
      </c>
      <c r="B91" s="289" t="s">
        <v>55</v>
      </c>
      <c r="C91" s="290">
        <v>75.0</v>
      </c>
      <c r="D91" s="290">
        <v>203.0</v>
      </c>
      <c r="E91" s="290">
        <v>165.0</v>
      </c>
      <c r="F91" s="290">
        <f t="shared" si="5"/>
        <v>0</v>
      </c>
      <c r="G91" s="290">
        <f t="shared" si="6"/>
        <v>74.1076875</v>
      </c>
      <c r="H91" s="291">
        <f t="shared" si="7"/>
        <v>74.1076875</v>
      </c>
      <c r="I91" s="218">
        <v>1.0</v>
      </c>
      <c r="J91" s="194">
        <f t="shared" si="8"/>
        <v>74.1076875</v>
      </c>
      <c r="K91" s="139"/>
      <c r="L91" s="197"/>
      <c r="M91" s="198"/>
      <c r="N91" s="198"/>
      <c r="O91" s="139"/>
      <c r="P91" s="139"/>
      <c r="Q91" s="187"/>
      <c r="R91" s="141">
        <v>29.5</v>
      </c>
      <c r="S91" s="187">
        <f t="shared" si="12"/>
        <v>1.65</v>
      </c>
      <c r="T91" s="181">
        <f t="shared" si="13"/>
        <v>1</v>
      </c>
      <c r="U91" s="181">
        <f t="shared" si="14"/>
        <v>1.65</v>
      </c>
      <c r="V91" s="278">
        <f t="shared" si="15"/>
        <v>74.1076875</v>
      </c>
      <c r="W91" s="187">
        <f t="shared" ref="W91:X91" si="92">C91/100</f>
        <v>0.75</v>
      </c>
      <c r="X91" s="187">
        <f t="shared" si="92"/>
        <v>2.03</v>
      </c>
      <c r="Y91" s="187">
        <f t="shared" si="17"/>
        <v>1.65</v>
      </c>
      <c r="Z91" s="189">
        <f t="shared" si="18"/>
        <v>2.512125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60">
        <v>74.0</v>
      </c>
      <c r="B92" s="289" t="s">
        <v>55</v>
      </c>
      <c r="C92" s="290">
        <v>89.0</v>
      </c>
      <c r="D92" s="290">
        <v>203.0</v>
      </c>
      <c r="E92" s="290">
        <v>240.0</v>
      </c>
      <c r="F92" s="290">
        <f t="shared" si="5"/>
        <v>0</v>
      </c>
      <c r="G92" s="290">
        <f t="shared" si="6"/>
        <v>127.91436</v>
      </c>
      <c r="H92" s="291">
        <f t="shared" si="7"/>
        <v>127.91436</v>
      </c>
      <c r="I92" s="218">
        <v>1.0</v>
      </c>
      <c r="J92" s="194">
        <f t="shared" si="8"/>
        <v>127.91436</v>
      </c>
      <c r="K92" s="139"/>
      <c r="L92" s="197"/>
      <c r="M92" s="198"/>
      <c r="N92" s="198"/>
      <c r="O92" s="139"/>
      <c r="P92" s="139"/>
      <c r="Q92" s="187"/>
      <c r="R92" s="141">
        <v>29.5</v>
      </c>
      <c r="S92" s="187">
        <f t="shared" si="12"/>
        <v>2.4</v>
      </c>
      <c r="T92" s="181">
        <f t="shared" si="13"/>
        <v>1</v>
      </c>
      <c r="U92" s="181">
        <f t="shared" si="14"/>
        <v>2.4</v>
      </c>
      <c r="V92" s="278">
        <f t="shared" si="15"/>
        <v>127.91436</v>
      </c>
      <c r="W92" s="187">
        <f t="shared" ref="W92:X92" si="93">C92/100</f>
        <v>0.89</v>
      </c>
      <c r="X92" s="187">
        <f t="shared" si="93"/>
        <v>2.03</v>
      </c>
      <c r="Y92" s="187">
        <f t="shared" si="17"/>
        <v>2.4</v>
      </c>
      <c r="Z92" s="189">
        <f t="shared" si="18"/>
        <v>4.33608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60">
        <v>75.0</v>
      </c>
      <c r="B93" s="289" t="s">
        <v>55</v>
      </c>
      <c r="C93" s="290">
        <v>93.0</v>
      </c>
      <c r="D93" s="290">
        <v>203.0</v>
      </c>
      <c r="E93" s="290">
        <v>202.0</v>
      </c>
      <c r="F93" s="290">
        <f t="shared" si="5"/>
        <v>0</v>
      </c>
      <c r="G93" s="290">
        <f t="shared" si="6"/>
        <v>112.499961</v>
      </c>
      <c r="H93" s="291">
        <f t="shared" si="7"/>
        <v>112.499961</v>
      </c>
      <c r="I93" s="218">
        <v>1.0</v>
      </c>
      <c r="J93" s="194">
        <f t="shared" si="8"/>
        <v>112.499961</v>
      </c>
      <c r="K93" s="139"/>
      <c r="L93" s="197"/>
      <c r="M93" s="198"/>
      <c r="N93" s="198"/>
      <c r="O93" s="139"/>
      <c r="P93" s="139"/>
      <c r="Q93" s="187"/>
      <c r="R93" s="141">
        <v>29.5</v>
      </c>
      <c r="S93" s="187">
        <f t="shared" si="12"/>
        <v>2.02</v>
      </c>
      <c r="T93" s="181">
        <f t="shared" si="13"/>
        <v>1</v>
      </c>
      <c r="U93" s="181">
        <f t="shared" si="14"/>
        <v>2.02</v>
      </c>
      <c r="V93" s="278">
        <f t="shared" si="15"/>
        <v>112.499961</v>
      </c>
      <c r="W93" s="187">
        <f t="shared" ref="W93:X93" si="94">C93/100</f>
        <v>0.93</v>
      </c>
      <c r="X93" s="187">
        <f t="shared" si="94"/>
        <v>2.03</v>
      </c>
      <c r="Y93" s="187">
        <f t="shared" si="17"/>
        <v>2.02</v>
      </c>
      <c r="Z93" s="189">
        <f t="shared" si="18"/>
        <v>3.813558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customHeight="1">
      <c r="A94" s="160">
        <v>76.0</v>
      </c>
      <c r="B94" s="289" t="s">
        <v>55</v>
      </c>
      <c r="C94" s="290">
        <v>94.0</v>
      </c>
      <c r="D94" s="290">
        <v>203.0</v>
      </c>
      <c r="E94" s="290">
        <v>234.0</v>
      </c>
      <c r="F94" s="290">
        <f t="shared" si="5"/>
        <v>0</v>
      </c>
      <c r="G94" s="290">
        <f t="shared" si="6"/>
        <v>131.723046</v>
      </c>
      <c r="H94" s="291">
        <f t="shared" si="7"/>
        <v>131.723046</v>
      </c>
      <c r="I94" s="218">
        <v>1.0</v>
      </c>
      <c r="J94" s="194">
        <f t="shared" si="8"/>
        <v>131.723046</v>
      </c>
      <c r="K94" s="139"/>
      <c r="L94" s="197"/>
      <c r="M94" s="198"/>
      <c r="N94" s="198"/>
      <c r="O94" s="139"/>
      <c r="P94" s="139"/>
      <c r="Q94" s="187"/>
      <c r="R94" s="141">
        <v>29.5</v>
      </c>
      <c r="S94" s="187">
        <f t="shared" si="12"/>
        <v>2.34</v>
      </c>
      <c r="T94" s="181">
        <f t="shared" si="13"/>
        <v>1</v>
      </c>
      <c r="U94" s="181">
        <f t="shared" si="14"/>
        <v>2.34</v>
      </c>
      <c r="V94" s="186">
        <f t="shared" si="15"/>
        <v>131.723046</v>
      </c>
      <c r="W94" s="187">
        <f t="shared" ref="W94:X94" si="95">C94/100</f>
        <v>0.94</v>
      </c>
      <c r="X94" s="187">
        <f t="shared" si="95"/>
        <v>2.03</v>
      </c>
      <c r="Y94" s="187">
        <f t="shared" si="17"/>
        <v>2.34</v>
      </c>
      <c r="Z94" s="189">
        <f t="shared" si="18"/>
        <v>4.465188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customHeight="1">
      <c r="A95" s="160">
        <v>77.0</v>
      </c>
      <c r="B95" s="289" t="s">
        <v>55</v>
      </c>
      <c r="C95" s="290">
        <v>98.0</v>
      </c>
      <c r="D95" s="290">
        <v>203.0</v>
      </c>
      <c r="E95" s="290">
        <v>251.0</v>
      </c>
      <c r="F95" s="290">
        <f t="shared" si="5"/>
        <v>0</v>
      </c>
      <c r="G95" s="290">
        <f t="shared" si="6"/>
        <v>147.305123</v>
      </c>
      <c r="H95" s="291">
        <f t="shared" si="7"/>
        <v>147.305123</v>
      </c>
      <c r="I95" s="218">
        <v>4.0</v>
      </c>
      <c r="J95" s="194">
        <f t="shared" si="8"/>
        <v>589.220492</v>
      </c>
      <c r="K95" s="139"/>
      <c r="L95" s="197"/>
      <c r="M95" s="198"/>
      <c r="N95" s="198"/>
      <c r="O95" s="139"/>
      <c r="P95" s="139"/>
      <c r="Q95" s="187"/>
      <c r="R95" s="141">
        <v>29.5</v>
      </c>
      <c r="S95" s="187">
        <f t="shared" si="12"/>
        <v>2.51</v>
      </c>
      <c r="T95" s="181">
        <f t="shared" si="13"/>
        <v>4</v>
      </c>
      <c r="U95" s="181">
        <f t="shared" si="14"/>
        <v>10.04</v>
      </c>
      <c r="V95" s="186">
        <f t="shared" si="15"/>
        <v>147.305123</v>
      </c>
      <c r="W95" s="187">
        <f t="shared" ref="W95:X95" si="96">C95/100</f>
        <v>0.98</v>
      </c>
      <c r="X95" s="187">
        <f t="shared" si="96"/>
        <v>2.03</v>
      </c>
      <c r="Y95" s="187">
        <f t="shared" si="17"/>
        <v>10.04</v>
      </c>
      <c r="Z95" s="189">
        <f t="shared" si="18"/>
        <v>19.973576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customHeight="1">
      <c r="A96" s="160">
        <v>78.0</v>
      </c>
      <c r="B96" s="289" t="s">
        <v>55</v>
      </c>
      <c r="C96" s="290">
        <v>96.0</v>
      </c>
      <c r="D96" s="290">
        <v>203.0</v>
      </c>
      <c r="E96" s="290">
        <v>201.0</v>
      </c>
      <c r="F96" s="290">
        <f t="shared" si="5"/>
        <v>0</v>
      </c>
      <c r="G96" s="290">
        <f t="shared" si="6"/>
        <v>115.554096</v>
      </c>
      <c r="H96" s="291">
        <f t="shared" si="7"/>
        <v>115.554096</v>
      </c>
      <c r="I96" s="218">
        <v>3.0</v>
      </c>
      <c r="J96" s="194">
        <f t="shared" si="8"/>
        <v>346.662288</v>
      </c>
      <c r="K96" s="139"/>
      <c r="L96" s="197"/>
      <c r="M96" s="198"/>
      <c r="N96" s="198"/>
      <c r="O96" s="139"/>
      <c r="P96" s="139"/>
      <c r="Q96" s="187"/>
      <c r="R96" s="141">
        <v>29.5</v>
      </c>
      <c r="S96" s="187">
        <f t="shared" si="12"/>
        <v>2.01</v>
      </c>
      <c r="T96" s="181">
        <f t="shared" si="13"/>
        <v>3</v>
      </c>
      <c r="U96" s="181">
        <f t="shared" si="14"/>
        <v>6.03</v>
      </c>
      <c r="V96" s="186">
        <f t="shared" si="15"/>
        <v>115.554096</v>
      </c>
      <c r="W96" s="187">
        <f t="shared" ref="W96:X96" si="97">C96/100</f>
        <v>0.96</v>
      </c>
      <c r="X96" s="187">
        <f t="shared" si="97"/>
        <v>2.03</v>
      </c>
      <c r="Y96" s="187">
        <f t="shared" si="17"/>
        <v>6.03</v>
      </c>
      <c r="Z96" s="189">
        <f t="shared" si="18"/>
        <v>11.751264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customHeight="1">
      <c r="A97" s="160">
        <v>79.0</v>
      </c>
      <c r="B97" s="289" t="s">
        <v>55</v>
      </c>
      <c r="C97" s="290">
        <v>96.0</v>
      </c>
      <c r="D97" s="290">
        <v>203.0</v>
      </c>
      <c r="E97" s="290">
        <v>202.0</v>
      </c>
      <c r="F97" s="290">
        <f t="shared" si="5"/>
        <v>0</v>
      </c>
      <c r="G97" s="290">
        <f t="shared" si="6"/>
        <v>116.128992</v>
      </c>
      <c r="H97" s="291">
        <f t="shared" si="7"/>
        <v>116.128992</v>
      </c>
      <c r="I97" s="218">
        <v>7.0</v>
      </c>
      <c r="J97" s="194">
        <f t="shared" si="8"/>
        <v>812.902944</v>
      </c>
      <c r="K97" s="139"/>
      <c r="L97" s="197"/>
      <c r="M97" s="198"/>
      <c r="N97" s="198"/>
      <c r="O97" s="139"/>
      <c r="P97" s="139"/>
      <c r="Q97" s="187"/>
      <c r="R97" s="141">
        <v>29.5</v>
      </c>
      <c r="S97" s="187">
        <f t="shared" si="12"/>
        <v>2.02</v>
      </c>
      <c r="T97" s="181">
        <f t="shared" si="13"/>
        <v>7</v>
      </c>
      <c r="U97" s="181">
        <f t="shared" si="14"/>
        <v>14.14</v>
      </c>
      <c r="V97" s="186">
        <f t="shared" si="15"/>
        <v>116.128992</v>
      </c>
      <c r="W97" s="187">
        <f t="shared" ref="W97:X97" si="98">C97/100</f>
        <v>0.96</v>
      </c>
      <c r="X97" s="187">
        <f t="shared" si="98"/>
        <v>2.03</v>
      </c>
      <c r="Y97" s="187">
        <f t="shared" si="17"/>
        <v>14.14</v>
      </c>
      <c r="Z97" s="189">
        <f t="shared" si="18"/>
        <v>27.556032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customHeight="1">
      <c r="A98" s="160">
        <v>80.0</v>
      </c>
      <c r="B98" s="289" t="s">
        <v>55</v>
      </c>
      <c r="C98" s="290">
        <v>97.0</v>
      </c>
      <c r="D98" s="290">
        <v>203.0</v>
      </c>
      <c r="E98" s="290">
        <v>251.0</v>
      </c>
      <c r="F98" s="290">
        <f t="shared" si="5"/>
        <v>0</v>
      </c>
      <c r="G98" s="290">
        <f t="shared" si="6"/>
        <v>145.8020095</v>
      </c>
      <c r="H98" s="291">
        <f t="shared" si="7"/>
        <v>145.8020095</v>
      </c>
      <c r="I98" s="218">
        <v>2.0</v>
      </c>
      <c r="J98" s="194">
        <f t="shared" si="8"/>
        <v>291.604019</v>
      </c>
      <c r="K98" s="139"/>
      <c r="L98" s="197"/>
      <c r="M98" s="198"/>
      <c r="N98" s="198"/>
      <c r="O98" s="139"/>
      <c r="P98" s="139"/>
      <c r="Q98" s="187"/>
      <c r="R98" s="141">
        <v>29.5</v>
      </c>
      <c r="S98" s="187">
        <f t="shared" si="12"/>
        <v>2.51</v>
      </c>
      <c r="T98" s="181">
        <f t="shared" si="13"/>
        <v>2</v>
      </c>
      <c r="U98" s="181">
        <f t="shared" si="14"/>
        <v>5.02</v>
      </c>
      <c r="V98" s="186">
        <f t="shared" si="15"/>
        <v>145.8020095</v>
      </c>
      <c r="W98" s="187">
        <f t="shared" ref="W98:X98" si="99">C98/100</f>
        <v>0.97</v>
      </c>
      <c r="X98" s="187">
        <f t="shared" si="99"/>
        <v>2.03</v>
      </c>
      <c r="Y98" s="187">
        <f t="shared" si="17"/>
        <v>5.02</v>
      </c>
      <c r="Z98" s="189">
        <f t="shared" si="18"/>
        <v>9.884882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customHeight="1">
      <c r="A99" s="160">
        <v>81.0</v>
      </c>
      <c r="B99" s="289" t="s">
        <v>55</v>
      </c>
      <c r="C99" s="290">
        <v>95.0</v>
      </c>
      <c r="D99" s="290">
        <v>203.0</v>
      </c>
      <c r="E99" s="290">
        <v>201.0</v>
      </c>
      <c r="F99" s="290">
        <f t="shared" si="5"/>
        <v>0</v>
      </c>
      <c r="G99" s="290">
        <f t="shared" si="6"/>
        <v>114.3504075</v>
      </c>
      <c r="H99" s="291">
        <f t="shared" si="7"/>
        <v>114.3504075</v>
      </c>
      <c r="I99" s="218">
        <v>1.0</v>
      </c>
      <c r="J99" s="194">
        <f t="shared" si="8"/>
        <v>114.3504075</v>
      </c>
      <c r="K99" s="139"/>
      <c r="L99" s="197"/>
      <c r="M99" s="198"/>
      <c r="N99" s="198"/>
      <c r="O99" s="139"/>
      <c r="P99" s="139"/>
      <c r="Q99" s="187"/>
      <c r="R99" s="141">
        <v>29.5</v>
      </c>
      <c r="S99" s="187">
        <f t="shared" si="12"/>
        <v>2.01</v>
      </c>
      <c r="T99" s="181">
        <f t="shared" si="13"/>
        <v>1</v>
      </c>
      <c r="U99" s="181">
        <f t="shared" si="14"/>
        <v>2.01</v>
      </c>
      <c r="V99" s="186">
        <f t="shared" si="15"/>
        <v>114.3504075</v>
      </c>
      <c r="W99" s="187">
        <f t="shared" ref="W99:X99" si="100">C99/100</f>
        <v>0.95</v>
      </c>
      <c r="X99" s="187">
        <f t="shared" si="100"/>
        <v>2.03</v>
      </c>
      <c r="Y99" s="187">
        <f t="shared" si="17"/>
        <v>2.01</v>
      </c>
      <c r="Z99" s="189">
        <f t="shared" si="18"/>
        <v>3.876285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customHeight="1">
      <c r="A100" s="160">
        <v>82.0</v>
      </c>
      <c r="B100" s="275" t="s">
        <v>66</v>
      </c>
      <c r="C100" s="275">
        <v>98.0</v>
      </c>
      <c r="D100" s="275">
        <v>203.0</v>
      </c>
      <c r="E100" s="275">
        <v>135.0</v>
      </c>
      <c r="F100" s="275">
        <f t="shared" si="5"/>
        <v>0.5</v>
      </c>
      <c r="G100" s="275">
        <f t="shared" si="6"/>
        <v>79.227855</v>
      </c>
      <c r="H100" s="276">
        <f t="shared" si="7"/>
        <v>39.6139275</v>
      </c>
      <c r="I100" s="275">
        <v>1.0</v>
      </c>
      <c r="J100" s="294">
        <f t="shared" si="8"/>
        <v>39.6139275</v>
      </c>
      <c r="K100" s="295"/>
      <c r="L100" s="296"/>
      <c r="M100" s="297"/>
      <c r="N100" s="297"/>
      <c r="O100" s="295"/>
      <c r="P100" s="295"/>
      <c r="Q100" s="294"/>
      <c r="R100" s="141">
        <v>29.5</v>
      </c>
      <c r="S100" s="187">
        <f t="shared" si="12"/>
        <v>1.35</v>
      </c>
      <c r="T100" s="181">
        <f t="shared" si="13"/>
        <v>1</v>
      </c>
      <c r="U100" s="181">
        <f t="shared" si="14"/>
        <v>1.35</v>
      </c>
      <c r="V100" s="186">
        <f t="shared" si="15"/>
        <v>79.227855</v>
      </c>
      <c r="W100" s="187">
        <f t="shared" ref="W100:X100" si="101">C100/100</f>
        <v>0.98</v>
      </c>
      <c r="X100" s="187">
        <f t="shared" si="101"/>
        <v>2.03</v>
      </c>
      <c r="Y100" s="187">
        <f t="shared" si="17"/>
        <v>1.35</v>
      </c>
      <c r="Z100" s="189">
        <f t="shared" si="18"/>
        <v>2.68569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customHeight="1">
      <c r="A101" s="160"/>
      <c r="B101" s="176"/>
      <c r="C101" s="176"/>
      <c r="D101" s="176"/>
      <c r="E101" s="176"/>
      <c r="F101" s="176"/>
      <c r="G101" s="176"/>
      <c r="H101" s="179"/>
      <c r="I101" s="160"/>
      <c r="J101" s="203">
        <f>+Q127</f>
        <v>59.2</v>
      </c>
      <c r="K101" s="139"/>
      <c r="L101" s="139"/>
      <c r="M101" s="139"/>
      <c r="N101" s="139"/>
      <c r="O101" s="139"/>
      <c r="P101" s="139"/>
      <c r="Q101" s="139"/>
      <c r="R101" s="204"/>
      <c r="S101" s="187">
        <f t="shared" si="12"/>
        <v>0</v>
      </c>
      <c r="T101" s="181" t="str">
        <f t="shared" si="13"/>
        <v/>
      </c>
      <c r="U101" s="181">
        <f t="shared" si="14"/>
        <v>0</v>
      </c>
      <c r="V101" s="186"/>
      <c r="W101" s="187">
        <f t="shared" ref="W101:X101" si="102">C101/100</f>
        <v>0</v>
      </c>
      <c r="X101" s="187">
        <f t="shared" si="102"/>
        <v>0</v>
      </c>
      <c r="Y101" s="187">
        <f t="shared" si="17"/>
        <v>0</v>
      </c>
      <c r="Z101" s="189">
        <f t="shared" si="18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customHeight="1">
      <c r="A102" s="160"/>
      <c r="B102" s="205"/>
      <c r="C102" s="205"/>
      <c r="D102" s="205"/>
      <c r="E102" s="205"/>
      <c r="F102" s="205"/>
      <c r="G102" s="205"/>
      <c r="H102" s="206"/>
      <c r="I102" s="207">
        <f>SUM(I19:I100)</f>
        <v>182</v>
      </c>
      <c r="J102" s="208">
        <f>SUM(J19:J101)</f>
        <v>22008.36222</v>
      </c>
      <c r="K102" s="209"/>
      <c r="L102" s="209"/>
      <c r="M102" s="209"/>
      <c r="N102" s="209"/>
      <c r="O102" s="209"/>
      <c r="P102" s="209"/>
      <c r="Q102" s="209"/>
      <c r="R102" s="141"/>
      <c r="S102" s="209">
        <f>SUMIFS($T$19:$T$100,$S$19:$S$100,"&gt;=3")</f>
        <v>0</v>
      </c>
      <c r="T102" s="209">
        <f t="shared" ref="T102:U102" si="103">SUM(T19:T100)</f>
        <v>182</v>
      </c>
      <c r="U102" s="209">
        <f t="shared" si="103"/>
        <v>395.57</v>
      </c>
      <c r="V102" s="209"/>
      <c r="W102" s="209"/>
      <c r="X102" s="209"/>
      <c r="Y102" s="209"/>
      <c r="Z102" s="210">
        <f>SUM(Z19:Z101)</f>
        <v>781.729401</v>
      </c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AS102" s="209"/>
      <c r="AT102" s="209"/>
    </row>
    <row r="103" ht="29.2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186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9.2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204"/>
      <c r="S104" s="139"/>
      <c r="T104" s="139" t="s">
        <v>48</v>
      </c>
      <c r="U104" s="139" t="s">
        <v>72</v>
      </c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9.2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39"/>
      <c r="R105" s="141"/>
      <c r="S105" s="139" t="s">
        <v>31</v>
      </c>
      <c r="T105" s="211">
        <f>SUMIFS($J$19:$J$100,$S$19:$S$100,"&gt;=3")</f>
        <v>0</v>
      </c>
      <c r="U105" s="212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9.25" customHeight="1">
      <c r="A106" s="139" t="s">
        <v>32</v>
      </c>
      <c r="B106" s="139"/>
      <c r="C106" s="139"/>
      <c r="D106" s="139" t="s">
        <v>33</v>
      </c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39"/>
      <c r="R106" s="141"/>
      <c r="S106" s="139" t="s">
        <v>34</v>
      </c>
      <c r="T106" s="213">
        <f>J102-T105</f>
        <v>22008.36222</v>
      </c>
      <c r="U106" s="212">
        <f>+SUMIFS($U$19:$U$100,$S$19:$S$100,"&gt;=3")</f>
        <v>0</v>
      </c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9.25" customHeight="1">
      <c r="A107" s="139"/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39"/>
      <c r="R107" s="204"/>
      <c r="S107" s="139"/>
      <c r="T107" s="214">
        <f>+I102</f>
        <v>182</v>
      </c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39.0" customHeight="1">
      <c r="A108" s="176"/>
      <c r="B108" s="160" t="s">
        <v>12</v>
      </c>
      <c r="C108" s="177" t="s">
        <v>73</v>
      </c>
      <c r="D108" s="52"/>
      <c r="E108" s="53"/>
      <c r="F108" s="178"/>
      <c r="G108" s="178"/>
      <c r="H108" s="179" t="s">
        <v>14</v>
      </c>
      <c r="I108" s="160" t="s">
        <v>15</v>
      </c>
      <c r="J108" s="160" t="s">
        <v>16</v>
      </c>
      <c r="K108" s="139"/>
      <c r="L108" s="139"/>
      <c r="M108" s="139"/>
      <c r="N108" s="139"/>
      <c r="O108" s="139"/>
      <c r="P108" s="139"/>
      <c r="Q108" s="139"/>
      <c r="R108" s="141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customHeight="1">
      <c r="A109" s="154">
        <v>1.0</v>
      </c>
      <c r="B109" s="215" t="s">
        <v>140</v>
      </c>
      <c r="C109" s="215">
        <v>80.0</v>
      </c>
      <c r="D109" s="215">
        <v>206.0</v>
      </c>
      <c r="E109" s="215">
        <v>206.0</v>
      </c>
      <c r="F109" s="215">
        <f t="shared" ref="F109:F112" si="104">1-VALUE(IF(RIGHT(B109, 1)="%", RIGHT(B109, 3), 0))</f>
        <v>0.2</v>
      </c>
      <c r="G109" s="215">
        <f t="shared" ref="G109:G112" si="105">+Q109*C109/100*D109/100*E109/100</f>
        <v>0</v>
      </c>
      <c r="H109" s="216">
        <f t="shared" ref="H109:H112" si="106">IF(F109=0, G109, F109*G109)</f>
        <v>0</v>
      </c>
      <c r="I109" s="215">
        <v>1.0</v>
      </c>
      <c r="J109" s="217">
        <f t="shared" ref="J109:J112" si="107">+I109*H109</f>
        <v>0</v>
      </c>
      <c r="K109" s="139"/>
      <c r="L109" s="176">
        <f t="shared" ref="L109:L112" si="108">D109*25.4/1000</f>
        <v>5.2324</v>
      </c>
      <c r="M109" s="160">
        <f t="shared" ref="M109:M112" si="109">+I109</f>
        <v>1</v>
      </c>
      <c r="N109" s="160">
        <f t="shared" ref="N109:N112" si="110">M109*L109</f>
        <v>5.2324</v>
      </c>
      <c r="O109" s="139"/>
      <c r="P109" s="139"/>
      <c r="Q109" s="139"/>
      <c r="R109" s="141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customHeight="1">
      <c r="A110" s="154">
        <v>2.0</v>
      </c>
      <c r="B110" s="218" t="s">
        <v>144</v>
      </c>
      <c r="C110" s="218">
        <v>87.0</v>
      </c>
      <c r="D110" s="218">
        <v>203.0</v>
      </c>
      <c r="E110" s="218">
        <v>208.0</v>
      </c>
      <c r="F110" s="218">
        <f t="shared" si="104"/>
        <v>0.2</v>
      </c>
      <c r="G110" s="218">
        <f t="shared" si="105"/>
        <v>0</v>
      </c>
      <c r="H110" s="219">
        <f t="shared" si="106"/>
        <v>0</v>
      </c>
      <c r="I110" s="218">
        <v>1.0</v>
      </c>
      <c r="J110" s="217">
        <f t="shared" si="107"/>
        <v>0</v>
      </c>
      <c r="K110" s="139"/>
      <c r="L110" s="176">
        <f t="shared" si="108"/>
        <v>5.1562</v>
      </c>
      <c r="M110" s="160">
        <f t="shared" si="109"/>
        <v>1</v>
      </c>
      <c r="N110" s="160">
        <f t="shared" si="110"/>
        <v>5.1562</v>
      </c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customHeight="1">
      <c r="A111" s="154">
        <v>3.0</v>
      </c>
      <c r="B111" s="218" t="s">
        <v>65</v>
      </c>
      <c r="C111" s="218">
        <v>90.0</v>
      </c>
      <c r="D111" s="218">
        <v>203.0</v>
      </c>
      <c r="E111" s="218">
        <v>202.0</v>
      </c>
      <c r="F111" s="218">
        <f t="shared" si="104"/>
        <v>0.2</v>
      </c>
      <c r="G111" s="218">
        <f t="shared" si="105"/>
        <v>0</v>
      </c>
      <c r="H111" s="219">
        <f t="shared" si="106"/>
        <v>0</v>
      </c>
      <c r="I111" s="218">
        <v>1.0</v>
      </c>
      <c r="J111" s="194">
        <f t="shared" si="107"/>
        <v>0</v>
      </c>
      <c r="K111" s="139"/>
      <c r="L111" s="176">
        <f t="shared" si="108"/>
        <v>5.1562</v>
      </c>
      <c r="M111" s="160">
        <f t="shared" si="109"/>
        <v>1</v>
      </c>
      <c r="N111" s="160">
        <f t="shared" si="110"/>
        <v>5.1562</v>
      </c>
      <c r="O111" s="139"/>
      <c r="P111" s="139"/>
      <c r="Q111" s="139"/>
      <c r="R111" s="139"/>
      <c r="S111" s="220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customHeight="1">
      <c r="A112" s="154">
        <v>4.0</v>
      </c>
      <c r="B112" s="218" t="s">
        <v>66</v>
      </c>
      <c r="C112" s="218">
        <v>98.0</v>
      </c>
      <c r="D112" s="218">
        <v>203.0</v>
      </c>
      <c r="E112" s="218">
        <v>135.0</v>
      </c>
      <c r="F112" s="218">
        <f t="shared" si="104"/>
        <v>0.5</v>
      </c>
      <c r="G112" s="218">
        <f t="shared" si="105"/>
        <v>0</v>
      </c>
      <c r="H112" s="219">
        <f t="shared" si="106"/>
        <v>0</v>
      </c>
      <c r="I112" s="218">
        <v>1.0</v>
      </c>
      <c r="J112" s="194">
        <f t="shared" si="107"/>
        <v>0</v>
      </c>
      <c r="K112" s="139"/>
      <c r="L112" s="176">
        <f t="shared" si="108"/>
        <v>5.1562</v>
      </c>
      <c r="M112" s="160">
        <f t="shared" si="109"/>
        <v>1</v>
      </c>
      <c r="N112" s="160">
        <f t="shared" si="110"/>
        <v>5.1562</v>
      </c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4.75" customHeight="1">
      <c r="A113" s="160"/>
      <c r="B113" s="197"/>
      <c r="C113" s="197"/>
      <c r="D113" s="197"/>
      <c r="E113" s="197"/>
      <c r="F113" s="197"/>
      <c r="G113" s="197"/>
      <c r="H113" s="269" t="s">
        <v>38</v>
      </c>
      <c r="I113" s="197"/>
      <c r="J113" s="226">
        <f>SUM(J109:J112)</f>
        <v>0</v>
      </c>
      <c r="K113" s="139"/>
      <c r="L113" s="139"/>
      <c r="M113" s="139"/>
      <c r="N113" s="139"/>
      <c r="O113" s="139"/>
      <c r="P113" s="139"/>
      <c r="Q113" s="139"/>
      <c r="R113" s="141"/>
      <c r="S113" s="227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18.75" customHeight="1">
      <c r="A114" s="174"/>
      <c r="B114" s="144"/>
      <c r="C114" s="144"/>
      <c r="D114" s="144"/>
      <c r="E114" s="144"/>
      <c r="F114" s="144"/>
      <c r="G114" s="144"/>
      <c r="H114" s="145"/>
      <c r="I114" s="144"/>
      <c r="J114" s="175"/>
      <c r="K114" s="139"/>
      <c r="L114" s="139"/>
      <c r="M114" s="139"/>
      <c r="N114" s="139"/>
      <c r="O114" s="139"/>
      <c r="P114" s="139"/>
      <c r="Q114" s="139"/>
      <c r="R114" s="141"/>
      <c r="S114" s="227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18.75" customHeight="1">
      <c r="A115" s="139"/>
      <c r="B115" s="139"/>
      <c r="C115" s="139"/>
      <c r="D115" s="139"/>
      <c r="E115" s="139"/>
      <c r="F115" s="139"/>
      <c r="G115" s="139"/>
      <c r="H115" s="140"/>
      <c r="I115" s="139"/>
      <c r="J115" s="139"/>
      <c r="K115" s="139"/>
      <c r="L115" s="139"/>
      <c r="M115" s="139"/>
      <c r="N115" s="139"/>
      <c r="O115" s="139"/>
      <c r="P115" s="139"/>
      <c r="Q115" s="139"/>
      <c r="R115" s="141"/>
      <c r="S115" s="227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18.75" customHeight="1">
      <c r="A116" s="139"/>
      <c r="B116" s="139"/>
      <c r="C116" s="139"/>
      <c r="D116" s="139"/>
      <c r="E116" s="139"/>
      <c r="F116" s="139"/>
      <c r="G116" s="139"/>
      <c r="H116" s="140"/>
      <c r="I116" s="139"/>
      <c r="J116" s="139"/>
      <c r="K116" s="139"/>
      <c r="L116" s="139"/>
      <c r="M116" s="139"/>
      <c r="N116" s="139"/>
      <c r="O116" s="139"/>
      <c r="P116" s="139"/>
      <c r="Q116" s="139"/>
      <c r="R116" s="227"/>
      <c r="S116" s="227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18.75" customHeight="1">
      <c r="A117" s="139" t="s">
        <v>39</v>
      </c>
      <c r="B117" s="139"/>
      <c r="C117" s="139"/>
      <c r="D117" s="139"/>
      <c r="E117" s="139"/>
      <c r="F117" s="139"/>
      <c r="G117" s="139"/>
      <c r="H117" s="140"/>
      <c r="I117" s="139"/>
      <c r="J117" s="139"/>
      <c r="K117" s="139"/>
      <c r="L117" s="139"/>
      <c r="M117" s="139"/>
      <c r="N117" s="139"/>
      <c r="O117" s="139"/>
      <c r="P117" s="139"/>
      <c r="Q117" s="139"/>
      <c r="R117" s="227"/>
      <c r="S117" s="227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18.75" customHeight="1">
      <c r="A118" s="139"/>
      <c r="B118" s="139"/>
      <c r="C118" s="139"/>
      <c r="D118" s="139"/>
      <c r="E118" s="139"/>
      <c r="F118" s="139"/>
      <c r="G118" s="139"/>
      <c r="H118" s="140"/>
      <c r="I118" s="139"/>
      <c r="J118" s="139"/>
      <c r="K118" s="139"/>
      <c r="L118" s="139"/>
      <c r="M118" s="139"/>
      <c r="N118" s="139"/>
      <c r="O118" s="139"/>
      <c r="P118" s="139"/>
      <c r="Q118" s="139"/>
      <c r="R118" s="227"/>
      <c r="S118" s="227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42.0" customHeight="1">
      <c r="A119" s="176"/>
      <c r="B119" s="160" t="s">
        <v>12</v>
      </c>
      <c r="C119" s="177" t="s">
        <v>74</v>
      </c>
      <c r="D119" s="52"/>
      <c r="E119" s="53"/>
      <c r="F119" s="228"/>
      <c r="G119" s="228"/>
      <c r="H119" s="179" t="s">
        <v>14</v>
      </c>
      <c r="I119" s="224" t="s">
        <v>15</v>
      </c>
      <c r="J119" s="160" t="s">
        <v>16</v>
      </c>
      <c r="K119" s="139"/>
      <c r="L119" s="139"/>
      <c r="M119" s="139"/>
      <c r="N119" s="139"/>
      <c r="O119" s="139"/>
      <c r="P119" s="139"/>
      <c r="Q119" s="139"/>
      <c r="R119" s="227"/>
      <c r="S119" s="227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4.75" customHeight="1">
      <c r="A120" s="160">
        <v>1.0</v>
      </c>
      <c r="B120" s="229" t="s">
        <v>137</v>
      </c>
      <c r="C120" s="181"/>
      <c r="D120" s="181"/>
      <c r="E120" s="181"/>
      <c r="F120" s="181"/>
      <c r="G120" s="181"/>
      <c r="H120" s="232">
        <v>27.0</v>
      </c>
      <c r="I120" s="181">
        <v>1.0</v>
      </c>
      <c r="J120" s="194">
        <f t="shared" ref="J120:J125" si="111">+I120*H120</f>
        <v>27</v>
      </c>
      <c r="K120" s="176"/>
      <c r="L120" s="176"/>
      <c r="M120" s="176"/>
      <c r="N120" s="176"/>
      <c r="O120" s="176"/>
      <c r="P120" s="176"/>
      <c r="Q120" s="284"/>
      <c r="R120" s="227"/>
      <c r="S120" s="227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4.75" customHeight="1">
      <c r="A121" s="160">
        <v>2.0</v>
      </c>
      <c r="B121" s="215" t="s">
        <v>137</v>
      </c>
      <c r="C121" s="181"/>
      <c r="D121" s="181"/>
      <c r="E121" s="181"/>
      <c r="F121" s="181"/>
      <c r="G121" s="181"/>
      <c r="H121" s="232">
        <v>15.0</v>
      </c>
      <c r="I121" s="181">
        <v>1.0</v>
      </c>
      <c r="J121" s="194">
        <f t="shared" si="111"/>
        <v>15</v>
      </c>
      <c r="K121" s="176"/>
      <c r="L121" s="176"/>
      <c r="M121" s="176"/>
      <c r="N121" s="176"/>
      <c r="O121" s="176"/>
      <c r="P121" s="176"/>
      <c r="Q121" s="284"/>
      <c r="R121" s="227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4.75" customHeight="1">
      <c r="A122" s="160">
        <v>3.0</v>
      </c>
      <c r="B122" s="182" t="s">
        <v>138</v>
      </c>
      <c r="C122" s="181"/>
      <c r="D122" s="181"/>
      <c r="E122" s="181"/>
      <c r="F122" s="181"/>
      <c r="G122" s="181"/>
      <c r="H122" s="232">
        <v>30.0</v>
      </c>
      <c r="I122" s="181">
        <v>1.0</v>
      </c>
      <c r="J122" s="194">
        <f t="shared" si="111"/>
        <v>30</v>
      </c>
      <c r="K122" s="176"/>
      <c r="L122" s="176"/>
      <c r="M122" s="176"/>
      <c r="N122" s="176"/>
      <c r="O122" s="176"/>
      <c r="P122" s="176"/>
      <c r="Q122" s="284"/>
      <c r="R122" s="227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4.75" customHeight="1">
      <c r="A123" s="160">
        <v>4.0</v>
      </c>
      <c r="B123" s="218" t="s">
        <v>138</v>
      </c>
      <c r="C123" s="181"/>
      <c r="D123" s="181"/>
      <c r="E123" s="181"/>
      <c r="F123" s="181"/>
      <c r="G123" s="181"/>
      <c r="H123" s="232">
        <v>16.0</v>
      </c>
      <c r="I123" s="181">
        <v>1.0</v>
      </c>
      <c r="J123" s="194">
        <f t="shared" si="111"/>
        <v>16</v>
      </c>
      <c r="K123" s="176"/>
      <c r="L123" s="176"/>
      <c r="M123" s="176"/>
      <c r="N123" s="176"/>
      <c r="O123" s="176"/>
      <c r="P123" s="176"/>
      <c r="Q123" s="284"/>
      <c r="R123" s="227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4.75" customHeight="1">
      <c r="A124" s="160">
        <v>5.0</v>
      </c>
      <c r="B124" s="182" t="s">
        <v>56</v>
      </c>
      <c r="C124" s="181"/>
      <c r="D124" s="181"/>
      <c r="E124" s="181"/>
      <c r="F124" s="181"/>
      <c r="G124" s="181"/>
      <c r="H124" s="232">
        <v>43.0</v>
      </c>
      <c r="I124" s="181">
        <v>1.0</v>
      </c>
      <c r="J124" s="194">
        <f t="shared" si="111"/>
        <v>43</v>
      </c>
      <c r="K124" s="176"/>
      <c r="L124" s="176"/>
      <c r="M124" s="176"/>
      <c r="N124" s="176"/>
      <c r="O124" s="176"/>
      <c r="P124" s="176"/>
      <c r="Q124" s="284"/>
      <c r="R124" s="227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4.75" customHeight="1">
      <c r="A125" s="160">
        <v>6.0</v>
      </c>
      <c r="B125" s="218" t="s">
        <v>55</v>
      </c>
      <c r="C125" s="181"/>
      <c r="D125" s="181"/>
      <c r="E125" s="181"/>
      <c r="F125" s="181"/>
      <c r="G125" s="181"/>
      <c r="H125" s="232">
        <v>17.0</v>
      </c>
      <c r="I125" s="181">
        <v>1.0</v>
      </c>
      <c r="J125" s="194">
        <f t="shared" si="111"/>
        <v>17</v>
      </c>
      <c r="K125" s="176"/>
      <c r="L125" s="176"/>
      <c r="M125" s="176"/>
      <c r="N125" s="176"/>
      <c r="O125" s="176"/>
      <c r="P125" s="176"/>
      <c r="Q125" s="284"/>
      <c r="R125" s="227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18.75" customHeight="1">
      <c r="A126" s="139"/>
      <c r="B126" s="139"/>
      <c r="C126" s="139"/>
      <c r="D126" s="139"/>
      <c r="E126" s="139"/>
      <c r="F126" s="139"/>
      <c r="G126" s="139"/>
      <c r="H126" s="140" t="s">
        <v>38</v>
      </c>
      <c r="I126" s="139"/>
      <c r="J126" s="235">
        <f>SUM(J120:J125)</f>
        <v>148</v>
      </c>
      <c r="K126" s="236"/>
      <c r="L126" s="236"/>
      <c r="M126" s="236"/>
      <c r="N126" s="236"/>
      <c r="O126" s="236"/>
      <c r="P126" s="236"/>
      <c r="Q126" s="236"/>
      <c r="R126" s="139"/>
      <c r="S126" s="227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18.75" customHeight="1">
      <c r="A127" s="144"/>
      <c r="B127" s="144"/>
      <c r="C127" s="144"/>
      <c r="D127" s="144"/>
      <c r="E127" s="144"/>
      <c r="F127" s="144"/>
      <c r="G127" s="144"/>
      <c r="H127" s="145"/>
      <c r="I127" s="173"/>
      <c r="J127" s="205">
        <f>+J126*60%</f>
        <v>88.8</v>
      </c>
      <c r="K127" s="205"/>
      <c r="L127" s="205"/>
      <c r="M127" s="205"/>
      <c r="N127" s="205"/>
      <c r="O127" s="205"/>
      <c r="P127" s="205"/>
      <c r="Q127" s="205">
        <f>+J126*40%</f>
        <v>59.2</v>
      </c>
      <c r="R127" s="139"/>
      <c r="S127" s="227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18.75" customHeight="1">
      <c r="A128" s="139"/>
      <c r="B128" s="139"/>
      <c r="C128" s="139"/>
      <c r="D128" s="139"/>
      <c r="E128" s="139"/>
      <c r="F128" s="139"/>
      <c r="G128" s="139"/>
      <c r="H128" s="140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227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18.75" customHeight="1">
      <c r="A129" s="139"/>
      <c r="B129" s="139"/>
      <c r="C129" s="139"/>
      <c r="D129" s="139"/>
      <c r="E129" s="139"/>
      <c r="F129" s="139"/>
      <c r="G129" s="139"/>
      <c r="H129" s="140"/>
      <c r="I129" s="139"/>
      <c r="J129" s="139"/>
      <c r="K129" s="139"/>
      <c r="L129" s="139"/>
      <c r="M129" s="139"/>
      <c r="N129" s="139"/>
      <c r="O129" s="139"/>
      <c r="P129" s="139"/>
      <c r="Q129" s="139"/>
      <c r="R129" s="139"/>
      <c r="S129" s="227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19.5" customHeight="1">
      <c r="A130" s="238" t="s">
        <v>41</v>
      </c>
      <c r="B130" s="139"/>
      <c r="C130" s="139"/>
      <c r="D130" s="139"/>
      <c r="E130" s="139"/>
      <c r="F130" s="139"/>
      <c r="G130" s="139"/>
      <c r="H130" s="140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227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57.0" customHeight="1">
      <c r="A131" s="239"/>
      <c r="B131" s="240" t="s">
        <v>42</v>
      </c>
      <c r="C131" s="240" t="s">
        <v>43</v>
      </c>
      <c r="D131" s="240" t="s">
        <v>44</v>
      </c>
      <c r="E131" s="240" t="s">
        <v>45</v>
      </c>
      <c r="F131" s="240"/>
      <c r="G131" s="240"/>
      <c r="H131" s="241" t="s">
        <v>46</v>
      </c>
      <c r="I131" s="242" t="s">
        <v>47</v>
      </c>
      <c r="J131" s="139"/>
      <c r="K131" s="139"/>
      <c r="L131" s="139"/>
      <c r="M131" s="139"/>
      <c r="N131" s="139"/>
      <c r="O131" s="139"/>
      <c r="P131" s="139"/>
      <c r="Q131" s="139"/>
      <c r="R131" s="141"/>
      <c r="S131" s="227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18.75" customHeight="1">
      <c r="A132" s="243" t="s">
        <v>48</v>
      </c>
      <c r="B132" s="244">
        <f>+E12</f>
        <v>23482.246</v>
      </c>
      <c r="C132" s="245">
        <f>+J102</f>
        <v>22008.36222</v>
      </c>
      <c r="D132" s="245">
        <f>+J113</f>
        <v>0</v>
      </c>
      <c r="E132" s="246">
        <f>J127</f>
        <v>88.8</v>
      </c>
      <c r="F132" s="246"/>
      <c r="G132" s="246"/>
      <c r="H132" s="247">
        <f>+I12</f>
        <v>566.4113804</v>
      </c>
      <c r="I132" s="248">
        <f>+B132-C132-D132-E132-H132</f>
        <v>818.6724032</v>
      </c>
      <c r="J132" s="139"/>
      <c r="K132" s="139"/>
      <c r="L132" s="139"/>
      <c r="M132" s="139"/>
      <c r="N132" s="139"/>
      <c r="O132" s="139"/>
      <c r="P132" s="139"/>
      <c r="Q132" s="139"/>
      <c r="R132" s="141"/>
      <c r="S132" s="227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19.5" customHeight="1">
      <c r="A133" s="249" t="s">
        <v>49</v>
      </c>
      <c r="B133" s="250"/>
      <c r="C133" s="251">
        <f>+C132/B132</f>
        <v>0.9372341222</v>
      </c>
      <c r="D133" s="251">
        <f>+D132/B132</f>
        <v>0</v>
      </c>
      <c r="E133" s="251">
        <f>+E132/B132</f>
        <v>0.003781580348</v>
      </c>
      <c r="F133" s="251"/>
      <c r="G133" s="251"/>
      <c r="H133" s="252">
        <f>+H132/B132</f>
        <v>0.02412083497</v>
      </c>
      <c r="I133" s="253">
        <f>+I132/B132</f>
        <v>0.03486346252</v>
      </c>
      <c r="J133" s="139"/>
      <c r="K133" s="139"/>
      <c r="L133" s="139"/>
      <c r="M133" s="139"/>
      <c r="N133" s="139"/>
      <c r="O133" s="139"/>
      <c r="P133" s="139"/>
      <c r="Q133" s="139"/>
      <c r="R133" s="141"/>
      <c r="S133" s="227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19.5" customHeight="1">
      <c r="A134" s="163"/>
      <c r="B134" s="221"/>
      <c r="C134" s="254"/>
      <c r="D134" s="254"/>
      <c r="E134" s="254"/>
      <c r="F134" s="254"/>
      <c r="G134" s="254"/>
      <c r="H134" s="255"/>
      <c r="I134" s="256"/>
      <c r="J134" s="139"/>
      <c r="K134" s="139"/>
      <c r="L134" s="139"/>
      <c r="M134" s="139"/>
      <c r="N134" s="139"/>
      <c r="O134" s="139"/>
      <c r="P134" s="139"/>
      <c r="Q134" s="139"/>
      <c r="R134" s="141"/>
      <c r="S134" s="227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18.75" customHeight="1">
      <c r="A135" s="257"/>
      <c r="B135" s="258"/>
      <c r="C135" s="258"/>
      <c r="D135" s="258" t="s">
        <v>50</v>
      </c>
      <c r="E135" s="258" t="s">
        <v>48</v>
      </c>
      <c r="F135" s="258"/>
      <c r="G135" s="258"/>
      <c r="H135" s="259">
        <f>+D132+E132+H132+I132</f>
        <v>1473.883784</v>
      </c>
      <c r="I135" s="260"/>
      <c r="J135" s="139"/>
      <c r="K135" s="139"/>
      <c r="L135" s="139"/>
      <c r="M135" s="139"/>
      <c r="N135" s="139"/>
      <c r="O135" s="139"/>
      <c r="P135" s="139"/>
      <c r="Q135" s="139"/>
      <c r="R135" s="141"/>
      <c r="S135" s="140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18.75" customHeight="1">
      <c r="A136" s="261"/>
      <c r="B136" s="139"/>
      <c r="C136" s="139"/>
      <c r="D136" s="139"/>
      <c r="E136" s="139" t="s">
        <v>49</v>
      </c>
      <c r="F136" s="139"/>
      <c r="G136" s="139"/>
      <c r="H136" s="255">
        <f>+H135/B132</f>
        <v>0.06276587783</v>
      </c>
      <c r="I136" s="262"/>
      <c r="J136" s="139"/>
      <c r="K136" s="139"/>
      <c r="L136" s="139"/>
      <c r="M136" s="139"/>
      <c r="N136" s="139"/>
      <c r="O136" s="139"/>
      <c r="P136" s="139"/>
      <c r="Q136" s="139"/>
      <c r="R136" s="141"/>
      <c r="S136" s="140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18.75" customHeight="1">
      <c r="A137" s="261"/>
      <c r="B137" s="139"/>
      <c r="C137" s="139" t="s">
        <v>51</v>
      </c>
      <c r="D137" s="139"/>
      <c r="E137" s="139"/>
      <c r="F137" s="139"/>
      <c r="G137" s="139"/>
      <c r="H137" s="140"/>
      <c r="I137" s="262"/>
      <c r="J137" s="139"/>
      <c r="K137" s="139"/>
      <c r="L137" s="139"/>
      <c r="M137" s="139"/>
      <c r="N137" s="139"/>
      <c r="O137" s="139"/>
      <c r="P137" s="139"/>
      <c r="Q137" s="139"/>
      <c r="R137" s="141"/>
      <c r="S137" s="140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18.75" customHeight="1">
      <c r="A138" s="261"/>
      <c r="B138" s="139"/>
      <c r="C138" s="139"/>
      <c r="D138" s="139" t="s">
        <v>52</v>
      </c>
      <c r="E138" s="139"/>
      <c r="F138" s="139"/>
      <c r="G138" s="139"/>
      <c r="H138" s="140">
        <f>+H137*(H135-H132)</f>
        <v>0</v>
      </c>
      <c r="I138" s="262"/>
      <c r="J138" s="139"/>
      <c r="K138" s="139"/>
      <c r="L138" s="139"/>
      <c r="M138" s="139"/>
      <c r="N138" s="139"/>
      <c r="O138" s="139"/>
      <c r="P138" s="139"/>
      <c r="Q138" s="139"/>
      <c r="R138" s="141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19.5" customHeight="1">
      <c r="A139" s="263"/>
      <c r="B139" s="264"/>
      <c r="C139" s="264"/>
      <c r="D139" s="264"/>
      <c r="E139" s="264"/>
      <c r="F139" s="264"/>
      <c r="G139" s="264"/>
      <c r="H139" s="265"/>
      <c r="I139" s="266"/>
      <c r="J139" s="139"/>
      <c r="K139" s="139"/>
      <c r="L139" s="139"/>
      <c r="M139" s="139"/>
      <c r="N139" s="139"/>
      <c r="O139" s="139"/>
      <c r="P139" s="139"/>
      <c r="Q139" s="139"/>
      <c r="R139" s="141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18.75" customHeight="1">
      <c r="A140" s="139"/>
      <c r="B140" s="139"/>
      <c r="C140" s="139"/>
      <c r="D140" s="139"/>
      <c r="E140" s="139"/>
      <c r="F140" s="139"/>
      <c r="G140" s="139"/>
      <c r="H140" s="140"/>
      <c r="I140" s="139"/>
      <c r="J140" s="139"/>
      <c r="K140" s="139"/>
      <c r="L140" s="139"/>
      <c r="M140" s="139"/>
      <c r="N140" s="139"/>
      <c r="O140" s="139"/>
      <c r="P140" s="139"/>
      <c r="Q140" s="139"/>
      <c r="R140" s="141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18.75" customHeight="1">
      <c r="A141" s="139"/>
      <c r="B141" s="139"/>
      <c r="C141" s="139"/>
      <c r="D141" s="139"/>
      <c r="E141" s="139"/>
      <c r="F141" s="139"/>
      <c r="G141" s="139"/>
      <c r="H141" s="140"/>
      <c r="I141" s="139"/>
      <c r="J141" s="139"/>
      <c r="K141" s="139"/>
      <c r="L141" s="139"/>
      <c r="M141" s="139"/>
      <c r="N141" s="139"/>
      <c r="O141" s="139"/>
      <c r="P141" s="139"/>
      <c r="Q141" s="139"/>
      <c r="R141" s="141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18.75" customHeight="1">
      <c r="A142" s="139"/>
      <c r="B142" s="139"/>
      <c r="C142" s="139"/>
      <c r="D142" s="139"/>
      <c r="E142" s="139"/>
      <c r="F142" s="139"/>
      <c r="G142" s="139"/>
      <c r="H142" s="140"/>
      <c r="I142" s="139"/>
      <c r="J142" s="139"/>
      <c r="K142" s="139"/>
      <c r="L142" s="139"/>
      <c r="M142" s="139"/>
      <c r="N142" s="139"/>
      <c r="O142" s="139"/>
      <c r="P142" s="139"/>
      <c r="Q142" s="139"/>
      <c r="R142" s="141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7"/>
      <c r="R143" s="268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7"/>
      <c r="R144" s="268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7"/>
      <c r="R145" s="268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7"/>
      <c r="R146" s="268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7"/>
      <c r="R147" s="268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7"/>
      <c r="R148" s="268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7"/>
      <c r="R149" s="268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7"/>
      <c r="R150" s="268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7"/>
      <c r="R151" s="268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7"/>
      <c r="R152" s="268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7"/>
      <c r="R153" s="268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7"/>
      <c r="R154" s="268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7"/>
      <c r="R155" s="268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7"/>
      <c r="R156" s="268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7"/>
      <c r="R157" s="268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7"/>
      <c r="R158" s="26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7"/>
      <c r="R159" s="26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7"/>
      <c r="R160" s="26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7"/>
      <c r="R161" s="26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7"/>
      <c r="R162" s="26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7"/>
      <c r="R163" s="26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7"/>
      <c r="R164" s="26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7"/>
      <c r="R165" s="26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7"/>
      <c r="R166" s="26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7"/>
      <c r="R167" s="26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7"/>
      <c r="R168" s="26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7"/>
      <c r="R169" s="26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7"/>
      <c r="R170" s="26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7"/>
      <c r="R171" s="26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7"/>
      <c r="R172" s="26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7"/>
      <c r="R173" s="26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7"/>
      <c r="R174" s="26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7"/>
      <c r="R175" s="26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7"/>
      <c r="R176" s="26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7"/>
      <c r="R177" s="26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7"/>
      <c r="R178" s="26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7"/>
      <c r="R179" s="26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7"/>
      <c r="R180" s="26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7"/>
      <c r="R181" s="26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7"/>
      <c r="R182" s="26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7"/>
      <c r="R183" s="26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7"/>
      <c r="R184" s="26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7"/>
      <c r="R185" s="26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7"/>
      <c r="R186" s="26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7"/>
      <c r="R187" s="26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7"/>
      <c r="R188" s="26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7"/>
      <c r="R189" s="26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7"/>
      <c r="R190" s="26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7"/>
      <c r="R191" s="26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7"/>
      <c r="R192" s="26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7"/>
      <c r="R193" s="26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7"/>
      <c r="R194" s="26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7"/>
      <c r="R252" s="26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7"/>
      <c r="R253" s="26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7"/>
      <c r="R254" s="26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7"/>
      <c r="R255" s="26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7"/>
      <c r="R256" s="26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7"/>
      <c r="R257" s="26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7"/>
      <c r="R258" s="26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7"/>
      <c r="R259" s="26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7"/>
      <c r="R260" s="26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7"/>
      <c r="R261" s="26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7"/>
      <c r="R262" s="26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7"/>
      <c r="R263" s="26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7"/>
      <c r="R264" s="26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7"/>
      <c r="R265" s="26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7"/>
      <c r="R266" s="26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7"/>
      <c r="R267" s="26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7"/>
      <c r="R268" s="26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7"/>
      <c r="R269" s="26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7"/>
      <c r="R270" s="26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7"/>
      <c r="R271" s="26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7"/>
      <c r="R272" s="26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7"/>
      <c r="R273" s="26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7"/>
      <c r="R274" s="26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7"/>
      <c r="R275" s="26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7"/>
      <c r="R276" s="26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7"/>
      <c r="R277" s="26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7"/>
      <c r="R278" s="26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7"/>
      <c r="R279" s="26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7"/>
      <c r="R280" s="26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7"/>
      <c r="R281" s="26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7"/>
      <c r="R282" s="26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7"/>
      <c r="R283" s="26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7"/>
      <c r="R284" s="26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7"/>
      <c r="R285" s="26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7"/>
      <c r="R286" s="26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7"/>
      <c r="R287" s="26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7"/>
      <c r="R288" s="26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7"/>
      <c r="R289" s="26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7"/>
      <c r="R290" s="26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7"/>
      <c r="R291" s="26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7"/>
      <c r="R292" s="26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7"/>
      <c r="R293" s="26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7"/>
      <c r="R294" s="26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7"/>
      <c r="R295" s="26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7"/>
      <c r="R296" s="26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7"/>
      <c r="R297" s="26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7"/>
      <c r="R298" s="26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7"/>
      <c r="R299" s="26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7"/>
      <c r="R300" s="26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7"/>
      <c r="R301" s="26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7"/>
      <c r="R302" s="26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7"/>
      <c r="R303" s="268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7"/>
      <c r="R304" s="268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7"/>
      <c r="R305" s="268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7"/>
      <c r="R306" s="268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7"/>
      <c r="R307" s="268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7"/>
      <c r="R308" s="268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7"/>
      <c r="R309" s="268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7"/>
      <c r="R310" s="268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7"/>
      <c r="R311" s="268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7"/>
      <c r="R312" s="268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7"/>
      <c r="R313" s="268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7"/>
      <c r="R314" s="268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7"/>
      <c r="R315" s="268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7"/>
      <c r="R316" s="268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7"/>
      <c r="R317" s="268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7"/>
      <c r="R318" s="268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7"/>
      <c r="R319" s="268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7"/>
      <c r="R320" s="268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7"/>
      <c r="R321" s="268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7"/>
      <c r="R322" s="268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7"/>
      <c r="R323" s="268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7"/>
      <c r="R324" s="268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7"/>
      <c r="R325" s="268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7"/>
      <c r="R326" s="268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7"/>
      <c r="R327" s="268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7"/>
      <c r="R328" s="268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7"/>
      <c r="R329" s="268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7"/>
      <c r="R330" s="268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7"/>
      <c r="R331" s="268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7"/>
      <c r="R332" s="268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7"/>
      <c r="R333" s="268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7"/>
      <c r="R334" s="268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7"/>
      <c r="R335" s="268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7"/>
      <c r="R336" s="268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7"/>
      <c r="R337" s="268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7"/>
      <c r="R338" s="268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108:E108"/>
    <mergeCell ref="C119:E119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1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</row>
    <row r="7" ht="36.0" customHeight="1">
      <c r="A7" s="146" t="s">
        <v>6</v>
      </c>
      <c r="B7" s="147"/>
      <c r="C7" s="148" t="s">
        <v>157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</row>
    <row r="8" ht="26.25" customHeight="1">
      <c r="A8" s="153">
        <v>1.0</v>
      </c>
      <c r="B8" s="154" t="s">
        <v>56</v>
      </c>
      <c r="C8" s="154">
        <v>29.5</v>
      </c>
      <c r="D8" s="155">
        <v>0.0146</v>
      </c>
      <c r="E8" s="156">
        <f>253.83*2</f>
        <v>507.66</v>
      </c>
      <c r="F8" s="156"/>
      <c r="G8" s="156"/>
      <c r="H8" s="157">
        <v>2.0</v>
      </c>
      <c r="I8" s="158">
        <f t="shared" ref="I8:I13" si="1">+D8*E8</f>
        <v>7.411836</v>
      </c>
      <c r="J8" s="159">
        <f t="shared" ref="J8:J13" si="2">E8-I8</f>
        <v>500.248164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</row>
    <row r="9" ht="26.25" customHeight="1">
      <c r="A9" s="153">
        <v>2.0</v>
      </c>
      <c r="B9" s="154" t="s">
        <v>56</v>
      </c>
      <c r="C9" s="154">
        <v>29.5</v>
      </c>
      <c r="D9" s="155">
        <v>0.0146</v>
      </c>
      <c r="E9" s="156">
        <f>253.83*10.56</f>
        <v>2680.4448</v>
      </c>
      <c r="F9" s="156"/>
      <c r="G9" s="156"/>
      <c r="H9" s="157">
        <v>10.56</v>
      </c>
      <c r="I9" s="158">
        <f t="shared" si="1"/>
        <v>39.13449408</v>
      </c>
      <c r="J9" s="159">
        <f t="shared" si="2"/>
        <v>2641.310306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</row>
    <row r="10" ht="26.25" customHeight="1">
      <c r="A10" s="153">
        <v>3.0</v>
      </c>
      <c r="B10" s="154" t="s">
        <v>56</v>
      </c>
      <c r="C10" s="154">
        <v>29.5</v>
      </c>
      <c r="D10" s="155">
        <v>0.0146</v>
      </c>
      <c r="E10" s="156">
        <f>253.83*24</f>
        <v>6091.92</v>
      </c>
      <c r="F10" s="156"/>
      <c r="G10" s="156"/>
      <c r="H10" s="157">
        <v>24.0</v>
      </c>
      <c r="I10" s="158">
        <f t="shared" si="1"/>
        <v>88.942032</v>
      </c>
      <c r="J10" s="159">
        <f t="shared" si="2"/>
        <v>6002.977968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</row>
    <row r="11" ht="26.25" customHeight="1">
      <c r="A11" s="153">
        <v>4.0</v>
      </c>
      <c r="B11" s="160" t="s">
        <v>58</v>
      </c>
      <c r="C11" s="154">
        <v>29.5</v>
      </c>
      <c r="D11" s="161">
        <v>0.088</v>
      </c>
      <c r="E11" s="162">
        <f>186.56*23</f>
        <v>4290.88</v>
      </c>
      <c r="F11" s="162"/>
      <c r="G11" s="162"/>
      <c r="H11" s="157">
        <v>23.0</v>
      </c>
      <c r="I11" s="158">
        <f t="shared" si="1"/>
        <v>377.59744</v>
      </c>
      <c r="J11" s="159">
        <f t="shared" si="2"/>
        <v>3913.28256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</row>
    <row r="12" ht="26.25" customHeight="1">
      <c r="A12" s="153">
        <v>5.0</v>
      </c>
      <c r="B12" s="160" t="s">
        <v>158</v>
      </c>
      <c r="C12" s="160">
        <v>22.5</v>
      </c>
      <c r="D12" s="161">
        <v>0.083</v>
      </c>
      <c r="E12" s="162">
        <f>237.293*2.4</f>
        <v>569.5032</v>
      </c>
      <c r="F12" s="162"/>
      <c r="G12" s="162"/>
      <c r="H12" s="157">
        <v>2.4</v>
      </c>
      <c r="I12" s="158">
        <f t="shared" si="1"/>
        <v>47.2687656</v>
      </c>
      <c r="J12" s="159">
        <f t="shared" si="2"/>
        <v>522.2344344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</row>
    <row r="13" ht="26.25" customHeight="1">
      <c r="A13" s="153">
        <v>6.0</v>
      </c>
      <c r="B13" s="160" t="s">
        <v>77</v>
      </c>
      <c r="C13" s="160">
        <v>16.5</v>
      </c>
      <c r="D13" s="161">
        <v>0.1057</v>
      </c>
      <c r="E13" s="162">
        <f>196.613*12</f>
        <v>2359.356</v>
      </c>
      <c r="F13" s="162"/>
      <c r="G13" s="162"/>
      <c r="H13" s="157">
        <v>12.0</v>
      </c>
      <c r="I13" s="158">
        <f t="shared" si="1"/>
        <v>249.3839292</v>
      </c>
      <c r="J13" s="159">
        <f t="shared" si="2"/>
        <v>2109.972071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</row>
    <row r="14" ht="18.75" customHeight="1">
      <c r="A14" s="163"/>
      <c r="B14" s="164"/>
      <c r="C14" s="165"/>
      <c r="D14" s="166"/>
      <c r="E14" s="167">
        <f>SUM(E8:E13)</f>
        <v>16499.764</v>
      </c>
      <c r="F14" s="168"/>
      <c r="G14" s="168"/>
      <c r="H14" s="169"/>
      <c r="I14" s="170">
        <f t="shared" ref="I14:J14" si="3">SUM(I8:I13)</f>
        <v>809.7384969</v>
      </c>
      <c r="J14" s="171">
        <f t="shared" si="3"/>
        <v>15690.0255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</row>
    <row r="15" ht="18.75" customHeight="1">
      <c r="A15" s="172"/>
      <c r="B15" s="144"/>
      <c r="C15" s="144"/>
      <c r="D15" s="173"/>
      <c r="E15" s="174"/>
      <c r="F15" s="151"/>
      <c r="G15" s="151"/>
      <c r="H15" s="147"/>
      <c r="I15" s="175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</row>
    <row r="18" ht="18.75" customHeight="1">
      <c r="A18" s="139" t="s">
        <v>11</v>
      </c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</row>
    <row r="20" ht="40.5" customHeight="1">
      <c r="A20" s="176"/>
      <c r="B20" s="160" t="s">
        <v>12</v>
      </c>
      <c r="C20" s="177" t="s">
        <v>62</v>
      </c>
      <c r="D20" s="52"/>
      <c r="E20" s="53"/>
      <c r="F20" s="178"/>
      <c r="G20" s="178"/>
      <c r="H20" s="179" t="s">
        <v>14</v>
      </c>
      <c r="I20" s="160" t="s">
        <v>15</v>
      </c>
      <c r="J20" s="160" t="s">
        <v>16</v>
      </c>
      <c r="K20" s="139"/>
      <c r="L20" s="160" t="s">
        <v>17</v>
      </c>
      <c r="M20" s="160" t="s">
        <v>15</v>
      </c>
      <c r="N20" s="176" t="s">
        <v>18</v>
      </c>
      <c r="O20" s="139"/>
      <c r="P20" s="139"/>
      <c r="Q20" s="176" t="s">
        <v>129</v>
      </c>
      <c r="R20" s="180"/>
      <c r="S20" s="160" t="s">
        <v>17</v>
      </c>
      <c r="T20" s="160" t="s">
        <v>15</v>
      </c>
      <c r="U20" s="176" t="s">
        <v>18</v>
      </c>
      <c r="V20" s="139"/>
      <c r="W20" s="176" t="s">
        <v>19</v>
      </c>
      <c r="X20" s="176" t="s">
        <v>20</v>
      </c>
      <c r="Y20" s="176" t="s">
        <v>21</v>
      </c>
      <c r="Z20" s="176" t="s">
        <v>159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</row>
    <row r="21" ht="27.0" customHeight="1">
      <c r="A21" s="181">
        <v>1.0</v>
      </c>
      <c r="B21" s="182" t="s">
        <v>65</v>
      </c>
      <c r="C21" s="183">
        <v>80.0</v>
      </c>
      <c r="D21" s="183">
        <v>210.0</v>
      </c>
      <c r="E21" s="183">
        <v>210.0</v>
      </c>
      <c r="F21" s="183">
        <f t="shared" ref="F21:F96" si="5">VALUE(IF(RIGHT(B21, 1)="%", RIGHT(B21, 3), 0))</f>
        <v>0.8</v>
      </c>
      <c r="G21" s="183">
        <f t="shared" ref="G21:G96" si="6">+R21*C21/100*D21/100*E21/100</f>
        <v>104.076</v>
      </c>
      <c r="H21" s="184">
        <f t="shared" ref="H21:H96" si="7">IF(F21=0, G21, F21*G21)</f>
        <v>83.2608</v>
      </c>
      <c r="I21" s="183">
        <v>1.0</v>
      </c>
      <c r="J21" s="185">
        <f t="shared" ref="J21:J96" si="8">+I21*H21</f>
        <v>83.2608</v>
      </c>
      <c r="K21" s="186"/>
      <c r="L21" s="187">
        <f>D21*25.4/1000</f>
        <v>5.334</v>
      </c>
      <c r="M21" s="181">
        <f>+I21</f>
        <v>1</v>
      </c>
      <c r="N21" s="181">
        <f>M21*L21</f>
        <v>5.334</v>
      </c>
      <c r="O21" s="186"/>
      <c r="P21" s="186"/>
      <c r="Q21" s="187"/>
      <c r="R21" s="298">
        <v>29.5</v>
      </c>
      <c r="S21" s="187">
        <f t="shared" ref="S21:S97" si="9">E21/100</f>
        <v>2.1</v>
      </c>
      <c r="T21" s="181">
        <f t="shared" ref="T21:T97" si="10">I21</f>
        <v>1</v>
      </c>
      <c r="U21" s="181">
        <f t="shared" ref="U21:U97" si="11">T21*S21</f>
        <v>2.1</v>
      </c>
      <c r="V21" s="278">
        <f t="shared" ref="V21:V96" si="12">R21*C21/100*D21/100*E21/100</f>
        <v>104.076</v>
      </c>
      <c r="W21" s="187">
        <f t="shared" ref="W21:X21" si="4">C21/100</f>
        <v>0.8</v>
      </c>
      <c r="X21" s="187">
        <f t="shared" si="4"/>
        <v>2.1</v>
      </c>
      <c r="Y21" s="187">
        <f t="shared" ref="Y21:Y97" si="14">U21</f>
        <v>2.1</v>
      </c>
      <c r="Z21" s="189">
        <f t="shared" ref="Z21:Z97" si="15">W21*X21*Y21</f>
        <v>3.528</v>
      </c>
      <c r="AA21" s="186"/>
      <c r="AB21" s="186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</row>
    <row r="22" ht="27.0" customHeight="1">
      <c r="A22" s="181">
        <v>2.0</v>
      </c>
      <c r="B22" s="191" t="s">
        <v>56</v>
      </c>
      <c r="C22" s="191">
        <v>65.0</v>
      </c>
      <c r="D22" s="191">
        <v>210.0</v>
      </c>
      <c r="E22" s="191">
        <v>143.0</v>
      </c>
      <c r="F22" s="191">
        <f t="shared" si="5"/>
        <v>0</v>
      </c>
      <c r="G22" s="191">
        <f t="shared" si="6"/>
        <v>57.582525</v>
      </c>
      <c r="H22" s="219">
        <f t="shared" si="7"/>
        <v>57.582525</v>
      </c>
      <c r="I22" s="218">
        <v>1.0</v>
      </c>
      <c r="J22" s="193">
        <f t="shared" si="8"/>
        <v>57.582525</v>
      </c>
      <c r="K22" s="186"/>
      <c r="L22" s="187"/>
      <c r="M22" s="181"/>
      <c r="N22" s="181"/>
      <c r="O22" s="186"/>
      <c r="P22" s="186"/>
      <c r="Q22" s="187"/>
      <c r="R22" s="298">
        <v>29.5</v>
      </c>
      <c r="S22" s="187">
        <f t="shared" si="9"/>
        <v>1.43</v>
      </c>
      <c r="T22" s="181">
        <f t="shared" si="10"/>
        <v>1</v>
      </c>
      <c r="U22" s="181">
        <f t="shared" si="11"/>
        <v>1.43</v>
      </c>
      <c r="V22" s="278">
        <f t="shared" si="12"/>
        <v>57.582525</v>
      </c>
      <c r="W22" s="187">
        <f t="shared" ref="W22:X22" si="13">C22/100</f>
        <v>0.65</v>
      </c>
      <c r="X22" s="187">
        <f t="shared" si="13"/>
        <v>2.1</v>
      </c>
      <c r="Y22" s="187">
        <f t="shared" si="14"/>
        <v>1.43</v>
      </c>
      <c r="Z22" s="189">
        <f t="shared" si="15"/>
        <v>1.95195</v>
      </c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186"/>
    </row>
    <row r="23" ht="27.0" customHeight="1">
      <c r="A23" s="181">
        <v>3.0</v>
      </c>
      <c r="B23" s="191" t="s">
        <v>56</v>
      </c>
      <c r="C23" s="191">
        <v>80.0</v>
      </c>
      <c r="D23" s="191">
        <v>210.0</v>
      </c>
      <c r="E23" s="191">
        <v>210.0</v>
      </c>
      <c r="F23" s="191">
        <f t="shared" si="5"/>
        <v>0</v>
      </c>
      <c r="G23" s="191">
        <f t="shared" si="6"/>
        <v>104.076</v>
      </c>
      <c r="H23" s="219">
        <f t="shared" si="7"/>
        <v>104.076</v>
      </c>
      <c r="I23" s="218">
        <v>1.0</v>
      </c>
      <c r="J23" s="193">
        <f t="shared" si="8"/>
        <v>104.076</v>
      </c>
      <c r="K23" s="186"/>
      <c r="L23" s="187">
        <f t="shared" ref="L23:L45" si="17">D23*25.4/1000</f>
        <v>5.334</v>
      </c>
      <c r="M23" s="181">
        <f t="shared" ref="M23:M58" si="18">+I23</f>
        <v>1</v>
      </c>
      <c r="N23" s="181">
        <f t="shared" ref="N23:N45" si="19">M23*L23</f>
        <v>5.334</v>
      </c>
      <c r="O23" s="186"/>
      <c r="P23" s="186"/>
      <c r="Q23" s="187"/>
      <c r="R23" s="298">
        <v>29.5</v>
      </c>
      <c r="S23" s="187">
        <f t="shared" si="9"/>
        <v>2.1</v>
      </c>
      <c r="T23" s="181">
        <f t="shared" si="10"/>
        <v>1</v>
      </c>
      <c r="U23" s="181">
        <f t="shared" si="11"/>
        <v>2.1</v>
      </c>
      <c r="V23" s="278">
        <f t="shared" si="12"/>
        <v>104.076</v>
      </c>
      <c r="W23" s="187">
        <f t="shared" ref="W23:X23" si="16">C23/100</f>
        <v>0.8</v>
      </c>
      <c r="X23" s="187">
        <f t="shared" si="16"/>
        <v>2.1</v>
      </c>
      <c r="Y23" s="187">
        <f t="shared" si="14"/>
        <v>2.1</v>
      </c>
      <c r="Z23" s="189">
        <f t="shared" si="15"/>
        <v>3.528</v>
      </c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</row>
    <row r="24" ht="27.0" customHeight="1">
      <c r="A24" s="181">
        <v>4.0</v>
      </c>
      <c r="B24" s="191" t="s">
        <v>56</v>
      </c>
      <c r="C24" s="191">
        <v>90.0</v>
      </c>
      <c r="D24" s="191">
        <v>210.0</v>
      </c>
      <c r="E24" s="191">
        <v>210.0</v>
      </c>
      <c r="F24" s="191">
        <f t="shared" si="5"/>
        <v>0</v>
      </c>
      <c r="G24" s="191">
        <f t="shared" si="6"/>
        <v>117.0855</v>
      </c>
      <c r="H24" s="219">
        <f t="shared" si="7"/>
        <v>117.0855</v>
      </c>
      <c r="I24" s="218">
        <v>1.0</v>
      </c>
      <c r="J24" s="193">
        <f t="shared" si="8"/>
        <v>117.0855</v>
      </c>
      <c r="K24" s="186"/>
      <c r="L24" s="187">
        <f t="shared" si="17"/>
        <v>5.334</v>
      </c>
      <c r="M24" s="181">
        <f t="shared" si="18"/>
        <v>1</v>
      </c>
      <c r="N24" s="181">
        <f t="shared" si="19"/>
        <v>5.334</v>
      </c>
      <c r="O24" s="186"/>
      <c r="P24" s="186"/>
      <c r="Q24" s="187"/>
      <c r="R24" s="298">
        <v>29.5</v>
      </c>
      <c r="S24" s="187">
        <f t="shared" si="9"/>
        <v>2.1</v>
      </c>
      <c r="T24" s="181">
        <f t="shared" si="10"/>
        <v>1</v>
      </c>
      <c r="U24" s="181">
        <f t="shared" si="11"/>
        <v>2.1</v>
      </c>
      <c r="V24" s="278">
        <f t="shared" si="12"/>
        <v>117.0855</v>
      </c>
      <c r="W24" s="187">
        <f t="shared" ref="W24:X24" si="20">C24/100</f>
        <v>0.9</v>
      </c>
      <c r="X24" s="187">
        <f t="shared" si="20"/>
        <v>2.1</v>
      </c>
      <c r="Y24" s="187">
        <f t="shared" si="14"/>
        <v>2.1</v>
      </c>
      <c r="Z24" s="189">
        <f t="shared" si="15"/>
        <v>3.969</v>
      </c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</row>
    <row r="25" ht="27.0" customHeight="1">
      <c r="A25" s="181">
        <v>5.0</v>
      </c>
      <c r="B25" s="191" t="s">
        <v>56</v>
      </c>
      <c r="C25" s="191">
        <v>83.0</v>
      </c>
      <c r="D25" s="191">
        <v>210.0</v>
      </c>
      <c r="E25" s="191">
        <v>162.0</v>
      </c>
      <c r="F25" s="191">
        <f t="shared" si="5"/>
        <v>0</v>
      </c>
      <c r="G25" s="191">
        <f t="shared" si="6"/>
        <v>83.29797</v>
      </c>
      <c r="H25" s="219">
        <f t="shared" si="7"/>
        <v>83.29797</v>
      </c>
      <c r="I25" s="218">
        <v>1.0</v>
      </c>
      <c r="J25" s="193">
        <f t="shared" si="8"/>
        <v>83.29797</v>
      </c>
      <c r="K25" s="186"/>
      <c r="L25" s="187">
        <f t="shared" si="17"/>
        <v>5.334</v>
      </c>
      <c r="M25" s="181">
        <f t="shared" si="18"/>
        <v>1</v>
      </c>
      <c r="N25" s="181">
        <f t="shared" si="19"/>
        <v>5.334</v>
      </c>
      <c r="O25" s="186"/>
      <c r="P25" s="186"/>
      <c r="Q25" s="187"/>
      <c r="R25" s="298">
        <v>29.5</v>
      </c>
      <c r="S25" s="187">
        <f t="shared" si="9"/>
        <v>1.62</v>
      </c>
      <c r="T25" s="181">
        <f t="shared" si="10"/>
        <v>1</v>
      </c>
      <c r="U25" s="181">
        <f t="shared" si="11"/>
        <v>1.62</v>
      </c>
      <c r="V25" s="278">
        <f t="shared" si="12"/>
        <v>83.29797</v>
      </c>
      <c r="W25" s="187">
        <f t="shared" ref="W25:X25" si="21">C25/100</f>
        <v>0.83</v>
      </c>
      <c r="X25" s="187">
        <f t="shared" si="21"/>
        <v>2.1</v>
      </c>
      <c r="Y25" s="187">
        <f t="shared" si="14"/>
        <v>1.62</v>
      </c>
      <c r="Z25" s="189">
        <f t="shared" si="15"/>
        <v>2.82366</v>
      </c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</row>
    <row r="26" ht="27.0" customHeight="1">
      <c r="A26" s="181">
        <v>6.0</v>
      </c>
      <c r="B26" s="182" t="s">
        <v>65</v>
      </c>
      <c r="C26" s="183">
        <v>93.0</v>
      </c>
      <c r="D26" s="183">
        <v>210.0</v>
      </c>
      <c r="E26" s="183">
        <v>210.0</v>
      </c>
      <c r="F26" s="183">
        <f t="shared" si="5"/>
        <v>0.8</v>
      </c>
      <c r="G26" s="183">
        <f t="shared" si="6"/>
        <v>120.98835</v>
      </c>
      <c r="H26" s="184">
        <f t="shared" si="7"/>
        <v>96.79068</v>
      </c>
      <c r="I26" s="183">
        <v>1.0</v>
      </c>
      <c r="J26" s="185">
        <f t="shared" si="8"/>
        <v>96.79068</v>
      </c>
      <c r="K26" s="186"/>
      <c r="L26" s="187">
        <f t="shared" si="17"/>
        <v>5.334</v>
      </c>
      <c r="M26" s="181">
        <f t="shared" si="18"/>
        <v>1</v>
      </c>
      <c r="N26" s="181">
        <f t="shared" si="19"/>
        <v>5.334</v>
      </c>
      <c r="O26" s="186"/>
      <c r="P26" s="186"/>
      <c r="Q26" s="187"/>
      <c r="R26" s="298">
        <v>29.5</v>
      </c>
      <c r="S26" s="187">
        <f t="shared" si="9"/>
        <v>2.1</v>
      </c>
      <c r="T26" s="181">
        <f t="shared" si="10"/>
        <v>1</v>
      </c>
      <c r="U26" s="181">
        <f t="shared" si="11"/>
        <v>2.1</v>
      </c>
      <c r="V26" s="278">
        <f t="shared" si="12"/>
        <v>120.98835</v>
      </c>
      <c r="W26" s="187">
        <f t="shared" ref="W26:X26" si="22">C26/100</f>
        <v>0.93</v>
      </c>
      <c r="X26" s="187">
        <f t="shared" si="22"/>
        <v>2.1</v>
      </c>
      <c r="Y26" s="187">
        <f t="shared" si="14"/>
        <v>2.1</v>
      </c>
      <c r="Z26" s="189">
        <f t="shared" si="15"/>
        <v>4.1013</v>
      </c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</row>
    <row r="27" ht="27.0" customHeight="1">
      <c r="A27" s="181">
        <v>7.0</v>
      </c>
      <c r="B27" s="191" t="s">
        <v>56</v>
      </c>
      <c r="C27" s="191">
        <v>97.0</v>
      </c>
      <c r="D27" s="191">
        <v>210.0</v>
      </c>
      <c r="E27" s="191">
        <v>212.0</v>
      </c>
      <c r="F27" s="191">
        <f t="shared" si="5"/>
        <v>0</v>
      </c>
      <c r="G27" s="191">
        <f t="shared" si="6"/>
        <v>127.39398</v>
      </c>
      <c r="H27" s="219">
        <f t="shared" si="7"/>
        <v>127.39398</v>
      </c>
      <c r="I27" s="218">
        <v>1.0</v>
      </c>
      <c r="J27" s="193">
        <f t="shared" si="8"/>
        <v>127.39398</v>
      </c>
      <c r="K27" s="186"/>
      <c r="L27" s="187">
        <f t="shared" si="17"/>
        <v>5.334</v>
      </c>
      <c r="M27" s="181">
        <f t="shared" si="18"/>
        <v>1</v>
      </c>
      <c r="N27" s="181">
        <f t="shared" si="19"/>
        <v>5.334</v>
      </c>
      <c r="O27" s="186"/>
      <c r="P27" s="186"/>
      <c r="Q27" s="187" t="s">
        <v>155</v>
      </c>
      <c r="R27" s="298">
        <v>29.5</v>
      </c>
      <c r="S27" s="187">
        <f t="shared" si="9"/>
        <v>2.12</v>
      </c>
      <c r="T27" s="181">
        <f t="shared" si="10"/>
        <v>1</v>
      </c>
      <c r="U27" s="181">
        <f t="shared" si="11"/>
        <v>2.12</v>
      </c>
      <c r="V27" s="278">
        <f t="shared" si="12"/>
        <v>127.39398</v>
      </c>
      <c r="W27" s="187">
        <f t="shared" ref="W27:X27" si="23">C27/100</f>
        <v>0.97</v>
      </c>
      <c r="X27" s="187">
        <f t="shared" si="23"/>
        <v>2.1</v>
      </c>
      <c r="Y27" s="187">
        <f t="shared" si="14"/>
        <v>2.12</v>
      </c>
      <c r="Z27" s="189">
        <f t="shared" si="15"/>
        <v>4.31844</v>
      </c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</row>
    <row r="28" ht="27.0" customHeight="1">
      <c r="A28" s="181">
        <v>8.0</v>
      </c>
      <c r="B28" s="191" t="s">
        <v>56</v>
      </c>
      <c r="C28" s="191">
        <v>100.0</v>
      </c>
      <c r="D28" s="191">
        <v>210.0</v>
      </c>
      <c r="E28" s="191">
        <v>210.0</v>
      </c>
      <c r="F28" s="191">
        <f t="shared" si="5"/>
        <v>0</v>
      </c>
      <c r="G28" s="191">
        <f t="shared" si="6"/>
        <v>130.095</v>
      </c>
      <c r="H28" s="219">
        <f t="shared" si="7"/>
        <v>130.095</v>
      </c>
      <c r="I28" s="218">
        <v>1.0</v>
      </c>
      <c r="J28" s="193">
        <f t="shared" si="8"/>
        <v>130.095</v>
      </c>
      <c r="K28" s="186"/>
      <c r="L28" s="187">
        <f t="shared" si="17"/>
        <v>5.334</v>
      </c>
      <c r="M28" s="181">
        <f t="shared" si="18"/>
        <v>1</v>
      </c>
      <c r="N28" s="181">
        <f t="shared" si="19"/>
        <v>5.334</v>
      </c>
      <c r="O28" s="186"/>
      <c r="P28" s="186"/>
      <c r="Q28" s="187" t="s">
        <v>160</v>
      </c>
      <c r="R28" s="298">
        <v>29.5</v>
      </c>
      <c r="S28" s="187">
        <f t="shared" si="9"/>
        <v>2.1</v>
      </c>
      <c r="T28" s="181">
        <f t="shared" si="10"/>
        <v>1</v>
      </c>
      <c r="U28" s="181">
        <f t="shared" si="11"/>
        <v>2.1</v>
      </c>
      <c r="V28" s="278">
        <f t="shared" si="12"/>
        <v>130.095</v>
      </c>
      <c r="W28" s="187">
        <f t="shared" ref="W28:X28" si="24">C28/100</f>
        <v>1</v>
      </c>
      <c r="X28" s="187">
        <f t="shared" si="24"/>
        <v>2.1</v>
      </c>
      <c r="Y28" s="187">
        <f t="shared" si="14"/>
        <v>2.1</v>
      </c>
      <c r="Z28" s="189">
        <f t="shared" si="15"/>
        <v>4.41</v>
      </c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</row>
    <row r="29" ht="27.0" customHeight="1">
      <c r="A29" s="181">
        <v>9.0</v>
      </c>
      <c r="B29" s="191" t="s">
        <v>56</v>
      </c>
      <c r="C29" s="191">
        <v>100.0</v>
      </c>
      <c r="D29" s="191">
        <v>210.0</v>
      </c>
      <c r="E29" s="191">
        <v>210.0</v>
      </c>
      <c r="F29" s="191">
        <f t="shared" si="5"/>
        <v>0</v>
      </c>
      <c r="G29" s="191">
        <f t="shared" si="6"/>
        <v>130.095</v>
      </c>
      <c r="H29" s="219">
        <f t="shared" si="7"/>
        <v>130.095</v>
      </c>
      <c r="I29" s="218">
        <v>1.0</v>
      </c>
      <c r="J29" s="193">
        <f t="shared" si="8"/>
        <v>130.095</v>
      </c>
      <c r="K29" s="186"/>
      <c r="L29" s="187">
        <f t="shared" si="17"/>
        <v>5.334</v>
      </c>
      <c r="M29" s="181">
        <f t="shared" si="18"/>
        <v>1</v>
      </c>
      <c r="N29" s="181">
        <f t="shared" si="19"/>
        <v>5.334</v>
      </c>
      <c r="O29" s="186"/>
      <c r="P29" s="186"/>
      <c r="Q29" s="187" t="s">
        <v>161</v>
      </c>
      <c r="R29" s="298">
        <v>29.5</v>
      </c>
      <c r="S29" s="187">
        <f t="shared" si="9"/>
        <v>2.1</v>
      </c>
      <c r="T29" s="181">
        <f t="shared" si="10"/>
        <v>1</v>
      </c>
      <c r="U29" s="181">
        <f t="shared" si="11"/>
        <v>2.1</v>
      </c>
      <c r="V29" s="278">
        <f t="shared" si="12"/>
        <v>130.095</v>
      </c>
      <c r="W29" s="187">
        <f t="shared" ref="W29:X29" si="25">C29/100</f>
        <v>1</v>
      </c>
      <c r="X29" s="187">
        <f t="shared" si="25"/>
        <v>2.1</v>
      </c>
      <c r="Y29" s="187">
        <f t="shared" si="14"/>
        <v>2.1</v>
      </c>
      <c r="Z29" s="189">
        <f t="shared" si="15"/>
        <v>4.41</v>
      </c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</row>
    <row r="30" ht="27.0" customHeight="1">
      <c r="A30" s="181">
        <v>10.0</v>
      </c>
      <c r="B30" s="191" t="s">
        <v>56</v>
      </c>
      <c r="C30" s="191">
        <v>100.0</v>
      </c>
      <c r="D30" s="191">
        <v>210.0</v>
      </c>
      <c r="E30" s="191">
        <v>210.0</v>
      </c>
      <c r="F30" s="191">
        <f t="shared" si="5"/>
        <v>0</v>
      </c>
      <c r="G30" s="191">
        <f t="shared" si="6"/>
        <v>130.095</v>
      </c>
      <c r="H30" s="219">
        <f t="shared" si="7"/>
        <v>130.095</v>
      </c>
      <c r="I30" s="218">
        <v>1.0</v>
      </c>
      <c r="J30" s="193">
        <f t="shared" si="8"/>
        <v>130.095</v>
      </c>
      <c r="K30" s="186"/>
      <c r="L30" s="187">
        <f t="shared" si="17"/>
        <v>5.334</v>
      </c>
      <c r="M30" s="181">
        <f t="shared" si="18"/>
        <v>1</v>
      </c>
      <c r="N30" s="181">
        <f t="shared" si="19"/>
        <v>5.334</v>
      </c>
      <c r="O30" s="186"/>
      <c r="P30" s="186"/>
      <c r="Q30" s="187" t="s">
        <v>160</v>
      </c>
      <c r="R30" s="298">
        <v>29.5</v>
      </c>
      <c r="S30" s="187">
        <f t="shared" si="9"/>
        <v>2.1</v>
      </c>
      <c r="T30" s="181">
        <f t="shared" si="10"/>
        <v>1</v>
      </c>
      <c r="U30" s="181">
        <f t="shared" si="11"/>
        <v>2.1</v>
      </c>
      <c r="V30" s="278">
        <f t="shared" si="12"/>
        <v>130.095</v>
      </c>
      <c r="W30" s="187">
        <f t="shared" ref="W30:X30" si="26">C30/100</f>
        <v>1</v>
      </c>
      <c r="X30" s="187">
        <f t="shared" si="26"/>
        <v>2.1</v>
      </c>
      <c r="Y30" s="187">
        <f t="shared" si="14"/>
        <v>2.1</v>
      </c>
      <c r="Z30" s="189">
        <f t="shared" si="15"/>
        <v>4.41</v>
      </c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</row>
    <row r="31" ht="27.0" customHeight="1">
      <c r="A31" s="181">
        <v>11.0</v>
      </c>
      <c r="B31" s="191" t="s">
        <v>56</v>
      </c>
      <c r="C31" s="191">
        <v>100.0</v>
      </c>
      <c r="D31" s="191">
        <v>210.0</v>
      </c>
      <c r="E31" s="191">
        <v>210.0</v>
      </c>
      <c r="F31" s="191">
        <f t="shared" si="5"/>
        <v>0</v>
      </c>
      <c r="G31" s="191">
        <f t="shared" si="6"/>
        <v>130.095</v>
      </c>
      <c r="H31" s="219">
        <f t="shared" si="7"/>
        <v>130.095</v>
      </c>
      <c r="I31" s="218">
        <v>6.0</v>
      </c>
      <c r="J31" s="193">
        <f t="shared" si="8"/>
        <v>780.57</v>
      </c>
      <c r="K31" s="186"/>
      <c r="L31" s="187">
        <f t="shared" si="17"/>
        <v>5.334</v>
      </c>
      <c r="M31" s="181">
        <f t="shared" si="18"/>
        <v>6</v>
      </c>
      <c r="N31" s="181">
        <f t="shared" si="19"/>
        <v>32.004</v>
      </c>
      <c r="O31" s="186"/>
      <c r="P31" s="186"/>
      <c r="Q31" s="187"/>
      <c r="R31" s="298">
        <v>29.5</v>
      </c>
      <c r="S31" s="187">
        <f t="shared" si="9"/>
        <v>2.1</v>
      </c>
      <c r="T31" s="181">
        <f t="shared" si="10"/>
        <v>6</v>
      </c>
      <c r="U31" s="181">
        <f t="shared" si="11"/>
        <v>12.6</v>
      </c>
      <c r="V31" s="278">
        <f t="shared" si="12"/>
        <v>130.095</v>
      </c>
      <c r="W31" s="187">
        <f t="shared" ref="W31:X31" si="27">C31/100</f>
        <v>1</v>
      </c>
      <c r="X31" s="187">
        <f t="shared" si="27"/>
        <v>2.1</v>
      </c>
      <c r="Y31" s="187">
        <f t="shared" si="14"/>
        <v>12.6</v>
      </c>
      <c r="Z31" s="189">
        <f t="shared" si="15"/>
        <v>26.46</v>
      </c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</row>
    <row r="32" ht="27.0" customHeight="1">
      <c r="A32" s="181">
        <v>12.0</v>
      </c>
      <c r="B32" s="191" t="s">
        <v>56</v>
      </c>
      <c r="C32" s="191">
        <v>99.0</v>
      </c>
      <c r="D32" s="191">
        <v>210.0</v>
      </c>
      <c r="E32" s="191">
        <v>210.0</v>
      </c>
      <c r="F32" s="191">
        <f t="shared" si="5"/>
        <v>0</v>
      </c>
      <c r="G32" s="191">
        <f t="shared" si="6"/>
        <v>128.79405</v>
      </c>
      <c r="H32" s="219">
        <f t="shared" si="7"/>
        <v>128.79405</v>
      </c>
      <c r="I32" s="218">
        <v>1.0</v>
      </c>
      <c r="J32" s="193">
        <f t="shared" si="8"/>
        <v>128.79405</v>
      </c>
      <c r="K32" s="186"/>
      <c r="L32" s="187">
        <f t="shared" si="17"/>
        <v>5.334</v>
      </c>
      <c r="M32" s="181">
        <f t="shared" si="18"/>
        <v>1</v>
      </c>
      <c r="N32" s="181">
        <f t="shared" si="19"/>
        <v>5.334</v>
      </c>
      <c r="O32" s="186"/>
      <c r="P32" s="186"/>
      <c r="Q32" s="187"/>
      <c r="R32" s="298">
        <v>29.5</v>
      </c>
      <c r="S32" s="187">
        <f t="shared" si="9"/>
        <v>2.1</v>
      </c>
      <c r="T32" s="181">
        <f t="shared" si="10"/>
        <v>1</v>
      </c>
      <c r="U32" s="181">
        <f t="shared" si="11"/>
        <v>2.1</v>
      </c>
      <c r="V32" s="278">
        <f t="shared" si="12"/>
        <v>128.79405</v>
      </c>
      <c r="W32" s="187">
        <f t="shared" ref="W32:X32" si="28">C32/100</f>
        <v>0.99</v>
      </c>
      <c r="X32" s="187">
        <f t="shared" si="28"/>
        <v>2.1</v>
      </c>
      <c r="Y32" s="187">
        <f t="shared" si="14"/>
        <v>2.1</v>
      </c>
      <c r="Z32" s="189">
        <f t="shared" si="15"/>
        <v>4.3659</v>
      </c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</row>
    <row r="33" ht="27.0" customHeight="1">
      <c r="A33" s="181">
        <v>13.0</v>
      </c>
      <c r="B33" s="191" t="s">
        <v>56</v>
      </c>
      <c r="C33" s="191">
        <v>98.0</v>
      </c>
      <c r="D33" s="191">
        <v>210.0</v>
      </c>
      <c r="E33" s="191">
        <v>210.0</v>
      </c>
      <c r="F33" s="191">
        <f t="shared" si="5"/>
        <v>0</v>
      </c>
      <c r="G33" s="191">
        <f t="shared" si="6"/>
        <v>127.4931</v>
      </c>
      <c r="H33" s="219">
        <f t="shared" si="7"/>
        <v>127.4931</v>
      </c>
      <c r="I33" s="218">
        <v>1.0</v>
      </c>
      <c r="J33" s="193">
        <f t="shared" si="8"/>
        <v>127.4931</v>
      </c>
      <c r="K33" s="186"/>
      <c r="L33" s="187">
        <f t="shared" si="17"/>
        <v>5.334</v>
      </c>
      <c r="M33" s="181">
        <f t="shared" si="18"/>
        <v>1</v>
      </c>
      <c r="N33" s="181">
        <f t="shared" si="19"/>
        <v>5.334</v>
      </c>
      <c r="O33" s="186"/>
      <c r="P33" s="186"/>
      <c r="Q33" s="187"/>
      <c r="R33" s="298">
        <v>29.5</v>
      </c>
      <c r="S33" s="187">
        <f t="shared" si="9"/>
        <v>2.1</v>
      </c>
      <c r="T33" s="181">
        <f t="shared" si="10"/>
        <v>1</v>
      </c>
      <c r="U33" s="181">
        <f t="shared" si="11"/>
        <v>2.1</v>
      </c>
      <c r="V33" s="278">
        <f t="shared" si="12"/>
        <v>127.4931</v>
      </c>
      <c r="W33" s="187">
        <f t="shared" ref="W33:X33" si="29">C33/100</f>
        <v>0.98</v>
      </c>
      <c r="X33" s="187">
        <f t="shared" si="29"/>
        <v>2.1</v>
      </c>
      <c r="Y33" s="187">
        <f t="shared" si="14"/>
        <v>2.1</v>
      </c>
      <c r="Z33" s="189">
        <f t="shared" si="15"/>
        <v>4.3218</v>
      </c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</row>
    <row r="34" ht="27.0" customHeight="1">
      <c r="A34" s="181">
        <v>14.0</v>
      </c>
      <c r="B34" s="191" t="s">
        <v>56</v>
      </c>
      <c r="C34" s="191">
        <v>99.0</v>
      </c>
      <c r="D34" s="191">
        <v>210.0</v>
      </c>
      <c r="E34" s="191">
        <v>210.0</v>
      </c>
      <c r="F34" s="191">
        <f t="shared" si="5"/>
        <v>0</v>
      </c>
      <c r="G34" s="191">
        <f t="shared" si="6"/>
        <v>128.79405</v>
      </c>
      <c r="H34" s="219">
        <f t="shared" si="7"/>
        <v>128.79405</v>
      </c>
      <c r="I34" s="218">
        <v>1.0</v>
      </c>
      <c r="J34" s="193">
        <f t="shared" si="8"/>
        <v>128.79405</v>
      </c>
      <c r="K34" s="186"/>
      <c r="L34" s="187">
        <f t="shared" si="17"/>
        <v>5.334</v>
      </c>
      <c r="M34" s="181">
        <f t="shared" si="18"/>
        <v>1</v>
      </c>
      <c r="N34" s="181">
        <f t="shared" si="19"/>
        <v>5.334</v>
      </c>
      <c r="O34" s="186"/>
      <c r="P34" s="186"/>
      <c r="Q34" s="187" t="s">
        <v>154</v>
      </c>
      <c r="R34" s="298">
        <v>29.5</v>
      </c>
      <c r="S34" s="187">
        <f t="shared" si="9"/>
        <v>2.1</v>
      </c>
      <c r="T34" s="181">
        <f t="shared" si="10"/>
        <v>1</v>
      </c>
      <c r="U34" s="181">
        <f t="shared" si="11"/>
        <v>2.1</v>
      </c>
      <c r="V34" s="278">
        <f t="shared" si="12"/>
        <v>128.79405</v>
      </c>
      <c r="W34" s="187">
        <f t="shared" ref="W34:X34" si="30">C34/100</f>
        <v>0.99</v>
      </c>
      <c r="X34" s="187">
        <f t="shared" si="30"/>
        <v>2.1</v>
      </c>
      <c r="Y34" s="187">
        <f t="shared" si="14"/>
        <v>2.1</v>
      </c>
      <c r="Z34" s="189">
        <f t="shared" si="15"/>
        <v>4.3659</v>
      </c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</row>
    <row r="35" ht="27.0" customHeight="1">
      <c r="A35" s="181">
        <v>15.0</v>
      </c>
      <c r="B35" s="191" t="s">
        <v>56</v>
      </c>
      <c r="C35" s="191">
        <v>99.0</v>
      </c>
      <c r="D35" s="191">
        <v>210.0</v>
      </c>
      <c r="E35" s="191">
        <v>210.0</v>
      </c>
      <c r="F35" s="191">
        <f t="shared" si="5"/>
        <v>0</v>
      </c>
      <c r="G35" s="191">
        <f t="shared" si="6"/>
        <v>128.79405</v>
      </c>
      <c r="H35" s="219">
        <f t="shared" si="7"/>
        <v>128.79405</v>
      </c>
      <c r="I35" s="218">
        <v>2.0</v>
      </c>
      <c r="J35" s="193">
        <f t="shared" si="8"/>
        <v>257.5881</v>
      </c>
      <c r="K35" s="186"/>
      <c r="L35" s="187">
        <f t="shared" si="17"/>
        <v>5.334</v>
      </c>
      <c r="M35" s="181">
        <f t="shared" si="18"/>
        <v>2</v>
      </c>
      <c r="N35" s="181">
        <f t="shared" si="19"/>
        <v>10.668</v>
      </c>
      <c r="O35" s="186"/>
      <c r="P35" s="186"/>
      <c r="Q35" s="187"/>
      <c r="R35" s="298">
        <v>29.5</v>
      </c>
      <c r="S35" s="187">
        <f t="shared" si="9"/>
        <v>2.1</v>
      </c>
      <c r="T35" s="181">
        <f t="shared" si="10"/>
        <v>2</v>
      </c>
      <c r="U35" s="181">
        <f t="shared" si="11"/>
        <v>4.2</v>
      </c>
      <c r="V35" s="278">
        <f t="shared" si="12"/>
        <v>128.79405</v>
      </c>
      <c r="W35" s="187">
        <f t="shared" ref="W35:X35" si="31">C35/100</f>
        <v>0.99</v>
      </c>
      <c r="X35" s="187">
        <f t="shared" si="31"/>
        <v>2.1</v>
      </c>
      <c r="Y35" s="187">
        <f t="shared" si="14"/>
        <v>4.2</v>
      </c>
      <c r="Z35" s="189">
        <f t="shared" si="15"/>
        <v>8.7318</v>
      </c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</row>
    <row r="36" ht="27.0" customHeight="1">
      <c r="A36" s="181">
        <v>16.0</v>
      </c>
      <c r="B36" s="191" t="s">
        <v>56</v>
      </c>
      <c r="C36" s="191">
        <v>96.0</v>
      </c>
      <c r="D36" s="191">
        <v>210.0</v>
      </c>
      <c r="E36" s="191">
        <v>210.0</v>
      </c>
      <c r="F36" s="191">
        <f t="shared" si="5"/>
        <v>0</v>
      </c>
      <c r="G36" s="191">
        <f t="shared" si="6"/>
        <v>124.8912</v>
      </c>
      <c r="H36" s="219">
        <f t="shared" si="7"/>
        <v>124.8912</v>
      </c>
      <c r="I36" s="218">
        <v>1.0</v>
      </c>
      <c r="J36" s="193">
        <f t="shared" si="8"/>
        <v>124.8912</v>
      </c>
      <c r="K36" s="186"/>
      <c r="L36" s="187">
        <f t="shared" si="17"/>
        <v>5.334</v>
      </c>
      <c r="M36" s="181">
        <f t="shared" si="18"/>
        <v>1</v>
      </c>
      <c r="N36" s="181">
        <f t="shared" si="19"/>
        <v>5.334</v>
      </c>
      <c r="O36" s="186"/>
      <c r="P36" s="186"/>
      <c r="Q36" s="187"/>
      <c r="R36" s="298">
        <v>29.5</v>
      </c>
      <c r="S36" s="187">
        <f t="shared" si="9"/>
        <v>2.1</v>
      </c>
      <c r="T36" s="181">
        <f t="shared" si="10"/>
        <v>1</v>
      </c>
      <c r="U36" s="181">
        <f t="shared" si="11"/>
        <v>2.1</v>
      </c>
      <c r="V36" s="278">
        <f t="shared" si="12"/>
        <v>124.8912</v>
      </c>
      <c r="W36" s="187">
        <f t="shared" ref="W36:X36" si="32">C36/100</f>
        <v>0.96</v>
      </c>
      <c r="X36" s="187">
        <f t="shared" si="32"/>
        <v>2.1</v>
      </c>
      <c r="Y36" s="187">
        <f t="shared" si="14"/>
        <v>2.1</v>
      </c>
      <c r="Z36" s="189">
        <f t="shared" si="15"/>
        <v>4.2336</v>
      </c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</row>
    <row r="37" ht="27.0" customHeight="1">
      <c r="A37" s="181">
        <v>16.0</v>
      </c>
      <c r="B37" s="182" t="s">
        <v>65</v>
      </c>
      <c r="C37" s="191">
        <v>100.0</v>
      </c>
      <c r="D37" s="191">
        <v>203.0</v>
      </c>
      <c r="E37" s="277">
        <v>3000.0</v>
      </c>
      <c r="F37" s="277">
        <f t="shared" si="5"/>
        <v>0.8</v>
      </c>
      <c r="G37" s="277">
        <f t="shared" si="6"/>
        <v>1796.55</v>
      </c>
      <c r="H37" s="219">
        <f t="shared" si="7"/>
        <v>1437.24</v>
      </c>
      <c r="I37" s="218">
        <v>1.0</v>
      </c>
      <c r="J37" s="193">
        <f t="shared" si="8"/>
        <v>1437.24</v>
      </c>
      <c r="K37" s="186"/>
      <c r="L37" s="187">
        <f t="shared" si="17"/>
        <v>5.1562</v>
      </c>
      <c r="M37" s="181">
        <f t="shared" si="18"/>
        <v>1</v>
      </c>
      <c r="N37" s="181">
        <f t="shared" si="19"/>
        <v>5.1562</v>
      </c>
      <c r="O37" s="186"/>
      <c r="P37" s="186"/>
      <c r="Q37" s="187"/>
      <c r="R37" s="298">
        <v>29.5</v>
      </c>
      <c r="S37" s="187">
        <f t="shared" si="9"/>
        <v>30</v>
      </c>
      <c r="T37" s="181">
        <f t="shared" si="10"/>
        <v>1</v>
      </c>
      <c r="U37" s="181">
        <f t="shared" si="11"/>
        <v>30</v>
      </c>
      <c r="V37" s="278">
        <f t="shared" si="12"/>
        <v>1796.55</v>
      </c>
      <c r="W37" s="187">
        <f t="shared" ref="W37:X37" si="33">C37/100</f>
        <v>1</v>
      </c>
      <c r="X37" s="187">
        <f t="shared" si="33"/>
        <v>2.03</v>
      </c>
      <c r="Y37" s="187">
        <f t="shared" si="14"/>
        <v>30</v>
      </c>
      <c r="Z37" s="189">
        <f t="shared" si="15"/>
        <v>60.9</v>
      </c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</row>
    <row r="38" ht="27.0" customHeight="1">
      <c r="A38" s="181">
        <v>16.0</v>
      </c>
      <c r="B38" s="191" t="s">
        <v>56</v>
      </c>
      <c r="C38" s="191">
        <v>100.0</v>
      </c>
      <c r="D38" s="191">
        <v>203.0</v>
      </c>
      <c r="E38" s="277">
        <v>3000.0</v>
      </c>
      <c r="F38" s="277">
        <f t="shared" si="5"/>
        <v>0</v>
      </c>
      <c r="G38" s="277">
        <f t="shared" si="6"/>
        <v>1796.55</v>
      </c>
      <c r="H38" s="219">
        <f t="shared" si="7"/>
        <v>1796.55</v>
      </c>
      <c r="I38" s="218">
        <v>1.0</v>
      </c>
      <c r="J38" s="193">
        <f t="shared" si="8"/>
        <v>1796.55</v>
      </c>
      <c r="K38" s="186"/>
      <c r="L38" s="187">
        <f t="shared" si="17"/>
        <v>5.1562</v>
      </c>
      <c r="M38" s="181">
        <f t="shared" si="18"/>
        <v>1</v>
      </c>
      <c r="N38" s="181">
        <f t="shared" si="19"/>
        <v>5.1562</v>
      </c>
      <c r="O38" s="186"/>
      <c r="P38" s="186"/>
      <c r="Q38" s="187"/>
      <c r="R38" s="298">
        <v>29.5</v>
      </c>
      <c r="S38" s="187">
        <f t="shared" si="9"/>
        <v>30</v>
      </c>
      <c r="T38" s="181">
        <f t="shared" si="10"/>
        <v>1</v>
      </c>
      <c r="U38" s="181">
        <f t="shared" si="11"/>
        <v>30</v>
      </c>
      <c r="V38" s="278">
        <f t="shared" si="12"/>
        <v>1796.55</v>
      </c>
      <c r="W38" s="187">
        <f t="shared" ref="W38:X38" si="34">C38/100</f>
        <v>1</v>
      </c>
      <c r="X38" s="187">
        <f t="shared" si="34"/>
        <v>2.03</v>
      </c>
      <c r="Y38" s="187">
        <f t="shared" si="14"/>
        <v>30</v>
      </c>
      <c r="Z38" s="189">
        <f t="shared" si="15"/>
        <v>60.9</v>
      </c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</row>
    <row r="39" ht="27.0" customHeight="1">
      <c r="A39" s="181">
        <v>16.0</v>
      </c>
      <c r="B39" s="191" t="s">
        <v>56</v>
      </c>
      <c r="C39" s="191">
        <v>100.0</v>
      </c>
      <c r="D39" s="191">
        <v>203.0</v>
      </c>
      <c r="E39" s="277">
        <v>1000.0</v>
      </c>
      <c r="F39" s="277">
        <f t="shared" si="5"/>
        <v>0</v>
      </c>
      <c r="G39" s="277">
        <f t="shared" si="6"/>
        <v>598.85</v>
      </c>
      <c r="H39" s="219">
        <f t="shared" si="7"/>
        <v>598.85</v>
      </c>
      <c r="I39" s="218">
        <v>1.0</v>
      </c>
      <c r="J39" s="193">
        <f t="shared" si="8"/>
        <v>598.85</v>
      </c>
      <c r="K39" s="186"/>
      <c r="L39" s="187">
        <f t="shared" si="17"/>
        <v>5.1562</v>
      </c>
      <c r="M39" s="181">
        <f t="shared" si="18"/>
        <v>1</v>
      </c>
      <c r="N39" s="181">
        <f t="shared" si="19"/>
        <v>5.1562</v>
      </c>
      <c r="O39" s="186"/>
      <c r="P39" s="186"/>
      <c r="Q39" s="187"/>
      <c r="R39" s="298">
        <v>29.5</v>
      </c>
      <c r="S39" s="187">
        <f t="shared" si="9"/>
        <v>10</v>
      </c>
      <c r="T39" s="181">
        <f t="shared" si="10"/>
        <v>1</v>
      </c>
      <c r="U39" s="181">
        <f t="shared" si="11"/>
        <v>10</v>
      </c>
      <c r="V39" s="278">
        <f t="shared" si="12"/>
        <v>598.85</v>
      </c>
      <c r="W39" s="187">
        <f t="shared" ref="W39:X39" si="35">C39/100</f>
        <v>1</v>
      </c>
      <c r="X39" s="187">
        <f t="shared" si="35"/>
        <v>2.03</v>
      </c>
      <c r="Y39" s="187">
        <f t="shared" si="14"/>
        <v>10</v>
      </c>
      <c r="Z39" s="189">
        <f t="shared" si="15"/>
        <v>20.3</v>
      </c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</row>
    <row r="40" ht="27.0" customHeight="1">
      <c r="A40" s="181">
        <v>16.0</v>
      </c>
      <c r="B40" s="191" t="s">
        <v>56</v>
      </c>
      <c r="C40" s="191">
        <v>100.0</v>
      </c>
      <c r="D40" s="191">
        <v>203.0</v>
      </c>
      <c r="E40" s="277">
        <v>1500.0</v>
      </c>
      <c r="F40" s="277">
        <f t="shared" si="5"/>
        <v>0</v>
      </c>
      <c r="G40" s="277">
        <f t="shared" si="6"/>
        <v>898.275</v>
      </c>
      <c r="H40" s="219">
        <f t="shared" si="7"/>
        <v>898.275</v>
      </c>
      <c r="I40" s="218">
        <v>1.0</v>
      </c>
      <c r="J40" s="193">
        <f t="shared" si="8"/>
        <v>898.275</v>
      </c>
      <c r="K40" s="186"/>
      <c r="L40" s="187">
        <f t="shared" si="17"/>
        <v>5.1562</v>
      </c>
      <c r="M40" s="181">
        <f t="shared" si="18"/>
        <v>1</v>
      </c>
      <c r="N40" s="181">
        <f t="shared" si="19"/>
        <v>5.1562</v>
      </c>
      <c r="O40" s="186"/>
      <c r="P40" s="186"/>
      <c r="Q40" s="187"/>
      <c r="R40" s="298">
        <v>29.5</v>
      </c>
      <c r="S40" s="187">
        <f t="shared" si="9"/>
        <v>15</v>
      </c>
      <c r="T40" s="181">
        <f t="shared" si="10"/>
        <v>1</v>
      </c>
      <c r="U40" s="181">
        <f t="shared" si="11"/>
        <v>15</v>
      </c>
      <c r="V40" s="278">
        <f t="shared" si="12"/>
        <v>898.275</v>
      </c>
      <c r="W40" s="187">
        <f t="shared" ref="W40:X40" si="36">C40/100</f>
        <v>1</v>
      </c>
      <c r="X40" s="187">
        <f t="shared" si="36"/>
        <v>2.03</v>
      </c>
      <c r="Y40" s="187">
        <f t="shared" si="14"/>
        <v>15</v>
      </c>
      <c r="Z40" s="189">
        <f t="shared" si="15"/>
        <v>30.45</v>
      </c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</row>
    <row r="41" ht="27.0" customHeight="1">
      <c r="A41" s="181">
        <v>16.0</v>
      </c>
      <c r="B41" s="191" t="s">
        <v>56</v>
      </c>
      <c r="C41" s="191">
        <v>99.0</v>
      </c>
      <c r="D41" s="191">
        <v>203.0</v>
      </c>
      <c r="E41" s="191">
        <v>205.0</v>
      </c>
      <c r="F41" s="191">
        <f t="shared" si="5"/>
        <v>0</v>
      </c>
      <c r="G41" s="191">
        <f t="shared" si="6"/>
        <v>121.5366075</v>
      </c>
      <c r="H41" s="219">
        <f t="shared" si="7"/>
        <v>121.5366075</v>
      </c>
      <c r="I41" s="218">
        <v>1.0</v>
      </c>
      <c r="J41" s="193">
        <f t="shared" si="8"/>
        <v>121.5366075</v>
      </c>
      <c r="K41" s="186"/>
      <c r="L41" s="187">
        <f t="shared" si="17"/>
        <v>5.1562</v>
      </c>
      <c r="M41" s="181">
        <f t="shared" si="18"/>
        <v>1</v>
      </c>
      <c r="N41" s="181">
        <f t="shared" si="19"/>
        <v>5.1562</v>
      </c>
      <c r="O41" s="186"/>
      <c r="P41" s="186"/>
      <c r="Q41" s="187"/>
      <c r="R41" s="298">
        <v>29.5</v>
      </c>
      <c r="S41" s="187">
        <f t="shared" si="9"/>
        <v>2.05</v>
      </c>
      <c r="T41" s="181">
        <f t="shared" si="10"/>
        <v>1</v>
      </c>
      <c r="U41" s="181">
        <f t="shared" si="11"/>
        <v>2.05</v>
      </c>
      <c r="V41" s="278">
        <f t="shared" si="12"/>
        <v>121.5366075</v>
      </c>
      <c r="W41" s="187">
        <f t="shared" ref="W41:X41" si="37">C41/100</f>
        <v>0.99</v>
      </c>
      <c r="X41" s="187">
        <f t="shared" si="37"/>
        <v>2.03</v>
      </c>
      <c r="Y41" s="187">
        <f t="shared" si="14"/>
        <v>2.05</v>
      </c>
      <c r="Z41" s="189">
        <f t="shared" si="15"/>
        <v>4.119885</v>
      </c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</row>
    <row r="42" ht="27.0" customHeight="1">
      <c r="A42" s="181">
        <v>16.0</v>
      </c>
      <c r="B42" s="191" t="s">
        <v>56</v>
      </c>
      <c r="C42" s="191">
        <v>94.0</v>
      </c>
      <c r="D42" s="191">
        <v>203.0</v>
      </c>
      <c r="E42" s="191">
        <v>201.0</v>
      </c>
      <c r="F42" s="191">
        <f t="shared" si="5"/>
        <v>0</v>
      </c>
      <c r="G42" s="191">
        <f t="shared" si="6"/>
        <v>113.146719</v>
      </c>
      <c r="H42" s="219">
        <f t="shared" si="7"/>
        <v>113.146719</v>
      </c>
      <c r="I42" s="218">
        <v>1.0</v>
      </c>
      <c r="J42" s="193">
        <f t="shared" si="8"/>
        <v>113.146719</v>
      </c>
      <c r="K42" s="186"/>
      <c r="L42" s="187">
        <f t="shared" si="17"/>
        <v>5.1562</v>
      </c>
      <c r="M42" s="181">
        <f t="shared" si="18"/>
        <v>1</v>
      </c>
      <c r="N42" s="181">
        <f t="shared" si="19"/>
        <v>5.1562</v>
      </c>
      <c r="O42" s="186"/>
      <c r="P42" s="186"/>
      <c r="Q42" s="187"/>
      <c r="R42" s="298">
        <v>29.5</v>
      </c>
      <c r="S42" s="187">
        <f t="shared" si="9"/>
        <v>2.01</v>
      </c>
      <c r="T42" s="181">
        <f t="shared" si="10"/>
        <v>1</v>
      </c>
      <c r="U42" s="181">
        <f t="shared" si="11"/>
        <v>2.01</v>
      </c>
      <c r="V42" s="278">
        <f t="shared" si="12"/>
        <v>113.146719</v>
      </c>
      <c r="W42" s="187">
        <f t="shared" ref="W42:X42" si="38">C42/100</f>
        <v>0.94</v>
      </c>
      <c r="X42" s="187">
        <f t="shared" si="38"/>
        <v>2.03</v>
      </c>
      <c r="Y42" s="187">
        <f t="shared" si="14"/>
        <v>2.01</v>
      </c>
      <c r="Z42" s="189">
        <f t="shared" si="15"/>
        <v>3.835482</v>
      </c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</row>
    <row r="43" ht="27.0" customHeight="1">
      <c r="A43" s="181">
        <v>16.0</v>
      </c>
      <c r="B43" s="191" t="s">
        <v>56</v>
      </c>
      <c r="C43" s="191">
        <v>72.0</v>
      </c>
      <c r="D43" s="191">
        <v>203.0</v>
      </c>
      <c r="E43" s="191">
        <v>246.0</v>
      </c>
      <c r="F43" s="191">
        <f t="shared" si="5"/>
        <v>0</v>
      </c>
      <c r="G43" s="191">
        <f t="shared" si="6"/>
        <v>106.068312</v>
      </c>
      <c r="H43" s="219">
        <f t="shared" si="7"/>
        <v>106.068312</v>
      </c>
      <c r="I43" s="218">
        <v>1.0</v>
      </c>
      <c r="J43" s="193">
        <f t="shared" si="8"/>
        <v>106.068312</v>
      </c>
      <c r="K43" s="186"/>
      <c r="L43" s="187">
        <f t="shared" si="17"/>
        <v>5.1562</v>
      </c>
      <c r="M43" s="181">
        <f t="shared" si="18"/>
        <v>1</v>
      </c>
      <c r="N43" s="181">
        <f t="shared" si="19"/>
        <v>5.1562</v>
      </c>
      <c r="O43" s="186"/>
      <c r="P43" s="186"/>
      <c r="Q43" s="187"/>
      <c r="R43" s="298">
        <v>29.5</v>
      </c>
      <c r="S43" s="187">
        <f t="shared" si="9"/>
        <v>2.46</v>
      </c>
      <c r="T43" s="181">
        <f t="shared" si="10"/>
        <v>1</v>
      </c>
      <c r="U43" s="181">
        <f t="shared" si="11"/>
        <v>2.46</v>
      </c>
      <c r="V43" s="278">
        <f t="shared" si="12"/>
        <v>106.068312</v>
      </c>
      <c r="W43" s="187">
        <f t="shared" ref="W43:X43" si="39">C43/100</f>
        <v>0.72</v>
      </c>
      <c r="X43" s="187">
        <f t="shared" si="39"/>
        <v>2.03</v>
      </c>
      <c r="Y43" s="187">
        <f t="shared" si="14"/>
        <v>2.46</v>
      </c>
      <c r="Z43" s="189">
        <f t="shared" si="15"/>
        <v>3.595536</v>
      </c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</row>
    <row r="44" ht="27.0" customHeight="1">
      <c r="A44" s="181">
        <v>16.0</v>
      </c>
      <c r="B44" s="191" t="s">
        <v>56</v>
      </c>
      <c r="C44" s="191">
        <v>98.0</v>
      </c>
      <c r="D44" s="191">
        <v>203.0</v>
      </c>
      <c r="E44" s="191">
        <v>204.0</v>
      </c>
      <c r="F44" s="191">
        <f t="shared" si="5"/>
        <v>0</v>
      </c>
      <c r="G44" s="191">
        <f t="shared" si="6"/>
        <v>119.722092</v>
      </c>
      <c r="H44" s="219">
        <f t="shared" si="7"/>
        <v>119.722092</v>
      </c>
      <c r="I44" s="218">
        <v>1.0</v>
      </c>
      <c r="J44" s="193">
        <f t="shared" si="8"/>
        <v>119.722092</v>
      </c>
      <c r="K44" s="186"/>
      <c r="L44" s="187">
        <f t="shared" si="17"/>
        <v>5.1562</v>
      </c>
      <c r="M44" s="181">
        <f t="shared" si="18"/>
        <v>1</v>
      </c>
      <c r="N44" s="181">
        <f t="shared" si="19"/>
        <v>5.1562</v>
      </c>
      <c r="O44" s="186"/>
      <c r="P44" s="186"/>
      <c r="Q44" s="187"/>
      <c r="R44" s="298">
        <v>29.5</v>
      </c>
      <c r="S44" s="187">
        <f t="shared" si="9"/>
        <v>2.04</v>
      </c>
      <c r="T44" s="181">
        <f t="shared" si="10"/>
        <v>1</v>
      </c>
      <c r="U44" s="181">
        <f t="shared" si="11"/>
        <v>2.04</v>
      </c>
      <c r="V44" s="278">
        <f t="shared" si="12"/>
        <v>119.722092</v>
      </c>
      <c r="W44" s="187">
        <f t="shared" ref="W44:X44" si="40">C44/100</f>
        <v>0.98</v>
      </c>
      <c r="X44" s="187">
        <f t="shared" si="40"/>
        <v>2.03</v>
      </c>
      <c r="Y44" s="187">
        <f t="shared" si="14"/>
        <v>2.04</v>
      </c>
      <c r="Z44" s="189">
        <f t="shared" si="15"/>
        <v>4.058376</v>
      </c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</row>
    <row r="45" ht="27.0" customHeight="1">
      <c r="A45" s="181">
        <v>16.0</v>
      </c>
      <c r="B45" s="191" t="s">
        <v>56</v>
      </c>
      <c r="C45" s="191">
        <v>97.0</v>
      </c>
      <c r="D45" s="191">
        <v>203.0</v>
      </c>
      <c r="E45" s="191">
        <v>214.0</v>
      </c>
      <c r="F45" s="191">
        <f t="shared" si="5"/>
        <v>0</v>
      </c>
      <c r="G45" s="191">
        <f t="shared" si="6"/>
        <v>124.309283</v>
      </c>
      <c r="H45" s="219">
        <f t="shared" si="7"/>
        <v>124.309283</v>
      </c>
      <c r="I45" s="218">
        <v>1.0</v>
      </c>
      <c r="J45" s="193">
        <f t="shared" si="8"/>
        <v>124.309283</v>
      </c>
      <c r="K45" s="186"/>
      <c r="L45" s="187">
        <f t="shared" si="17"/>
        <v>5.1562</v>
      </c>
      <c r="M45" s="181">
        <f t="shared" si="18"/>
        <v>1</v>
      </c>
      <c r="N45" s="181">
        <f t="shared" si="19"/>
        <v>5.1562</v>
      </c>
      <c r="O45" s="186"/>
      <c r="P45" s="186"/>
      <c r="Q45" s="187"/>
      <c r="R45" s="298">
        <v>29.5</v>
      </c>
      <c r="S45" s="187">
        <f t="shared" si="9"/>
        <v>2.14</v>
      </c>
      <c r="T45" s="181">
        <f t="shared" si="10"/>
        <v>1</v>
      </c>
      <c r="U45" s="181">
        <f t="shared" si="11"/>
        <v>2.14</v>
      </c>
      <c r="V45" s="278">
        <f t="shared" si="12"/>
        <v>124.309283</v>
      </c>
      <c r="W45" s="187">
        <f t="shared" ref="W45:X45" si="41">C45/100</f>
        <v>0.97</v>
      </c>
      <c r="X45" s="187">
        <f t="shared" si="41"/>
        <v>2.03</v>
      </c>
      <c r="Y45" s="187">
        <f t="shared" si="14"/>
        <v>2.14</v>
      </c>
      <c r="Z45" s="189">
        <f t="shared" si="15"/>
        <v>4.213874</v>
      </c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</row>
    <row r="46" ht="27.0" customHeight="1">
      <c r="A46" s="181">
        <v>17.0</v>
      </c>
      <c r="B46" s="182" t="s">
        <v>68</v>
      </c>
      <c r="C46" s="183">
        <v>82.0</v>
      </c>
      <c r="D46" s="183">
        <v>168.0</v>
      </c>
      <c r="E46" s="183">
        <v>180.0</v>
      </c>
      <c r="F46" s="183">
        <f t="shared" si="5"/>
        <v>0.8</v>
      </c>
      <c r="G46" s="183">
        <f t="shared" si="6"/>
        <v>73.15056</v>
      </c>
      <c r="H46" s="184">
        <f t="shared" si="7"/>
        <v>58.520448</v>
      </c>
      <c r="I46" s="183">
        <v>1.0</v>
      </c>
      <c r="J46" s="185">
        <f t="shared" si="8"/>
        <v>58.520448</v>
      </c>
      <c r="K46" s="139"/>
      <c r="L46" s="197"/>
      <c r="M46" s="198">
        <f t="shared" si="18"/>
        <v>1</v>
      </c>
      <c r="N46" s="198"/>
      <c r="O46" s="139"/>
      <c r="P46" s="139"/>
      <c r="Q46" s="176"/>
      <c r="R46" s="298">
        <v>29.5</v>
      </c>
      <c r="S46" s="187">
        <f t="shared" si="9"/>
        <v>1.8</v>
      </c>
      <c r="T46" s="181">
        <f t="shared" si="10"/>
        <v>1</v>
      </c>
      <c r="U46" s="181">
        <f t="shared" si="11"/>
        <v>1.8</v>
      </c>
      <c r="V46" s="278">
        <f t="shared" si="12"/>
        <v>73.15056</v>
      </c>
      <c r="W46" s="187">
        <f t="shared" ref="W46:X46" si="42">C46/100</f>
        <v>0.82</v>
      </c>
      <c r="X46" s="187">
        <f t="shared" si="42"/>
        <v>1.68</v>
      </c>
      <c r="Y46" s="187">
        <f t="shared" si="14"/>
        <v>1.8</v>
      </c>
      <c r="Z46" s="189">
        <f t="shared" si="15"/>
        <v>2.47968</v>
      </c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</row>
    <row r="47" ht="27.0" customHeight="1">
      <c r="A47" s="181">
        <v>18.0</v>
      </c>
      <c r="B47" s="191" t="s">
        <v>58</v>
      </c>
      <c r="C47" s="191">
        <v>99.0</v>
      </c>
      <c r="D47" s="191">
        <v>168.0</v>
      </c>
      <c r="E47" s="191">
        <v>168.0</v>
      </c>
      <c r="F47" s="191">
        <f t="shared" si="5"/>
        <v>0</v>
      </c>
      <c r="G47" s="191">
        <f t="shared" si="6"/>
        <v>82.428192</v>
      </c>
      <c r="H47" s="219">
        <f t="shared" si="7"/>
        <v>82.428192</v>
      </c>
      <c r="I47" s="218">
        <v>1.0</v>
      </c>
      <c r="J47" s="194">
        <f t="shared" si="8"/>
        <v>82.428192</v>
      </c>
      <c r="K47" s="139"/>
      <c r="L47" s="197"/>
      <c r="M47" s="198">
        <f t="shared" si="18"/>
        <v>1</v>
      </c>
      <c r="N47" s="198"/>
      <c r="O47" s="139"/>
      <c r="P47" s="139"/>
      <c r="Q47" s="176" t="s">
        <v>162</v>
      </c>
      <c r="R47" s="298">
        <v>29.5</v>
      </c>
      <c r="S47" s="187">
        <f t="shared" si="9"/>
        <v>1.68</v>
      </c>
      <c r="T47" s="181">
        <f t="shared" si="10"/>
        <v>1</v>
      </c>
      <c r="U47" s="181">
        <f t="shared" si="11"/>
        <v>1.68</v>
      </c>
      <c r="V47" s="278">
        <f t="shared" si="12"/>
        <v>82.428192</v>
      </c>
      <c r="W47" s="187">
        <f t="shared" ref="W47:X47" si="43">C47/100</f>
        <v>0.99</v>
      </c>
      <c r="X47" s="187">
        <f t="shared" si="43"/>
        <v>1.68</v>
      </c>
      <c r="Y47" s="187">
        <f t="shared" si="14"/>
        <v>1.68</v>
      </c>
      <c r="Z47" s="189">
        <f t="shared" si="15"/>
        <v>2.794176</v>
      </c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</row>
    <row r="48" ht="27.0" customHeight="1">
      <c r="A48" s="181">
        <v>19.0</v>
      </c>
      <c r="B48" s="191" t="s">
        <v>58</v>
      </c>
      <c r="C48" s="191">
        <v>99.0</v>
      </c>
      <c r="D48" s="191">
        <v>168.0</v>
      </c>
      <c r="E48" s="191">
        <v>168.0</v>
      </c>
      <c r="F48" s="191">
        <f t="shared" si="5"/>
        <v>0</v>
      </c>
      <c r="G48" s="191">
        <f t="shared" si="6"/>
        <v>82.428192</v>
      </c>
      <c r="H48" s="219">
        <f t="shared" si="7"/>
        <v>82.428192</v>
      </c>
      <c r="I48" s="218">
        <v>1.0</v>
      </c>
      <c r="J48" s="194">
        <f t="shared" si="8"/>
        <v>82.428192</v>
      </c>
      <c r="K48" s="139"/>
      <c r="L48" s="197"/>
      <c r="M48" s="198">
        <f t="shared" si="18"/>
        <v>1</v>
      </c>
      <c r="N48" s="198"/>
      <c r="O48" s="139"/>
      <c r="P48" s="139"/>
      <c r="Q48" s="176"/>
      <c r="R48" s="298">
        <v>29.5</v>
      </c>
      <c r="S48" s="187">
        <f t="shared" si="9"/>
        <v>1.68</v>
      </c>
      <c r="T48" s="181">
        <f t="shared" si="10"/>
        <v>1</v>
      </c>
      <c r="U48" s="181">
        <f t="shared" si="11"/>
        <v>1.68</v>
      </c>
      <c r="V48" s="278">
        <f t="shared" si="12"/>
        <v>82.428192</v>
      </c>
      <c r="W48" s="187">
        <f t="shared" ref="W48:X48" si="44">C48/100</f>
        <v>0.99</v>
      </c>
      <c r="X48" s="187">
        <f t="shared" si="44"/>
        <v>1.68</v>
      </c>
      <c r="Y48" s="187">
        <f t="shared" si="14"/>
        <v>1.68</v>
      </c>
      <c r="Z48" s="189">
        <f t="shared" si="15"/>
        <v>2.794176</v>
      </c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</row>
    <row r="49" ht="27.0" customHeight="1">
      <c r="A49" s="181">
        <v>19.0</v>
      </c>
      <c r="B49" s="191" t="s">
        <v>58</v>
      </c>
      <c r="C49" s="191">
        <v>99.0</v>
      </c>
      <c r="D49" s="191">
        <v>168.0</v>
      </c>
      <c r="E49" s="191">
        <v>179.0</v>
      </c>
      <c r="F49" s="191">
        <f t="shared" si="5"/>
        <v>0</v>
      </c>
      <c r="G49" s="191">
        <f t="shared" si="6"/>
        <v>87.825276</v>
      </c>
      <c r="H49" s="219">
        <f t="shared" si="7"/>
        <v>87.825276</v>
      </c>
      <c r="I49" s="218">
        <v>1.0</v>
      </c>
      <c r="J49" s="194">
        <f t="shared" si="8"/>
        <v>87.825276</v>
      </c>
      <c r="K49" s="139"/>
      <c r="L49" s="197"/>
      <c r="M49" s="198">
        <f t="shared" si="18"/>
        <v>1</v>
      </c>
      <c r="N49" s="198"/>
      <c r="O49" s="139"/>
      <c r="P49" s="139"/>
      <c r="Q49" s="176" t="s">
        <v>163</v>
      </c>
      <c r="R49" s="298">
        <v>29.5</v>
      </c>
      <c r="S49" s="187">
        <f t="shared" si="9"/>
        <v>1.79</v>
      </c>
      <c r="T49" s="181">
        <f t="shared" si="10"/>
        <v>1</v>
      </c>
      <c r="U49" s="181">
        <f t="shared" si="11"/>
        <v>1.79</v>
      </c>
      <c r="V49" s="278">
        <f t="shared" si="12"/>
        <v>87.825276</v>
      </c>
      <c r="W49" s="187">
        <f t="shared" ref="W49:X49" si="45">C49/100</f>
        <v>0.99</v>
      </c>
      <c r="X49" s="187">
        <f t="shared" si="45"/>
        <v>1.68</v>
      </c>
      <c r="Y49" s="187">
        <f t="shared" si="14"/>
        <v>1.79</v>
      </c>
      <c r="Z49" s="189">
        <f t="shared" si="15"/>
        <v>2.977128</v>
      </c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</row>
    <row r="50" ht="27.0" customHeight="1">
      <c r="A50" s="181">
        <v>20.0</v>
      </c>
      <c r="B50" s="191" t="s">
        <v>58</v>
      </c>
      <c r="C50" s="191">
        <v>89.0</v>
      </c>
      <c r="D50" s="191">
        <v>168.0</v>
      </c>
      <c r="E50" s="191">
        <v>180.0</v>
      </c>
      <c r="F50" s="191">
        <f t="shared" si="5"/>
        <v>0</v>
      </c>
      <c r="G50" s="191">
        <f t="shared" si="6"/>
        <v>79.39512</v>
      </c>
      <c r="H50" s="219">
        <f t="shared" si="7"/>
        <v>79.39512</v>
      </c>
      <c r="I50" s="218">
        <v>1.0</v>
      </c>
      <c r="J50" s="194">
        <f t="shared" si="8"/>
        <v>79.39512</v>
      </c>
      <c r="K50" s="139"/>
      <c r="L50" s="197"/>
      <c r="M50" s="198">
        <f t="shared" si="18"/>
        <v>1</v>
      </c>
      <c r="N50" s="198"/>
      <c r="O50" s="139"/>
      <c r="P50" s="139"/>
      <c r="Q50" s="176" t="s">
        <v>162</v>
      </c>
      <c r="R50" s="298">
        <v>29.5</v>
      </c>
      <c r="S50" s="187">
        <f t="shared" si="9"/>
        <v>1.8</v>
      </c>
      <c r="T50" s="181">
        <f t="shared" si="10"/>
        <v>1</v>
      </c>
      <c r="U50" s="181">
        <f t="shared" si="11"/>
        <v>1.8</v>
      </c>
      <c r="V50" s="278">
        <f t="shared" si="12"/>
        <v>79.39512</v>
      </c>
      <c r="W50" s="187">
        <f t="shared" ref="W50:X50" si="46">C50/100</f>
        <v>0.89</v>
      </c>
      <c r="X50" s="187">
        <f t="shared" si="46"/>
        <v>1.68</v>
      </c>
      <c r="Y50" s="187">
        <f t="shared" si="14"/>
        <v>1.8</v>
      </c>
      <c r="Z50" s="189">
        <f t="shared" si="15"/>
        <v>2.69136</v>
      </c>
      <c r="AA50" s="186"/>
      <c r="AB50" s="186"/>
      <c r="AC50" s="186"/>
      <c r="AD50" s="186"/>
      <c r="AE50" s="186"/>
      <c r="AF50" s="186"/>
      <c r="AG50" s="186"/>
      <c r="AH50" s="186"/>
      <c r="AI50" s="186"/>
      <c r="AJ50" s="186"/>
      <c r="AK50" s="186"/>
      <c r="AL50" s="186"/>
      <c r="AM50" s="186"/>
      <c r="AN50" s="186"/>
      <c r="AO50" s="186"/>
    </row>
    <row r="51" ht="27.0" customHeight="1">
      <c r="A51" s="181">
        <v>21.0</v>
      </c>
      <c r="B51" s="191" t="s">
        <v>58</v>
      </c>
      <c r="C51" s="191">
        <v>95.0</v>
      </c>
      <c r="D51" s="191">
        <v>168.0</v>
      </c>
      <c r="E51" s="191">
        <v>168.0</v>
      </c>
      <c r="F51" s="191">
        <f t="shared" si="5"/>
        <v>0</v>
      </c>
      <c r="G51" s="191">
        <f t="shared" si="6"/>
        <v>79.09776</v>
      </c>
      <c r="H51" s="219">
        <f t="shared" si="7"/>
        <v>79.09776</v>
      </c>
      <c r="I51" s="218">
        <v>1.0</v>
      </c>
      <c r="J51" s="194">
        <f t="shared" si="8"/>
        <v>79.09776</v>
      </c>
      <c r="K51" s="139"/>
      <c r="L51" s="197"/>
      <c r="M51" s="198">
        <f t="shared" si="18"/>
        <v>1</v>
      </c>
      <c r="N51" s="198"/>
      <c r="O51" s="139"/>
      <c r="P51" s="139"/>
      <c r="Q51" s="176" t="s">
        <v>164</v>
      </c>
      <c r="R51" s="298">
        <v>29.5</v>
      </c>
      <c r="S51" s="187">
        <f t="shared" si="9"/>
        <v>1.68</v>
      </c>
      <c r="T51" s="181">
        <f t="shared" si="10"/>
        <v>1</v>
      </c>
      <c r="U51" s="181">
        <f t="shared" si="11"/>
        <v>1.68</v>
      </c>
      <c r="V51" s="278">
        <f t="shared" si="12"/>
        <v>79.09776</v>
      </c>
      <c r="W51" s="187">
        <f t="shared" ref="W51:X51" si="47">C51/100</f>
        <v>0.95</v>
      </c>
      <c r="X51" s="187">
        <f t="shared" si="47"/>
        <v>1.68</v>
      </c>
      <c r="Y51" s="187">
        <f t="shared" si="14"/>
        <v>1.68</v>
      </c>
      <c r="Z51" s="189">
        <f t="shared" si="15"/>
        <v>2.68128</v>
      </c>
      <c r="AA51" s="186"/>
      <c r="AB51" s="186"/>
      <c r="AC51" s="186"/>
      <c r="AD51" s="186"/>
      <c r="AE51" s="186"/>
      <c r="AF51" s="186"/>
      <c r="AG51" s="186"/>
      <c r="AH51" s="186"/>
      <c r="AI51" s="186"/>
      <c r="AJ51" s="186"/>
      <c r="AK51" s="186"/>
      <c r="AL51" s="186"/>
      <c r="AM51" s="186"/>
      <c r="AN51" s="186"/>
      <c r="AO51" s="186"/>
    </row>
    <row r="52" ht="27.0" customHeight="1">
      <c r="A52" s="181">
        <v>22.0</v>
      </c>
      <c r="B52" s="191" t="s">
        <v>58</v>
      </c>
      <c r="C52" s="191">
        <v>92.0</v>
      </c>
      <c r="D52" s="191">
        <v>168.0</v>
      </c>
      <c r="E52" s="191">
        <v>167.0</v>
      </c>
      <c r="F52" s="191">
        <f t="shared" si="5"/>
        <v>0</v>
      </c>
      <c r="G52" s="191">
        <f t="shared" si="6"/>
        <v>76.143984</v>
      </c>
      <c r="H52" s="219">
        <f t="shared" si="7"/>
        <v>76.143984</v>
      </c>
      <c r="I52" s="218">
        <v>1.0</v>
      </c>
      <c r="J52" s="194">
        <f t="shared" si="8"/>
        <v>76.143984</v>
      </c>
      <c r="K52" s="139"/>
      <c r="L52" s="197"/>
      <c r="M52" s="198">
        <f t="shared" si="18"/>
        <v>1</v>
      </c>
      <c r="N52" s="198"/>
      <c r="O52" s="139"/>
      <c r="P52" s="139"/>
      <c r="Q52" s="176" t="s">
        <v>165</v>
      </c>
      <c r="R52" s="298">
        <v>29.5</v>
      </c>
      <c r="S52" s="187">
        <f t="shared" si="9"/>
        <v>1.67</v>
      </c>
      <c r="T52" s="181">
        <f t="shared" si="10"/>
        <v>1</v>
      </c>
      <c r="U52" s="181">
        <f t="shared" si="11"/>
        <v>1.67</v>
      </c>
      <c r="V52" s="278">
        <f t="shared" si="12"/>
        <v>76.143984</v>
      </c>
      <c r="W52" s="187">
        <f t="shared" ref="W52:X52" si="48">C52/100</f>
        <v>0.92</v>
      </c>
      <c r="X52" s="187">
        <f t="shared" si="48"/>
        <v>1.68</v>
      </c>
      <c r="Y52" s="187">
        <f t="shared" si="14"/>
        <v>1.67</v>
      </c>
      <c r="Z52" s="189">
        <f t="shared" si="15"/>
        <v>2.581152</v>
      </c>
      <c r="AA52" s="186"/>
      <c r="AB52" s="186"/>
      <c r="AC52" s="186"/>
      <c r="AD52" s="186"/>
      <c r="AE52" s="186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</row>
    <row r="53" ht="27.0" customHeight="1">
      <c r="A53" s="181">
        <v>23.0</v>
      </c>
      <c r="B53" s="191" t="s">
        <v>58</v>
      </c>
      <c r="C53" s="191">
        <v>92.0</v>
      </c>
      <c r="D53" s="191">
        <v>168.0</v>
      </c>
      <c r="E53" s="191">
        <v>167.0</v>
      </c>
      <c r="F53" s="191">
        <f t="shared" si="5"/>
        <v>0</v>
      </c>
      <c r="G53" s="191">
        <f t="shared" si="6"/>
        <v>76.143984</v>
      </c>
      <c r="H53" s="219">
        <f t="shared" si="7"/>
        <v>76.143984</v>
      </c>
      <c r="I53" s="218">
        <v>1.0</v>
      </c>
      <c r="J53" s="194">
        <f t="shared" si="8"/>
        <v>76.143984</v>
      </c>
      <c r="K53" s="139"/>
      <c r="L53" s="197"/>
      <c r="M53" s="198">
        <f t="shared" si="18"/>
        <v>1</v>
      </c>
      <c r="N53" s="198"/>
      <c r="O53" s="139"/>
      <c r="P53" s="139"/>
      <c r="Q53" s="176"/>
      <c r="R53" s="298">
        <v>29.5</v>
      </c>
      <c r="S53" s="187">
        <f t="shared" si="9"/>
        <v>1.67</v>
      </c>
      <c r="T53" s="181">
        <f t="shared" si="10"/>
        <v>1</v>
      </c>
      <c r="U53" s="181">
        <f t="shared" si="11"/>
        <v>1.67</v>
      </c>
      <c r="V53" s="278">
        <f t="shared" si="12"/>
        <v>76.143984</v>
      </c>
      <c r="W53" s="187">
        <f t="shared" ref="W53:X53" si="49">C53/100</f>
        <v>0.92</v>
      </c>
      <c r="X53" s="187">
        <f t="shared" si="49"/>
        <v>1.68</v>
      </c>
      <c r="Y53" s="187">
        <f t="shared" si="14"/>
        <v>1.67</v>
      </c>
      <c r="Z53" s="189">
        <f t="shared" si="15"/>
        <v>2.581152</v>
      </c>
      <c r="AA53" s="186"/>
      <c r="AB53" s="186"/>
      <c r="AC53" s="186"/>
      <c r="AD53" s="186"/>
      <c r="AE53" s="186"/>
      <c r="AF53" s="186"/>
      <c r="AG53" s="186"/>
      <c r="AH53" s="186"/>
      <c r="AI53" s="186"/>
      <c r="AJ53" s="186"/>
      <c r="AK53" s="186"/>
      <c r="AL53" s="186"/>
      <c r="AM53" s="186"/>
      <c r="AN53" s="186"/>
      <c r="AO53" s="186"/>
    </row>
    <row r="54" ht="27.0" customHeight="1">
      <c r="A54" s="181">
        <v>24.0</v>
      </c>
      <c r="B54" s="191" t="s">
        <v>58</v>
      </c>
      <c r="C54" s="191">
        <v>97.0</v>
      </c>
      <c r="D54" s="191">
        <v>168.0</v>
      </c>
      <c r="E54" s="191">
        <v>173.0</v>
      </c>
      <c r="F54" s="191">
        <f t="shared" si="5"/>
        <v>0</v>
      </c>
      <c r="G54" s="191">
        <f t="shared" si="6"/>
        <v>83.166636</v>
      </c>
      <c r="H54" s="219">
        <f t="shared" si="7"/>
        <v>83.166636</v>
      </c>
      <c r="I54" s="218">
        <v>1.0</v>
      </c>
      <c r="J54" s="194">
        <f t="shared" si="8"/>
        <v>83.166636</v>
      </c>
      <c r="K54" s="139"/>
      <c r="L54" s="197"/>
      <c r="M54" s="198">
        <f t="shared" si="18"/>
        <v>1</v>
      </c>
      <c r="N54" s="198"/>
      <c r="O54" s="139"/>
      <c r="P54" s="139"/>
      <c r="Q54" s="176"/>
      <c r="R54" s="298">
        <v>29.5</v>
      </c>
      <c r="S54" s="187">
        <f t="shared" si="9"/>
        <v>1.73</v>
      </c>
      <c r="T54" s="181">
        <f t="shared" si="10"/>
        <v>1</v>
      </c>
      <c r="U54" s="181">
        <f t="shared" si="11"/>
        <v>1.73</v>
      </c>
      <c r="V54" s="278">
        <f t="shared" si="12"/>
        <v>83.166636</v>
      </c>
      <c r="W54" s="187">
        <f t="shared" ref="W54:X54" si="50">C54/100</f>
        <v>0.97</v>
      </c>
      <c r="X54" s="187">
        <f t="shared" si="50"/>
        <v>1.68</v>
      </c>
      <c r="Y54" s="187">
        <f t="shared" si="14"/>
        <v>1.73</v>
      </c>
      <c r="Z54" s="189">
        <f t="shared" si="15"/>
        <v>2.819208</v>
      </c>
      <c r="AA54" s="186"/>
      <c r="AB54" s="186"/>
      <c r="AC54" s="186"/>
      <c r="AD54" s="186"/>
      <c r="AE54" s="186"/>
      <c r="AF54" s="186"/>
      <c r="AG54" s="186"/>
      <c r="AH54" s="186"/>
      <c r="AI54" s="186"/>
      <c r="AJ54" s="186"/>
      <c r="AK54" s="186"/>
      <c r="AL54" s="186"/>
      <c r="AM54" s="186"/>
      <c r="AN54" s="186"/>
      <c r="AO54" s="186"/>
    </row>
    <row r="55" ht="27.0" customHeight="1">
      <c r="A55" s="181">
        <v>25.0</v>
      </c>
      <c r="B55" s="191" t="s">
        <v>58</v>
      </c>
      <c r="C55" s="191">
        <v>97.0</v>
      </c>
      <c r="D55" s="191">
        <v>168.0</v>
      </c>
      <c r="E55" s="191">
        <v>180.0</v>
      </c>
      <c r="F55" s="191">
        <f t="shared" si="5"/>
        <v>0</v>
      </c>
      <c r="G55" s="191">
        <f t="shared" si="6"/>
        <v>86.53176</v>
      </c>
      <c r="H55" s="219">
        <f t="shared" si="7"/>
        <v>86.53176</v>
      </c>
      <c r="I55" s="218">
        <v>1.0</v>
      </c>
      <c r="J55" s="194">
        <f t="shared" si="8"/>
        <v>86.53176</v>
      </c>
      <c r="K55" s="139"/>
      <c r="L55" s="197"/>
      <c r="M55" s="198">
        <f t="shared" si="18"/>
        <v>1</v>
      </c>
      <c r="N55" s="198"/>
      <c r="O55" s="139"/>
      <c r="P55" s="139"/>
      <c r="Q55" s="176"/>
      <c r="R55" s="298">
        <v>29.5</v>
      </c>
      <c r="S55" s="187">
        <f t="shared" si="9"/>
        <v>1.8</v>
      </c>
      <c r="T55" s="181">
        <f t="shared" si="10"/>
        <v>1</v>
      </c>
      <c r="U55" s="181">
        <f t="shared" si="11"/>
        <v>1.8</v>
      </c>
      <c r="V55" s="278">
        <f t="shared" si="12"/>
        <v>86.53176</v>
      </c>
      <c r="W55" s="187">
        <f t="shared" ref="W55:X55" si="51">C55/100</f>
        <v>0.97</v>
      </c>
      <c r="X55" s="187">
        <f t="shared" si="51"/>
        <v>1.68</v>
      </c>
      <c r="Y55" s="187">
        <f t="shared" si="14"/>
        <v>1.8</v>
      </c>
      <c r="Z55" s="189">
        <f t="shared" si="15"/>
        <v>2.93328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</row>
    <row r="56" ht="27.0" customHeight="1">
      <c r="A56" s="181">
        <v>26.0</v>
      </c>
      <c r="B56" s="191" t="s">
        <v>58</v>
      </c>
      <c r="C56" s="191">
        <v>96.0</v>
      </c>
      <c r="D56" s="191">
        <v>168.0</v>
      </c>
      <c r="E56" s="191">
        <v>153.0</v>
      </c>
      <c r="F56" s="191">
        <f t="shared" si="5"/>
        <v>0</v>
      </c>
      <c r="G56" s="191">
        <f t="shared" si="6"/>
        <v>72.793728</v>
      </c>
      <c r="H56" s="219">
        <f t="shared" si="7"/>
        <v>72.793728</v>
      </c>
      <c r="I56" s="218">
        <v>3.0</v>
      </c>
      <c r="J56" s="194">
        <f t="shared" si="8"/>
        <v>218.381184</v>
      </c>
      <c r="K56" s="139"/>
      <c r="L56" s="197"/>
      <c r="M56" s="198">
        <f t="shared" si="18"/>
        <v>3</v>
      </c>
      <c r="N56" s="198"/>
      <c r="O56" s="139"/>
      <c r="P56" s="139"/>
      <c r="Q56" s="176"/>
      <c r="R56" s="298">
        <v>29.5</v>
      </c>
      <c r="S56" s="187">
        <f t="shared" si="9"/>
        <v>1.53</v>
      </c>
      <c r="T56" s="181">
        <f t="shared" si="10"/>
        <v>3</v>
      </c>
      <c r="U56" s="181">
        <f t="shared" si="11"/>
        <v>4.59</v>
      </c>
      <c r="V56" s="278">
        <f t="shared" si="12"/>
        <v>72.793728</v>
      </c>
      <c r="W56" s="187">
        <f t="shared" ref="W56:X56" si="52">C56/100</f>
        <v>0.96</v>
      </c>
      <c r="X56" s="187">
        <f t="shared" si="52"/>
        <v>1.68</v>
      </c>
      <c r="Y56" s="187">
        <f t="shared" si="14"/>
        <v>4.59</v>
      </c>
      <c r="Z56" s="189">
        <f t="shared" si="15"/>
        <v>7.402752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</row>
    <row r="57" ht="27.0" customHeight="1">
      <c r="A57" s="181">
        <v>27.0</v>
      </c>
      <c r="B57" s="191" t="s">
        <v>58</v>
      </c>
      <c r="C57" s="191">
        <v>96.0</v>
      </c>
      <c r="D57" s="191">
        <v>168.0</v>
      </c>
      <c r="E57" s="191">
        <v>168.0</v>
      </c>
      <c r="F57" s="191">
        <f t="shared" si="5"/>
        <v>0</v>
      </c>
      <c r="G57" s="191">
        <f t="shared" si="6"/>
        <v>79.930368</v>
      </c>
      <c r="H57" s="219">
        <f t="shared" si="7"/>
        <v>79.930368</v>
      </c>
      <c r="I57" s="218">
        <v>2.0</v>
      </c>
      <c r="J57" s="194">
        <f t="shared" si="8"/>
        <v>159.860736</v>
      </c>
      <c r="K57" s="139"/>
      <c r="L57" s="197"/>
      <c r="M57" s="198">
        <f t="shared" si="18"/>
        <v>2</v>
      </c>
      <c r="N57" s="198"/>
      <c r="O57" s="139"/>
      <c r="P57" s="139"/>
      <c r="Q57" s="176"/>
      <c r="R57" s="298">
        <v>29.5</v>
      </c>
      <c r="S57" s="187">
        <f t="shared" si="9"/>
        <v>1.68</v>
      </c>
      <c r="T57" s="181">
        <f t="shared" si="10"/>
        <v>2</v>
      </c>
      <c r="U57" s="181">
        <f t="shared" si="11"/>
        <v>3.36</v>
      </c>
      <c r="V57" s="278">
        <f t="shared" si="12"/>
        <v>79.930368</v>
      </c>
      <c r="W57" s="187">
        <f t="shared" ref="W57:X57" si="53">C57/100</f>
        <v>0.96</v>
      </c>
      <c r="X57" s="187">
        <f t="shared" si="53"/>
        <v>1.68</v>
      </c>
      <c r="Y57" s="187">
        <f t="shared" si="14"/>
        <v>3.36</v>
      </c>
      <c r="Z57" s="189">
        <f t="shared" si="15"/>
        <v>5.419008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</row>
    <row r="58" ht="27.0" customHeight="1">
      <c r="A58" s="181">
        <v>28.0</v>
      </c>
      <c r="B58" s="191" t="s">
        <v>58</v>
      </c>
      <c r="C58" s="191">
        <v>95.0</v>
      </c>
      <c r="D58" s="191">
        <v>168.0</v>
      </c>
      <c r="E58" s="191">
        <v>168.0</v>
      </c>
      <c r="F58" s="191">
        <f t="shared" si="5"/>
        <v>0</v>
      </c>
      <c r="G58" s="191">
        <f t="shared" si="6"/>
        <v>79.09776</v>
      </c>
      <c r="H58" s="219">
        <f t="shared" si="7"/>
        <v>79.09776</v>
      </c>
      <c r="I58" s="218">
        <v>1.0</v>
      </c>
      <c r="J58" s="194">
        <f t="shared" si="8"/>
        <v>79.09776</v>
      </c>
      <c r="K58" s="139"/>
      <c r="L58" s="197"/>
      <c r="M58" s="198">
        <f t="shared" si="18"/>
        <v>1</v>
      </c>
      <c r="N58" s="198"/>
      <c r="O58" s="139"/>
      <c r="P58" s="139"/>
      <c r="Q58" s="176"/>
      <c r="R58" s="298">
        <v>29.5</v>
      </c>
      <c r="S58" s="187">
        <f t="shared" si="9"/>
        <v>1.68</v>
      </c>
      <c r="T58" s="181">
        <f t="shared" si="10"/>
        <v>1</v>
      </c>
      <c r="U58" s="181">
        <f t="shared" si="11"/>
        <v>1.68</v>
      </c>
      <c r="V58" s="278">
        <f t="shared" si="12"/>
        <v>79.09776</v>
      </c>
      <c r="W58" s="187">
        <f t="shared" ref="W58:X58" si="54">C58/100</f>
        <v>0.95</v>
      </c>
      <c r="X58" s="187">
        <f t="shared" si="54"/>
        <v>1.68</v>
      </c>
      <c r="Y58" s="187">
        <f t="shared" si="14"/>
        <v>1.68</v>
      </c>
      <c r="Z58" s="189">
        <f t="shared" si="15"/>
        <v>2.68128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</row>
    <row r="59" ht="27.0" customHeight="1">
      <c r="A59" s="181">
        <v>29.0</v>
      </c>
      <c r="B59" s="191" t="s">
        <v>58</v>
      </c>
      <c r="C59" s="191">
        <v>96.0</v>
      </c>
      <c r="D59" s="191">
        <v>168.0</v>
      </c>
      <c r="E59" s="191">
        <v>180.0</v>
      </c>
      <c r="F59" s="191">
        <f t="shared" si="5"/>
        <v>0</v>
      </c>
      <c r="G59" s="191">
        <f t="shared" si="6"/>
        <v>85.63968</v>
      </c>
      <c r="H59" s="219">
        <f t="shared" si="7"/>
        <v>85.63968</v>
      </c>
      <c r="I59" s="218">
        <v>2.0</v>
      </c>
      <c r="J59" s="194">
        <f t="shared" si="8"/>
        <v>171.27936</v>
      </c>
      <c r="K59" s="139"/>
      <c r="L59" s="197"/>
      <c r="M59" s="198"/>
      <c r="N59" s="198"/>
      <c r="O59" s="139"/>
      <c r="P59" s="139"/>
      <c r="Q59" s="176"/>
      <c r="R59" s="298">
        <v>29.5</v>
      </c>
      <c r="S59" s="187">
        <f t="shared" si="9"/>
        <v>1.8</v>
      </c>
      <c r="T59" s="181">
        <f t="shared" si="10"/>
        <v>2</v>
      </c>
      <c r="U59" s="181">
        <f t="shared" si="11"/>
        <v>3.6</v>
      </c>
      <c r="V59" s="278">
        <f t="shared" si="12"/>
        <v>85.63968</v>
      </c>
      <c r="W59" s="187">
        <f t="shared" ref="W59:X59" si="55">C59/100</f>
        <v>0.96</v>
      </c>
      <c r="X59" s="187">
        <f t="shared" si="55"/>
        <v>1.68</v>
      </c>
      <c r="Y59" s="187">
        <f t="shared" si="14"/>
        <v>3.6</v>
      </c>
      <c r="Z59" s="189">
        <f t="shared" si="15"/>
        <v>5.80608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</row>
    <row r="60" ht="27.0" customHeight="1">
      <c r="A60" s="181">
        <v>30.0</v>
      </c>
      <c r="B60" s="191" t="s">
        <v>58</v>
      </c>
      <c r="C60" s="191">
        <v>95.0</v>
      </c>
      <c r="D60" s="191">
        <v>168.0</v>
      </c>
      <c r="E60" s="191">
        <v>180.0</v>
      </c>
      <c r="F60" s="191">
        <f t="shared" si="5"/>
        <v>0</v>
      </c>
      <c r="G60" s="191">
        <f t="shared" si="6"/>
        <v>84.7476</v>
      </c>
      <c r="H60" s="219">
        <f t="shared" si="7"/>
        <v>84.7476</v>
      </c>
      <c r="I60" s="218">
        <v>1.0</v>
      </c>
      <c r="J60" s="194">
        <f t="shared" si="8"/>
        <v>84.7476</v>
      </c>
      <c r="K60" s="139"/>
      <c r="L60" s="197"/>
      <c r="M60" s="198"/>
      <c r="N60" s="198"/>
      <c r="O60" s="139"/>
      <c r="P60" s="139"/>
      <c r="Q60" s="176"/>
      <c r="R60" s="298">
        <v>29.5</v>
      </c>
      <c r="S60" s="187">
        <f t="shared" si="9"/>
        <v>1.8</v>
      </c>
      <c r="T60" s="181">
        <f t="shared" si="10"/>
        <v>1</v>
      </c>
      <c r="U60" s="181">
        <f t="shared" si="11"/>
        <v>1.8</v>
      </c>
      <c r="V60" s="278">
        <f t="shared" si="12"/>
        <v>84.7476</v>
      </c>
      <c r="W60" s="187">
        <f t="shared" ref="W60:X60" si="56">C60/100</f>
        <v>0.95</v>
      </c>
      <c r="X60" s="187">
        <f t="shared" si="56"/>
        <v>1.68</v>
      </c>
      <c r="Y60" s="187">
        <f t="shared" si="14"/>
        <v>1.8</v>
      </c>
      <c r="Z60" s="189">
        <f t="shared" si="15"/>
        <v>2.8728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</row>
    <row r="61" ht="27.0" customHeight="1">
      <c r="A61" s="181">
        <v>31.0</v>
      </c>
      <c r="B61" s="191" t="s">
        <v>58</v>
      </c>
      <c r="C61" s="191">
        <v>95.0</v>
      </c>
      <c r="D61" s="191">
        <v>168.0</v>
      </c>
      <c r="E61" s="191">
        <v>153.0</v>
      </c>
      <c r="F61" s="191">
        <f t="shared" si="5"/>
        <v>0</v>
      </c>
      <c r="G61" s="191">
        <f t="shared" si="6"/>
        <v>72.03546</v>
      </c>
      <c r="H61" s="219">
        <f t="shared" si="7"/>
        <v>72.03546</v>
      </c>
      <c r="I61" s="218">
        <v>7.0</v>
      </c>
      <c r="J61" s="194">
        <f t="shared" si="8"/>
        <v>504.24822</v>
      </c>
      <c r="K61" s="139"/>
      <c r="L61" s="197"/>
      <c r="M61" s="198"/>
      <c r="N61" s="198"/>
      <c r="O61" s="139"/>
      <c r="P61" s="139"/>
      <c r="Q61" s="176"/>
      <c r="R61" s="298">
        <v>29.5</v>
      </c>
      <c r="S61" s="187">
        <f t="shared" si="9"/>
        <v>1.53</v>
      </c>
      <c r="T61" s="181">
        <f t="shared" si="10"/>
        <v>7</v>
      </c>
      <c r="U61" s="181">
        <f t="shared" si="11"/>
        <v>10.71</v>
      </c>
      <c r="V61" s="278">
        <f t="shared" si="12"/>
        <v>72.03546</v>
      </c>
      <c r="W61" s="187">
        <f t="shared" ref="W61:X61" si="57">C61/100</f>
        <v>0.95</v>
      </c>
      <c r="X61" s="187">
        <f t="shared" si="57"/>
        <v>1.68</v>
      </c>
      <c r="Y61" s="187">
        <f t="shared" si="14"/>
        <v>10.71</v>
      </c>
      <c r="Z61" s="189">
        <f t="shared" si="15"/>
        <v>17.09316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</row>
    <row r="62" ht="27.0" customHeight="1">
      <c r="A62" s="181">
        <v>32.0</v>
      </c>
      <c r="B62" s="191" t="s">
        <v>58</v>
      </c>
      <c r="C62" s="191">
        <v>98.0</v>
      </c>
      <c r="D62" s="191">
        <v>168.0</v>
      </c>
      <c r="E62" s="191">
        <v>167.0</v>
      </c>
      <c r="F62" s="191">
        <f t="shared" si="5"/>
        <v>0</v>
      </c>
      <c r="G62" s="191">
        <f t="shared" si="6"/>
        <v>81.109896</v>
      </c>
      <c r="H62" s="219">
        <f t="shared" si="7"/>
        <v>81.109896</v>
      </c>
      <c r="I62" s="218">
        <v>2.0</v>
      </c>
      <c r="J62" s="194">
        <f t="shared" si="8"/>
        <v>162.219792</v>
      </c>
      <c r="K62" s="139"/>
      <c r="L62" s="197"/>
      <c r="M62" s="198"/>
      <c r="N62" s="198"/>
      <c r="O62" s="139"/>
      <c r="P62" s="139"/>
      <c r="Q62" s="176"/>
      <c r="R62" s="298">
        <v>29.5</v>
      </c>
      <c r="S62" s="187">
        <f t="shared" si="9"/>
        <v>1.67</v>
      </c>
      <c r="T62" s="181">
        <f t="shared" si="10"/>
        <v>2</v>
      </c>
      <c r="U62" s="181">
        <f t="shared" si="11"/>
        <v>3.34</v>
      </c>
      <c r="V62" s="278">
        <f t="shared" si="12"/>
        <v>81.109896</v>
      </c>
      <c r="W62" s="187">
        <f t="shared" ref="W62:X62" si="58">C62/100</f>
        <v>0.98</v>
      </c>
      <c r="X62" s="187">
        <f t="shared" si="58"/>
        <v>1.68</v>
      </c>
      <c r="Y62" s="187">
        <f t="shared" si="14"/>
        <v>3.34</v>
      </c>
      <c r="Z62" s="189">
        <f t="shared" si="15"/>
        <v>5.498976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</row>
    <row r="63" ht="27.0" customHeight="1">
      <c r="A63" s="181">
        <v>33.0</v>
      </c>
      <c r="B63" s="191" t="s">
        <v>58</v>
      </c>
      <c r="C63" s="191">
        <v>97.0</v>
      </c>
      <c r="D63" s="191">
        <v>168.0</v>
      </c>
      <c r="E63" s="191">
        <v>168.0</v>
      </c>
      <c r="F63" s="191">
        <f t="shared" si="5"/>
        <v>0</v>
      </c>
      <c r="G63" s="191">
        <f t="shared" si="6"/>
        <v>80.762976</v>
      </c>
      <c r="H63" s="219">
        <f t="shared" si="7"/>
        <v>80.762976</v>
      </c>
      <c r="I63" s="218">
        <v>3.0</v>
      </c>
      <c r="J63" s="194">
        <f t="shared" si="8"/>
        <v>242.288928</v>
      </c>
      <c r="K63" s="139"/>
      <c r="L63" s="197"/>
      <c r="M63" s="198"/>
      <c r="N63" s="198"/>
      <c r="O63" s="139"/>
      <c r="P63" s="139"/>
      <c r="Q63" s="176"/>
      <c r="R63" s="141">
        <v>29.5</v>
      </c>
      <c r="S63" s="187">
        <f t="shared" si="9"/>
        <v>1.68</v>
      </c>
      <c r="T63" s="181">
        <f t="shared" si="10"/>
        <v>3</v>
      </c>
      <c r="U63" s="181">
        <f t="shared" si="11"/>
        <v>5.04</v>
      </c>
      <c r="V63" s="278">
        <f t="shared" si="12"/>
        <v>80.762976</v>
      </c>
      <c r="W63" s="187">
        <f t="shared" ref="W63:X63" si="59">C63/100</f>
        <v>0.97</v>
      </c>
      <c r="X63" s="187">
        <f t="shared" si="59"/>
        <v>1.68</v>
      </c>
      <c r="Y63" s="187">
        <f t="shared" si="14"/>
        <v>5.04</v>
      </c>
      <c r="Z63" s="189">
        <f t="shared" si="15"/>
        <v>8.213184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</row>
    <row r="64" ht="27.0" customHeight="1">
      <c r="A64" s="181">
        <v>34.0</v>
      </c>
      <c r="B64" s="191" t="s">
        <v>58</v>
      </c>
      <c r="C64" s="191">
        <v>95.0</v>
      </c>
      <c r="D64" s="191">
        <v>168.0</v>
      </c>
      <c r="E64" s="191">
        <v>152.0</v>
      </c>
      <c r="F64" s="191">
        <f t="shared" si="5"/>
        <v>0</v>
      </c>
      <c r="G64" s="191">
        <f t="shared" si="6"/>
        <v>71.56464</v>
      </c>
      <c r="H64" s="219">
        <f t="shared" si="7"/>
        <v>71.56464</v>
      </c>
      <c r="I64" s="218">
        <v>1.0</v>
      </c>
      <c r="J64" s="194">
        <f t="shared" si="8"/>
        <v>71.56464</v>
      </c>
      <c r="K64" s="139"/>
      <c r="L64" s="197"/>
      <c r="M64" s="198"/>
      <c r="N64" s="198"/>
      <c r="O64" s="139"/>
      <c r="P64" s="139"/>
      <c r="Q64" s="176"/>
      <c r="R64" s="141">
        <v>29.5</v>
      </c>
      <c r="S64" s="187">
        <f t="shared" si="9"/>
        <v>1.52</v>
      </c>
      <c r="T64" s="181">
        <f t="shared" si="10"/>
        <v>1</v>
      </c>
      <c r="U64" s="181">
        <f t="shared" si="11"/>
        <v>1.52</v>
      </c>
      <c r="V64" s="278">
        <f t="shared" si="12"/>
        <v>71.56464</v>
      </c>
      <c r="W64" s="187">
        <f t="shared" ref="W64:X64" si="60">C64/100</f>
        <v>0.95</v>
      </c>
      <c r="X64" s="187">
        <f t="shared" si="60"/>
        <v>1.68</v>
      </c>
      <c r="Y64" s="187">
        <f t="shared" si="14"/>
        <v>1.52</v>
      </c>
      <c r="Z64" s="189">
        <f t="shared" si="15"/>
        <v>2.42592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</row>
    <row r="65" ht="27.0" customHeight="1">
      <c r="A65" s="181">
        <v>35.0</v>
      </c>
      <c r="B65" s="191" t="s">
        <v>58</v>
      </c>
      <c r="C65" s="191">
        <v>94.0</v>
      </c>
      <c r="D65" s="191">
        <v>168.0</v>
      </c>
      <c r="E65" s="191">
        <v>153.0</v>
      </c>
      <c r="F65" s="191">
        <f t="shared" si="5"/>
        <v>0</v>
      </c>
      <c r="G65" s="191">
        <f t="shared" si="6"/>
        <v>71.277192</v>
      </c>
      <c r="H65" s="219">
        <f t="shared" si="7"/>
        <v>71.277192</v>
      </c>
      <c r="I65" s="218">
        <v>2.0</v>
      </c>
      <c r="J65" s="194">
        <f t="shared" si="8"/>
        <v>142.554384</v>
      </c>
      <c r="K65" s="139"/>
      <c r="L65" s="197"/>
      <c r="M65" s="198"/>
      <c r="N65" s="198"/>
      <c r="O65" s="139"/>
      <c r="P65" s="139"/>
      <c r="Q65" s="176"/>
      <c r="R65" s="141">
        <v>29.5</v>
      </c>
      <c r="S65" s="187">
        <f t="shared" si="9"/>
        <v>1.53</v>
      </c>
      <c r="T65" s="181">
        <f t="shared" si="10"/>
        <v>2</v>
      </c>
      <c r="U65" s="181">
        <f t="shared" si="11"/>
        <v>3.06</v>
      </c>
      <c r="V65" s="278">
        <f t="shared" si="12"/>
        <v>71.277192</v>
      </c>
      <c r="W65" s="187">
        <f t="shared" ref="W65:X65" si="61">C65/100</f>
        <v>0.94</v>
      </c>
      <c r="X65" s="187">
        <f t="shared" si="61"/>
        <v>1.68</v>
      </c>
      <c r="Y65" s="187">
        <f t="shared" si="14"/>
        <v>3.06</v>
      </c>
      <c r="Z65" s="189">
        <f t="shared" si="15"/>
        <v>4.832352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</row>
    <row r="66" ht="27.0" customHeight="1">
      <c r="A66" s="181">
        <v>36.0</v>
      </c>
      <c r="B66" s="191" t="s">
        <v>58</v>
      </c>
      <c r="C66" s="191">
        <v>97.0</v>
      </c>
      <c r="D66" s="191">
        <v>168.0</v>
      </c>
      <c r="E66" s="191">
        <v>154.0</v>
      </c>
      <c r="F66" s="191">
        <f t="shared" si="5"/>
        <v>0</v>
      </c>
      <c r="G66" s="191">
        <f t="shared" si="6"/>
        <v>74.032728</v>
      </c>
      <c r="H66" s="219">
        <f t="shared" si="7"/>
        <v>74.032728</v>
      </c>
      <c r="I66" s="218">
        <v>1.0</v>
      </c>
      <c r="J66" s="194">
        <f t="shared" si="8"/>
        <v>74.032728</v>
      </c>
      <c r="K66" s="139"/>
      <c r="L66" s="197"/>
      <c r="M66" s="198"/>
      <c r="N66" s="198"/>
      <c r="O66" s="139"/>
      <c r="P66" s="139"/>
      <c r="Q66" s="176"/>
      <c r="R66" s="141">
        <v>29.5</v>
      </c>
      <c r="S66" s="187">
        <f t="shared" si="9"/>
        <v>1.54</v>
      </c>
      <c r="T66" s="181">
        <f t="shared" si="10"/>
        <v>1</v>
      </c>
      <c r="U66" s="181">
        <f t="shared" si="11"/>
        <v>1.54</v>
      </c>
      <c r="V66" s="278">
        <f t="shared" si="12"/>
        <v>74.032728</v>
      </c>
      <c r="W66" s="187">
        <f t="shared" ref="W66:X66" si="62">C66/100</f>
        <v>0.97</v>
      </c>
      <c r="X66" s="187">
        <f t="shared" si="62"/>
        <v>1.68</v>
      </c>
      <c r="Y66" s="187">
        <f t="shared" si="14"/>
        <v>1.54</v>
      </c>
      <c r="Z66" s="189">
        <f t="shared" si="15"/>
        <v>2.509584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</row>
    <row r="67" ht="27.0" customHeight="1">
      <c r="A67" s="181">
        <v>37.0</v>
      </c>
      <c r="B67" s="191" t="s">
        <v>58</v>
      </c>
      <c r="C67" s="191">
        <v>101.0</v>
      </c>
      <c r="D67" s="191">
        <v>168.0</v>
      </c>
      <c r="E67" s="191">
        <v>168.0</v>
      </c>
      <c r="F67" s="191">
        <f t="shared" si="5"/>
        <v>0</v>
      </c>
      <c r="G67" s="191">
        <f t="shared" si="6"/>
        <v>84.093408</v>
      </c>
      <c r="H67" s="219">
        <f t="shared" si="7"/>
        <v>84.093408</v>
      </c>
      <c r="I67" s="218">
        <v>1.0</v>
      </c>
      <c r="J67" s="194">
        <f t="shared" si="8"/>
        <v>84.093408</v>
      </c>
      <c r="K67" s="139"/>
      <c r="L67" s="197"/>
      <c r="M67" s="198"/>
      <c r="N67" s="198"/>
      <c r="O67" s="139"/>
      <c r="P67" s="139"/>
      <c r="Q67" s="176"/>
      <c r="R67" s="141">
        <v>29.5</v>
      </c>
      <c r="S67" s="187">
        <f t="shared" si="9"/>
        <v>1.68</v>
      </c>
      <c r="T67" s="181">
        <f t="shared" si="10"/>
        <v>1</v>
      </c>
      <c r="U67" s="181">
        <f t="shared" si="11"/>
        <v>1.68</v>
      </c>
      <c r="V67" s="278">
        <f t="shared" si="12"/>
        <v>84.093408</v>
      </c>
      <c r="W67" s="187">
        <f t="shared" ref="W67:X67" si="63">C67/100</f>
        <v>1.01</v>
      </c>
      <c r="X67" s="187">
        <f t="shared" si="63"/>
        <v>1.68</v>
      </c>
      <c r="Y67" s="187">
        <f t="shared" si="14"/>
        <v>1.68</v>
      </c>
      <c r="Z67" s="189">
        <f t="shared" si="15"/>
        <v>2.850624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</row>
    <row r="68" ht="27.0" customHeight="1">
      <c r="A68" s="181">
        <v>38.0</v>
      </c>
      <c r="B68" s="191" t="s">
        <v>58</v>
      </c>
      <c r="C68" s="191">
        <v>99.0</v>
      </c>
      <c r="D68" s="191">
        <v>168.0</v>
      </c>
      <c r="E68" s="191">
        <v>180.0</v>
      </c>
      <c r="F68" s="191">
        <f t="shared" si="5"/>
        <v>0</v>
      </c>
      <c r="G68" s="191">
        <f t="shared" si="6"/>
        <v>88.31592</v>
      </c>
      <c r="H68" s="219">
        <f t="shared" si="7"/>
        <v>88.31592</v>
      </c>
      <c r="I68" s="218">
        <v>2.0</v>
      </c>
      <c r="J68" s="194">
        <f t="shared" si="8"/>
        <v>176.63184</v>
      </c>
      <c r="K68" s="139"/>
      <c r="L68" s="197"/>
      <c r="M68" s="198"/>
      <c r="N68" s="198"/>
      <c r="O68" s="139"/>
      <c r="P68" s="139"/>
      <c r="Q68" s="176"/>
      <c r="R68" s="141">
        <v>29.5</v>
      </c>
      <c r="S68" s="187">
        <f t="shared" si="9"/>
        <v>1.8</v>
      </c>
      <c r="T68" s="181">
        <f t="shared" si="10"/>
        <v>2</v>
      </c>
      <c r="U68" s="181">
        <f t="shared" si="11"/>
        <v>3.6</v>
      </c>
      <c r="V68" s="278">
        <f t="shared" si="12"/>
        <v>88.31592</v>
      </c>
      <c r="W68" s="187">
        <f t="shared" ref="W68:X68" si="64">C68/100</f>
        <v>0.99</v>
      </c>
      <c r="X68" s="187">
        <f t="shared" si="64"/>
        <v>1.68</v>
      </c>
      <c r="Y68" s="187">
        <f t="shared" si="14"/>
        <v>3.6</v>
      </c>
      <c r="Z68" s="189">
        <f t="shared" si="15"/>
        <v>5.98752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</row>
    <row r="69" ht="27.0" customHeight="1">
      <c r="A69" s="181">
        <v>39.0</v>
      </c>
      <c r="B69" s="191" t="s">
        <v>58</v>
      </c>
      <c r="C69" s="191">
        <v>93.0</v>
      </c>
      <c r="D69" s="191">
        <v>168.0</v>
      </c>
      <c r="E69" s="191">
        <v>168.0</v>
      </c>
      <c r="F69" s="191">
        <f t="shared" si="5"/>
        <v>0</v>
      </c>
      <c r="G69" s="191">
        <f t="shared" si="6"/>
        <v>77.432544</v>
      </c>
      <c r="H69" s="219">
        <f t="shared" si="7"/>
        <v>77.432544</v>
      </c>
      <c r="I69" s="218">
        <v>1.0</v>
      </c>
      <c r="J69" s="194">
        <f t="shared" si="8"/>
        <v>77.432544</v>
      </c>
      <c r="K69" s="139"/>
      <c r="L69" s="197"/>
      <c r="M69" s="198"/>
      <c r="N69" s="198"/>
      <c r="O69" s="139"/>
      <c r="P69" s="139"/>
      <c r="Q69" s="176"/>
      <c r="R69" s="141">
        <v>29.5</v>
      </c>
      <c r="S69" s="187">
        <f t="shared" si="9"/>
        <v>1.68</v>
      </c>
      <c r="T69" s="181">
        <f t="shared" si="10"/>
        <v>1</v>
      </c>
      <c r="U69" s="181">
        <f t="shared" si="11"/>
        <v>1.68</v>
      </c>
      <c r="V69" s="278">
        <f t="shared" si="12"/>
        <v>77.432544</v>
      </c>
      <c r="W69" s="187">
        <f t="shared" ref="W69:X69" si="65">C69/100</f>
        <v>0.93</v>
      </c>
      <c r="X69" s="187">
        <f t="shared" si="65"/>
        <v>1.68</v>
      </c>
      <c r="Y69" s="187">
        <f t="shared" si="14"/>
        <v>1.68</v>
      </c>
      <c r="Z69" s="189">
        <f t="shared" si="15"/>
        <v>2.624832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</row>
    <row r="70" ht="27.0" customHeight="1">
      <c r="A70" s="181">
        <v>40.0</v>
      </c>
      <c r="B70" s="191" t="s">
        <v>58</v>
      </c>
      <c r="C70" s="191">
        <v>97.0</v>
      </c>
      <c r="D70" s="191">
        <v>168.0</v>
      </c>
      <c r="E70" s="191">
        <v>167.0</v>
      </c>
      <c r="F70" s="191">
        <f t="shared" si="5"/>
        <v>0</v>
      </c>
      <c r="G70" s="191">
        <f t="shared" si="6"/>
        <v>80.282244</v>
      </c>
      <c r="H70" s="219">
        <f t="shared" si="7"/>
        <v>80.282244</v>
      </c>
      <c r="I70" s="218">
        <v>2.0</v>
      </c>
      <c r="J70" s="194">
        <f t="shared" si="8"/>
        <v>160.564488</v>
      </c>
      <c r="K70" s="139"/>
      <c r="L70" s="197"/>
      <c r="M70" s="198"/>
      <c r="N70" s="198"/>
      <c r="O70" s="139"/>
      <c r="P70" s="139"/>
      <c r="Q70" s="176"/>
      <c r="R70" s="141">
        <v>29.5</v>
      </c>
      <c r="S70" s="187">
        <f t="shared" si="9"/>
        <v>1.67</v>
      </c>
      <c r="T70" s="181">
        <f t="shared" si="10"/>
        <v>2</v>
      </c>
      <c r="U70" s="181">
        <f t="shared" si="11"/>
        <v>3.34</v>
      </c>
      <c r="V70" s="278">
        <f t="shared" si="12"/>
        <v>80.282244</v>
      </c>
      <c r="W70" s="187">
        <f t="shared" ref="W70:X70" si="66">C70/100</f>
        <v>0.97</v>
      </c>
      <c r="X70" s="187">
        <f t="shared" si="66"/>
        <v>1.68</v>
      </c>
      <c r="Y70" s="187">
        <f t="shared" si="14"/>
        <v>3.34</v>
      </c>
      <c r="Z70" s="189">
        <f t="shared" si="15"/>
        <v>5.442864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</row>
    <row r="71" ht="27.0" customHeight="1">
      <c r="A71" s="181">
        <v>41.0</v>
      </c>
      <c r="B71" s="191" t="s">
        <v>58</v>
      </c>
      <c r="C71" s="191">
        <v>98.0</v>
      </c>
      <c r="D71" s="191">
        <v>168.0</v>
      </c>
      <c r="E71" s="191">
        <v>168.0</v>
      </c>
      <c r="F71" s="191">
        <f t="shared" si="5"/>
        <v>0</v>
      </c>
      <c r="G71" s="191">
        <f t="shared" si="6"/>
        <v>81.595584</v>
      </c>
      <c r="H71" s="219">
        <f t="shared" si="7"/>
        <v>81.595584</v>
      </c>
      <c r="I71" s="218">
        <v>1.0</v>
      </c>
      <c r="J71" s="194">
        <f t="shared" si="8"/>
        <v>81.595584</v>
      </c>
      <c r="K71" s="139"/>
      <c r="L71" s="197"/>
      <c r="M71" s="198"/>
      <c r="N71" s="198"/>
      <c r="O71" s="139"/>
      <c r="P71" s="139"/>
      <c r="Q71" s="176"/>
      <c r="R71" s="141">
        <v>29.5</v>
      </c>
      <c r="S71" s="187">
        <f t="shared" si="9"/>
        <v>1.68</v>
      </c>
      <c r="T71" s="181">
        <f t="shared" si="10"/>
        <v>1</v>
      </c>
      <c r="U71" s="181">
        <f t="shared" si="11"/>
        <v>1.68</v>
      </c>
      <c r="V71" s="278">
        <f t="shared" si="12"/>
        <v>81.595584</v>
      </c>
      <c r="W71" s="187">
        <f t="shared" ref="W71:X71" si="67">C71/100</f>
        <v>0.98</v>
      </c>
      <c r="X71" s="187">
        <f t="shared" si="67"/>
        <v>1.68</v>
      </c>
      <c r="Y71" s="187">
        <f t="shared" si="14"/>
        <v>1.68</v>
      </c>
      <c r="Z71" s="189">
        <f t="shared" si="15"/>
        <v>2.765952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</row>
    <row r="72" ht="27.0" customHeight="1">
      <c r="A72" s="181">
        <v>42.0</v>
      </c>
      <c r="B72" s="191" t="s">
        <v>58</v>
      </c>
      <c r="C72" s="191">
        <v>78.0</v>
      </c>
      <c r="D72" s="191">
        <v>168.0</v>
      </c>
      <c r="E72" s="191">
        <v>183.0</v>
      </c>
      <c r="F72" s="191">
        <f t="shared" si="5"/>
        <v>0</v>
      </c>
      <c r="G72" s="191">
        <f t="shared" si="6"/>
        <v>70.741944</v>
      </c>
      <c r="H72" s="219">
        <f t="shared" si="7"/>
        <v>70.741944</v>
      </c>
      <c r="I72" s="218">
        <v>2.0</v>
      </c>
      <c r="J72" s="194">
        <f t="shared" si="8"/>
        <v>141.483888</v>
      </c>
      <c r="K72" s="139"/>
      <c r="L72" s="197"/>
      <c r="M72" s="198"/>
      <c r="N72" s="198"/>
      <c r="O72" s="139"/>
      <c r="P72" s="139"/>
      <c r="Q72" s="176"/>
      <c r="R72" s="141">
        <v>29.5</v>
      </c>
      <c r="S72" s="187">
        <f t="shared" si="9"/>
        <v>1.83</v>
      </c>
      <c r="T72" s="181">
        <f t="shared" si="10"/>
        <v>2</v>
      </c>
      <c r="U72" s="181">
        <f t="shared" si="11"/>
        <v>3.66</v>
      </c>
      <c r="V72" s="278">
        <f t="shared" si="12"/>
        <v>70.741944</v>
      </c>
      <c r="W72" s="187">
        <f t="shared" ref="W72:X72" si="68">C72/100</f>
        <v>0.78</v>
      </c>
      <c r="X72" s="187">
        <f t="shared" si="68"/>
        <v>1.68</v>
      </c>
      <c r="Y72" s="187">
        <f t="shared" si="14"/>
        <v>3.66</v>
      </c>
      <c r="Z72" s="189">
        <f t="shared" si="15"/>
        <v>4.796064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</row>
    <row r="73" ht="27.0" customHeight="1">
      <c r="A73" s="181">
        <v>43.0</v>
      </c>
      <c r="B73" s="191" t="s">
        <v>58</v>
      </c>
      <c r="C73" s="191">
        <v>92.0</v>
      </c>
      <c r="D73" s="191">
        <v>168.0</v>
      </c>
      <c r="E73" s="191">
        <v>168.0</v>
      </c>
      <c r="F73" s="191">
        <f t="shared" si="5"/>
        <v>0</v>
      </c>
      <c r="G73" s="191">
        <f t="shared" si="6"/>
        <v>76.599936</v>
      </c>
      <c r="H73" s="219">
        <f t="shared" si="7"/>
        <v>76.599936</v>
      </c>
      <c r="I73" s="218">
        <v>2.0</v>
      </c>
      <c r="J73" s="194">
        <f t="shared" si="8"/>
        <v>153.199872</v>
      </c>
      <c r="K73" s="139"/>
      <c r="L73" s="197"/>
      <c r="M73" s="198"/>
      <c r="N73" s="198"/>
      <c r="O73" s="139"/>
      <c r="P73" s="139"/>
      <c r="Q73" s="176"/>
      <c r="R73" s="141">
        <v>29.5</v>
      </c>
      <c r="S73" s="187">
        <f t="shared" si="9"/>
        <v>1.68</v>
      </c>
      <c r="T73" s="181">
        <f t="shared" si="10"/>
        <v>2</v>
      </c>
      <c r="U73" s="181">
        <f t="shared" si="11"/>
        <v>3.36</v>
      </c>
      <c r="V73" s="278">
        <f t="shared" si="12"/>
        <v>76.599936</v>
      </c>
      <c r="W73" s="187">
        <f t="shared" ref="W73:X73" si="69">C73/100</f>
        <v>0.92</v>
      </c>
      <c r="X73" s="187">
        <f t="shared" si="69"/>
        <v>1.68</v>
      </c>
      <c r="Y73" s="187">
        <f t="shared" si="14"/>
        <v>3.36</v>
      </c>
      <c r="Z73" s="189">
        <f t="shared" si="15"/>
        <v>5.193216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</row>
    <row r="74" ht="27.0" customHeight="1">
      <c r="A74" s="181">
        <v>44.0</v>
      </c>
      <c r="B74" s="191" t="s">
        <v>58</v>
      </c>
      <c r="C74" s="191">
        <v>94.0</v>
      </c>
      <c r="D74" s="191">
        <v>168.0</v>
      </c>
      <c r="E74" s="191">
        <v>168.0</v>
      </c>
      <c r="F74" s="191">
        <f t="shared" si="5"/>
        <v>0</v>
      </c>
      <c r="G74" s="191">
        <f t="shared" si="6"/>
        <v>78.265152</v>
      </c>
      <c r="H74" s="219">
        <f t="shared" si="7"/>
        <v>78.265152</v>
      </c>
      <c r="I74" s="218">
        <v>1.0</v>
      </c>
      <c r="J74" s="194">
        <f t="shared" si="8"/>
        <v>78.265152</v>
      </c>
      <c r="K74" s="139"/>
      <c r="L74" s="197"/>
      <c r="M74" s="198"/>
      <c r="N74" s="198"/>
      <c r="O74" s="139"/>
      <c r="P74" s="139"/>
      <c r="Q74" s="176"/>
      <c r="R74" s="141">
        <v>29.5</v>
      </c>
      <c r="S74" s="187">
        <f t="shared" si="9"/>
        <v>1.68</v>
      </c>
      <c r="T74" s="181">
        <f t="shared" si="10"/>
        <v>1</v>
      </c>
      <c r="U74" s="181">
        <f t="shared" si="11"/>
        <v>1.68</v>
      </c>
      <c r="V74" s="278">
        <f t="shared" si="12"/>
        <v>78.265152</v>
      </c>
      <c r="W74" s="187">
        <f t="shared" ref="W74:X74" si="70">C74/100</f>
        <v>0.94</v>
      </c>
      <c r="X74" s="187">
        <f t="shared" si="70"/>
        <v>1.68</v>
      </c>
      <c r="Y74" s="187">
        <f t="shared" si="14"/>
        <v>1.68</v>
      </c>
      <c r="Z74" s="189">
        <f t="shared" si="15"/>
        <v>2.653056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</row>
    <row r="75" ht="27.0" customHeight="1">
      <c r="A75" s="181">
        <v>45.0</v>
      </c>
      <c r="B75" s="191" t="s">
        <v>58</v>
      </c>
      <c r="C75" s="191">
        <v>92.0</v>
      </c>
      <c r="D75" s="191">
        <v>168.0</v>
      </c>
      <c r="E75" s="191">
        <v>104.0</v>
      </c>
      <c r="F75" s="191">
        <f t="shared" si="5"/>
        <v>0</v>
      </c>
      <c r="G75" s="191">
        <f t="shared" si="6"/>
        <v>47.419008</v>
      </c>
      <c r="H75" s="219">
        <f t="shared" si="7"/>
        <v>47.419008</v>
      </c>
      <c r="I75" s="218">
        <v>1.0</v>
      </c>
      <c r="J75" s="194">
        <f t="shared" si="8"/>
        <v>47.419008</v>
      </c>
      <c r="K75" s="139"/>
      <c r="L75" s="197"/>
      <c r="M75" s="198"/>
      <c r="N75" s="198"/>
      <c r="O75" s="139"/>
      <c r="P75" s="139"/>
      <c r="Q75" s="176"/>
      <c r="R75" s="141">
        <v>29.5</v>
      </c>
      <c r="S75" s="187">
        <f t="shared" si="9"/>
        <v>1.04</v>
      </c>
      <c r="T75" s="181">
        <f t="shared" si="10"/>
        <v>1</v>
      </c>
      <c r="U75" s="181">
        <f t="shared" si="11"/>
        <v>1.04</v>
      </c>
      <c r="V75" s="278">
        <f t="shared" si="12"/>
        <v>47.419008</v>
      </c>
      <c r="W75" s="187">
        <f t="shared" ref="W75:X75" si="71">C75/100</f>
        <v>0.92</v>
      </c>
      <c r="X75" s="187">
        <f t="shared" si="71"/>
        <v>1.68</v>
      </c>
      <c r="Y75" s="187">
        <f t="shared" si="14"/>
        <v>1.04</v>
      </c>
      <c r="Z75" s="189">
        <f t="shared" si="15"/>
        <v>1.607424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</row>
    <row r="76" ht="27.0" customHeight="1">
      <c r="A76" s="181">
        <v>46.0</v>
      </c>
      <c r="B76" s="182" t="s">
        <v>166</v>
      </c>
      <c r="C76" s="183">
        <v>82.0</v>
      </c>
      <c r="D76" s="183">
        <v>205.0</v>
      </c>
      <c r="E76" s="183">
        <v>216.0</v>
      </c>
      <c r="F76" s="183">
        <f t="shared" si="5"/>
        <v>0.8</v>
      </c>
      <c r="G76" s="183">
        <f t="shared" si="6"/>
        <v>81.6966</v>
      </c>
      <c r="H76" s="184">
        <f t="shared" si="7"/>
        <v>65.35728</v>
      </c>
      <c r="I76" s="183">
        <v>1.0</v>
      </c>
      <c r="J76" s="185">
        <f t="shared" si="8"/>
        <v>65.35728</v>
      </c>
      <c r="K76" s="139"/>
      <c r="L76" s="197"/>
      <c r="M76" s="198"/>
      <c r="N76" s="198"/>
      <c r="O76" s="139"/>
      <c r="P76" s="139"/>
      <c r="Q76" s="176"/>
      <c r="R76" s="141">
        <v>22.5</v>
      </c>
      <c r="S76" s="187">
        <f t="shared" si="9"/>
        <v>2.16</v>
      </c>
      <c r="T76" s="181">
        <f t="shared" si="10"/>
        <v>1</v>
      </c>
      <c r="U76" s="181">
        <f t="shared" si="11"/>
        <v>2.16</v>
      </c>
      <c r="V76" s="278">
        <f t="shared" si="12"/>
        <v>81.6966</v>
      </c>
      <c r="W76" s="187">
        <f t="shared" ref="W76:X76" si="72">C76/100</f>
        <v>0.82</v>
      </c>
      <c r="X76" s="187">
        <f t="shared" si="72"/>
        <v>2.05</v>
      </c>
      <c r="Y76" s="187">
        <f t="shared" si="14"/>
        <v>2.16</v>
      </c>
      <c r="Z76" s="189">
        <f t="shared" si="15"/>
        <v>3.63096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</row>
    <row r="77" ht="27.0" customHeight="1">
      <c r="A77" s="181">
        <v>47.0</v>
      </c>
      <c r="B77" s="191" t="s">
        <v>158</v>
      </c>
      <c r="C77" s="191">
        <v>97.0</v>
      </c>
      <c r="D77" s="191">
        <v>205.0</v>
      </c>
      <c r="E77" s="191">
        <v>204.0</v>
      </c>
      <c r="F77" s="191">
        <f t="shared" si="5"/>
        <v>0</v>
      </c>
      <c r="G77" s="191">
        <f t="shared" si="6"/>
        <v>91.27215</v>
      </c>
      <c r="H77" s="219">
        <f t="shared" si="7"/>
        <v>91.27215</v>
      </c>
      <c r="I77" s="218">
        <v>1.0</v>
      </c>
      <c r="J77" s="194">
        <f t="shared" si="8"/>
        <v>91.27215</v>
      </c>
      <c r="K77" s="139"/>
      <c r="L77" s="197"/>
      <c r="M77" s="198"/>
      <c r="N77" s="198"/>
      <c r="O77" s="139"/>
      <c r="P77" s="139"/>
      <c r="Q77" s="176" t="s">
        <v>167</v>
      </c>
      <c r="R77" s="141">
        <v>22.5</v>
      </c>
      <c r="S77" s="187">
        <f t="shared" si="9"/>
        <v>2.04</v>
      </c>
      <c r="T77" s="181">
        <f t="shared" si="10"/>
        <v>1</v>
      </c>
      <c r="U77" s="181">
        <f t="shared" si="11"/>
        <v>2.04</v>
      </c>
      <c r="V77" s="278">
        <f t="shared" si="12"/>
        <v>91.27215</v>
      </c>
      <c r="W77" s="187">
        <f t="shared" ref="W77:X77" si="73">C77/100</f>
        <v>0.97</v>
      </c>
      <c r="X77" s="187">
        <f t="shared" si="73"/>
        <v>2.05</v>
      </c>
      <c r="Y77" s="187">
        <f t="shared" si="14"/>
        <v>2.04</v>
      </c>
      <c r="Z77" s="189">
        <f t="shared" si="15"/>
        <v>4.05654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</row>
    <row r="78" ht="27.0" customHeight="1">
      <c r="A78" s="181">
        <v>48.0</v>
      </c>
      <c r="B78" s="191" t="s">
        <v>158</v>
      </c>
      <c r="C78" s="191">
        <v>100.0</v>
      </c>
      <c r="D78" s="191">
        <v>205.0</v>
      </c>
      <c r="E78" s="191">
        <v>201.0</v>
      </c>
      <c r="F78" s="191">
        <f t="shared" si="5"/>
        <v>0</v>
      </c>
      <c r="G78" s="191">
        <f t="shared" si="6"/>
        <v>92.71125</v>
      </c>
      <c r="H78" s="219">
        <f t="shared" si="7"/>
        <v>92.71125</v>
      </c>
      <c r="I78" s="218">
        <v>1.0</v>
      </c>
      <c r="J78" s="194">
        <f t="shared" si="8"/>
        <v>92.71125</v>
      </c>
      <c r="K78" s="139"/>
      <c r="L78" s="197"/>
      <c r="M78" s="198"/>
      <c r="N78" s="198"/>
      <c r="O78" s="139"/>
      <c r="P78" s="139"/>
      <c r="Q78" s="176" t="s">
        <v>168</v>
      </c>
      <c r="R78" s="141">
        <v>22.5</v>
      </c>
      <c r="S78" s="187">
        <f t="shared" si="9"/>
        <v>2.01</v>
      </c>
      <c r="T78" s="181">
        <f t="shared" si="10"/>
        <v>1</v>
      </c>
      <c r="U78" s="181">
        <f t="shared" si="11"/>
        <v>2.01</v>
      </c>
      <c r="V78" s="278">
        <f t="shared" si="12"/>
        <v>92.71125</v>
      </c>
      <c r="W78" s="187">
        <f t="shared" ref="W78:X78" si="74">C78/100</f>
        <v>1</v>
      </c>
      <c r="X78" s="187">
        <f t="shared" si="74"/>
        <v>2.05</v>
      </c>
      <c r="Y78" s="187">
        <f t="shared" si="14"/>
        <v>2.01</v>
      </c>
      <c r="Z78" s="189">
        <f t="shared" si="15"/>
        <v>4.1205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</row>
    <row r="79" ht="27.0" customHeight="1">
      <c r="A79" s="181">
        <v>49.0</v>
      </c>
      <c r="B79" s="191" t="s">
        <v>158</v>
      </c>
      <c r="C79" s="191">
        <v>89.0</v>
      </c>
      <c r="D79" s="191">
        <v>205.0</v>
      </c>
      <c r="E79" s="191">
        <v>145.0</v>
      </c>
      <c r="F79" s="191">
        <f t="shared" si="5"/>
        <v>0</v>
      </c>
      <c r="G79" s="191">
        <f t="shared" si="6"/>
        <v>59.5243125</v>
      </c>
      <c r="H79" s="219">
        <f t="shared" si="7"/>
        <v>59.5243125</v>
      </c>
      <c r="I79" s="218">
        <v>1.0</v>
      </c>
      <c r="J79" s="194">
        <f t="shared" si="8"/>
        <v>59.5243125</v>
      </c>
      <c r="K79" s="139"/>
      <c r="L79" s="197"/>
      <c r="M79" s="198"/>
      <c r="N79" s="198"/>
      <c r="O79" s="139"/>
      <c r="P79" s="139"/>
      <c r="Q79" s="176"/>
      <c r="R79" s="141">
        <v>22.5</v>
      </c>
      <c r="S79" s="187">
        <f t="shared" si="9"/>
        <v>1.45</v>
      </c>
      <c r="T79" s="181">
        <f t="shared" si="10"/>
        <v>1</v>
      </c>
      <c r="U79" s="181">
        <f t="shared" si="11"/>
        <v>1.45</v>
      </c>
      <c r="V79" s="278">
        <f t="shared" si="12"/>
        <v>59.5243125</v>
      </c>
      <c r="W79" s="187">
        <f t="shared" ref="W79:X79" si="75">C79/100</f>
        <v>0.89</v>
      </c>
      <c r="X79" s="187">
        <f t="shared" si="75"/>
        <v>2.05</v>
      </c>
      <c r="Y79" s="187">
        <f t="shared" si="14"/>
        <v>1.45</v>
      </c>
      <c r="Z79" s="189">
        <f t="shared" si="15"/>
        <v>2.645525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</row>
    <row r="80" ht="27.0" customHeight="1">
      <c r="A80" s="181">
        <v>50.0</v>
      </c>
      <c r="B80" s="182" t="s">
        <v>80</v>
      </c>
      <c r="C80" s="183">
        <v>90.0</v>
      </c>
      <c r="D80" s="183">
        <v>205.0</v>
      </c>
      <c r="E80" s="183">
        <v>166.0</v>
      </c>
      <c r="F80" s="183">
        <f t="shared" si="5"/>
        <v>0.8</v>
      </c>
      <c r="G80" s="183">
        <f t="shared" si="6"/>
        <v>50.53455</v>
      </c>
      <c r="H80" s="184">
        <f t="shared" si="7"/>
        <v>40.42764</v>
      </c>
      <c r="I80" s="183">
        <v>1.0</v>
      </c>
      <c r="J80" s="185">
        <f t="shared" si="8"/>
        <v>40.42764</v>
      </c>
      <c r="K80" s="186"/>
      <c r="L80" s="187">
        <f t="shared" ref="L80:L81" si="77">D80*25.4/1000</f>
        <v>5.207</v>
      </c>
      <c r="M80" s="181">
        <f t="shared" ref="M80:M96" si="78">+I80</f>
        <v>1</v>
      </c>
      <c r="N80" s="181">
        <f t="shared" ref="N80:N81" si="79">M80*L80</f>
        <v>5.207</v>
      </c>
      <c r="O80" s="186"/>
      <c r="P80" s="186"/>
      <c r="Q80" s="187"/>
      <c r="R80" s="141">
        <v>16.5</v>
      </c>
      <c r="S80" s="187">
        <f t="shared" si="9"/>
        <v>1.66</v>
      </c>
      <c r="T80" s="181">
        <f t="shared" si="10"/>
        <v>1</v>
      </c>
      <c r="U80" s="181">
        <f t="shared" si="11"/>
        <v>1.66</v>
      </c>
      <c r="V80" s="278">
        <f t="shared" si="12"/>
        <v>50.53455</v>
      </c>
      <c r="W80" s="187">
        <f t="shared" ref="W80:X80" si="76">C80/100</f>
        <v>0.9</v>
      </c>
      <c r="X80" s="187">
        <f t="shared" si="76"/>
        <v>2.05</v>
      </c>
      <c r="Y80" s="187">
        <f t="shared" si="14"/>
        <v>1.66</v>
      </c>
      <c r="Z80" s="189">
        <f t="shared" si="15"/>
        <v>3.0627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</row>
    <row r="81" ht="27.0" customHeight="1">
      <c r="A81" s="181">
        <v>51.0</v>
      </c>
      <c r="B81" s="191" t="s">
        <v>77</v>
      </c>
      <c r="C81" s="191">
        <v>108.0</v>
      </c>
      <c r="D81" s="191">
        <v>205.0</v>
      </c>
      <c r="E81" s="191">
        <v>227.0</v>
      </c>
      <c r="F81" s="191">
        <f t="shared" si="5"/>
        <v>0</v>
      </c>
      <c r="G81" s="191">
        <f t="shared" si="6"/>
        <v>82.92537</v>
      </c>
      <c r="H81" s="219">
        <f t="shared" si="7"/>
        <v>82.92537</v>
      </c>
      <c r="I81" s="218">
        <v>1.0</v>
      </c>
      <c r="J81" s="193">
        <f t="shared" si="8"/>
        <v>82.92537</v>
      </c>
      <c r="K81" s="186"/>
      <c r="L81" s="164">
        <f t="shared" si="77"/>
        <v>5.207</v>
      </c>
      <c r="M81" s="195">
        <f t="shared" si="78"/>
        <v>1</v>
      </c>
      <c r="N81" s="195">
        <f t="shared" si="79"/>
        <v>5.207</v>
      </c>
      <c r="O81" s="186"/>
      <c r="P81" s="186"/>
      <c r="Q81" s="187" t="s">
        <v>169</v>
      </c>
      <c r="R81" s="141">
        <v>16.5</v>
      </c>
      <c r="S81" s="187">
        <f t="shared" si="9"/>
        <v>2.27</v>
      </c>
      <c r="T81" s="181">
        <f t="shared" si="10"/>
        <v>1</v>
      </c>
      <c r="U81" s="181">
        <f t="shared" si="11"/>
        <v>2.27</v>
      </c>
      <c r="V81" s="278">
        <f t="shared" si="12"/>
        <v>82.92537</v>
      </c>
      <c r="W81" s="187">
        <f t="shared" ref="W81:X81" si="80">C81/100</f>
        <v>1.08</v>
      </c>
      <c r="X81" s="187">
        <f t="shared" si="80"/>
        <v>2.05</v>
      </c>
      <c r="Y81" s="187">
        <f t="shared" si="14"/>
        <v>2.27</v>
      </c>
      <c r="Z81" s="189">
        <f t="shared" si="15"/>
        <v>5.02578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</row>
    <row r="82" ht="27.0" customHeight="1">
      <c r="A82" s="181">
        <v>52.0</v>
      </c>
      <c r="B82" s="191" t="s">
        <v>77</v>
      </c>
      <c r="C82" s="191">
        <v>102.0</v>
      </c>
      <c r="D82" s="191">
        <v>205.0</v>
      </c>
      <c r="E82" s="191">
        <v>226.0</v>
      </c>
      <c r="F82" s="191">
        <f t="shared" si="5"/>
        <v>0</v>
      </c>
      <c r="G82" s="191">
        <f t="shared" si="6"/>
        <v>77.97339</v>
      </c>
      <c r="H82" s="219">
        <f t="shared" si="7"/>
        <v>77.97339</v>
      </c>
      <c r="I82" s="218">
        <v>1.0</v>
      </c>
      <c r="J82" s="193">
        <f t="shared" si="8"/>
        <v>77.97339</v>
      </c>
      <c r="K82" s="186"/>
      <c r="L82" s="164"/>
      <c r="M82" s="195">
        <f t="shared" si="78"/>
        <v>1</v>
      </c>
      <c r="N82" s="195"/>
      <c r="O82" s="186"/>
      <c r="P82" s="186"/>
      <c r="Q82" s="187" t="s">
        <v>170</v>
      </c>
      <c r="R82" s="141">
        <v>16.5</v>
      </c>
      <c r="S82" s="187">
        <f t="shared" si="9"/>
        <v>2.26</v>
      </c>
      <c r="T82" s="181">
        <f t="shared" si="10"/>
        <v>1</v>
      </c>
      <c r="U82" s="181">
        <f t="shared" si="11"/>
        <v>2.26</v>
      </c>
      <c r="V82" s="278">
        <f t="shared" si="12"/>
        <v>77.97339</v>
      </c>
      <c r="W82" s="187">
        <f t="shared" ref="W82:X82" si="81">C82/100</f>
        <v>1.02</v>
      </c>
      <c r="X82" s="187">
        <f t="shared" si="81"/>
        <v>2.05</v>
      </c>
      <c r="Y82" s="187">
        <f t="shared" si="14"/>
        <v>2.26</v>
      </c>
      <c r="Z82" s="189">
        <f t="shared" si="15"/>
        <v>4.72566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</row>
    <row r="83" ht="27.0" customHeight="1">
      <c r="A83" s="181">
        <v>53.0</v>
      </c>
      <c r="B83" s="191" t="s">
        <v>77</v>
      </c>
      <c r="C83" s="191">
        <v>102.0</v>
      </c>
      <c r="D83" s="191">
        <v>205.0</v>
      </c>
      <c r="E83" s="191">
        <v>226.0</v>
      </c>
      <c r="F83" s="191">
        <f t="shared" si="5"/>
        <v>0</v>
      </c>
      <c r="G83" s="191">
        <f t="shared" si="6"/>
        <v>77.97339</v>
      </c>
      <c r="H83" s="219">
        <f t="shared" si="7"/>
        <v>77.97339</v>
      </c>
      <c r="I83" s="218">
        <v>1.0</v>
      </c>
      <c r="J83" s="193">
        <f t="shared" si="8"/>
        <v>77.97339</v>
      </c>
      <c r="K83" s="186"/>
      <c r="L83" s="164"/>
      <c r="M83" s="195">
        <f t="shared" si="78"/>
        <v>1</v>
      </c>
      <c r="N83" s="195"/>
      <c r="O83" s="186"/>
      <c r="P83" s="186"/>
      <c r="Q83" s="187"/>
      <c r="R83" s="141">
        <v>16.5</v>
      </c>
      <c r="S83" s="187">
        <f t="shared" si="9"/>
        <v>2.26</v>
      </c>
      <c r="T83" s="181">
        <f t="shared" si="10"/>
        <v>1</v>
      </c>
      <c r="U83" s="181">
        <f t="shared" si="11"/>
        <v>2.26</v>
      </c>
      <c r="V83" s="278">
        <f t="shared" si="12"/>
        <v>77.97339</v>
      </c>
      <c r="W83" s="187">
        <f t="shared" ref="W83:X83" si="82">C83/100</f>
        <v>1.02</v>
      </c>
      <c r="X83" s="187">
        <f t="shared" si="82"/>
        <v>2.05</v>
      </c>
      <c r="Y83" s="187">
        <f t="shared" si="14"/>
        <v>2.26</v>
      </c>
      <c r="Z83" s="189">
        <f t="shared" si="15"/>
        <v>4.72566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</row>
    <row r="84" ht="27.0" customHeight="1">
      <c r="A84" s="181">
        <v>54.0</v>
      </c>
      <c r="B84" s="191" t="s">
        <v>77</v>
      </c>
      <c r="C84" s="191">
        <v>102.0</v>
      </c>
      <c r="D84" s="191">
        <v>205.0</v>
      </c>
      <c r="E84" s="191">
        <v>227.0</v>
      </c>
      <c r="F84" s="191">
        <f t="shared" si="5"/>
        <v>0</v>
      </c>
      <c r="G84" s="191">
        <f t="shared" si="6"/>
        <v>78.318405</v>
      </c>
      <c r="H84" s="219">
        <f t="shared" si="7"/>
        <v>78.318405</v>
      </c>
      <c r="I84" s="218">
        <v>1.0</v>
      </c>
      <c r="J84" s="193">
        <f t="shared" si="8"/>
        <v>78.318405</v>
      </c>
      <c r="K84" s="186"/>
      <c r="L84" s="164"/>
      <c r="M84" s="195">
        <f t="shared" si="78"/>
        <v>1</v>
      </c>
      <c r="N84" s="195"/>
      <c r="O84" s="186"/>
      <c r="P84" s="186"/>
      <c r="Q84" s="187" t="s">
        <v>171</v>
      </c>
      <c r="R84" s="141">
        <v>16.5</v>
      </c>
      <c r="S84" s="187">
        <f t="shared" si="9"/>
        <v>2.27</v>
      </c>
      <c r="T84" s="181">
        <f t="shared" si="10"/>
        <v>1</v>
      </c>
      <c r="U84" s="181">
        <f t="shared" si="11"/>
        <v>2.27</v>
      </c>
      <c r="V84" s="278">
        <f t="shared" si="12"/>
        <v>78.318405</v>
      </c>
      <c r="W84" s="187">
        <f t="shared" ref="W84:X84" si="83">C84/100</f>
        <v>1.02</v>
      </c>
      <c r="X84" s="187">
        <f t="shared" si="83"/>
        <v>2.05</v>
      </c>
      <c r="Y84" s="187">
        <f t="shared" si="14"/>
        <v>2.27</v>
      </c>
      <c r="Z84" s="189">
        <f t="shared" si="15"/>
        <v>4.74657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</row>
    <row r="85" ht="27.0" customHeight="1">
      <c r="A85" s="181">
        <v>55.0</v>
      </c>
      <c r="B85" s="191" t="s">
        <v>77</v>
      </c>
      <c r="C85" s="191">
        <v>105.0</v>
      </c>
      <c r="D85" s="191">
        <v>205.0</v>
      </c>
      <c r="E85" s="191">
        <v>227.0</v>
      </c>
      <c r="F85" s="191">
        <f t="shared" si="5"/>
        <v>0</v>
      </c>
      <c r="G85" s="191">
        <f t="shared" si="6"/>
        <v>80.6218875</v>
      </c>
      <c r="H85" s="219">
        <f t="shared" si="7"/>
        <v>80.6218875</v>
      </c>
      <c r="I85" s="218">
        <v>1.0</v>
      </c>
      <c r="J85" s="193">
        <f t="shared" si="8"/>
        <v>80.6218875</v>
      </c>
      <c r="K85" s="186"/>
      <c r="L85" s="164"/>
      <c r="M85" s="195">
        <f t="shared" si="78"/>
        <v>1</v>
      </c>
      <c r="N85" s="195"/>
      <c r="O85" s="186"/>
      <c r="P85" s="186"/>
      <c r="Q85" s="187" t="s">
        <v>172</v>
      </c>
      <c r="R85" s="141">
        <v>16.5</v>
      </c>
      <c r="S85" s="187">
        <f t="shared" si="9"/>
        <v>2.27</v>
      </c>
      <c r="T85" s="181">
        <f t="shared" si="10"/>
        <v>1</v>
      </c>
      <c r="U85" s="181">
        <f t="shared" si="11"/>
        <v>2.27</v>
      </c>
      <c r="V85" s="278">
        <f t="shared" si="12"/>
        <v>80.6218875</v>
      </c>
      <c r="W85" s="187">
        <f t="shared" ref="W85:X85" si="84">C85/100</f>
        <v>1.05</v>
      </c>
      <c r="X85" s="187">
        <f t="shared" si="84"/>
        <v>2.05</v>
      </c>
      <c r="Y85" s="187">
        <f t="shared" si="14"/>
        <v>2.27</v>
      </c>
      <c r="Z85" s="189">
        <f t="shared" si="15"/>
        <v>4.886175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</row>
    <row r="86" ht="27.0" customHeight="1">
      <c r="A86" s="181">
        <v>56.0</v>
      </c>
      <c r="B86" s="191" t="s">
        <v>77</v>
      </c>
      <c r="C86" s="191">
        <v>106.0</v>
      </c>
      <c r="D86" s="191">
        <v>205.0</v>
      </c>
      <c r="E86" s="191">
        <v>227.0</v>
      </c>
      <c r="F86" s="191">
        <f t="shared" si="5"/>
        <v>0</v>
      </c>
      <c r="G86" s="191">
        <f t="shared" si="6"/>
        <v>81.389715</v>
      </c>
      <c r="H86" s="219">
        <f t="shared" si="7"/>
        <v>81.389715</v>
      </c>
      <c r="I86" s="218">
        <v>1.0</v>
      </c>
      <c r="J86" s="193">
        <f t="shared" si="8"/>
        <v>81.389715</v>
      </c>
      <c r="K86" s="186"/>
      <c r="L86" s="164"/>
      <c r="M86" s="195">
        <f t="shared" si="78"/>
        <v>1</v>
      </c>
      <c r="N86" s="195"/>
      <c r="O86" s="186"/>
      <c r="P86" s="186"/>
      <c r="Q86" s="187" t="s">
        <v>172</v>
      </c>
      <c r="R86" s="141">
        <v>16.5</v>
      </c>
      <c r="S86" s="187">
        <f t="shared" si="9"/>
        <v>2.27</v>
      </c>
      <c r="T86" s="181">
        <f t="shared" si="10"/>
        <v>1</v>
      </c>
      <c r="U86" s="181">
        <f t="shared" si="11"/>
        <v>2.27</v>
      </c>
      <c r="V86" s="278">
        <f t="shared" si="12"/>
        <v>81.389715</v>
      </c>
      <c r="W86" s="187">
        <f t="shared" ref="W86:X86" si="85">C86/100</f>
        <v>1.06</v>
      </c>
      <c r="X86" s="187">
        <f t="shared" si="85"/>
        <v>2.05</v>
      </c>
      <c r="Y86" s="187">
        <f t="shared" si="14"/>
        <v>2.27</v>
      </c>
      <c r="Z86" s="189">
        <f t="shared" si="15"/>
        <v>4.93271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</row>
    <row r="87" ht="27.0" customHeight="1">
      <c r="A87" s="181">
        <v>57.0</v>
      </c>
      <c r="B87" s="191" t="s">
        <v>77</v>
      </c>
      <c r="C87" s="191">
        <v>103.0</v>
      </c>
      <c r="D87" s="191">
        <v>205.0</v>
      </c>
      <c r="E87" s="191">
        <v>227.0</v>
      </c>
      <c r="F87" s="191">
        <f t="shared" si="5"/>
        <v>0</v>
      </c>
      <c r="G87" s="191">
        <f t="shared" si="6"/>
        <v>79.0862325</v>
      </c>
      <c r="H87" s="219">
        <f t="shared" si="7"/>
        <v>79.0862325</v>
      </c>
      <c r="I87" s="218">
        <v>6.0</v>
      </c>
      <c r="J87" s="193">
        <f t="shared" si="8"/>
        <v>474.517395</v>
      </c>
      <c r="K87" s="186"/>
      <c r="L87" s="164"/>
      <c r="M87" s="195">
        <f t="shared" si="78"/>
        <v>6</v>
      </c>
      <c r="N87" s="195"/>
      <c r="O87" s="186"/>
      <c r="P87" s="186"/>
      <c r="Q87" s="187"/>
      <c r="R87" s="141">
        <v>16.5</v>
      </c>
      <c r="S87" s="187">
        <f t="shared" si="9"/>
        <v>2.27</v>
      </c>
      <c r="T87" s="181">
        <f t="shared" si="10"/>
        <v>6</v>
      </c>
      <c r="U87" s="181">
        <f t="shared" si="11"/>
        <v>13.62</v>
      </c>
      <c r="V87" s="278">
        <f t="shared" si="12"/>
        <v>79.0862325</v>
      </c>
      <c r="W87" s="187">
        <f t="shared" ref="W87:X87" si="86">C87/100</f>
        <v>1.03</v>
      </c>
      <c r="X87" s="187">
        <f t="shared" si="86"/>
        <v>2.05</v>
      </c>
      <c r="Y87" s="187">
        <f t="shared" si="14"/>
        <v>13.62</v>
      </c>
      <c r="Z87" s="189">
        <f t="shared" si="15"/>
        <v>28.75863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</row>
    <row r="88" ht="27.0" customHeight="1">
      <c r="A88" s="181">
        <v>58.0</v>
      </c>
      <c r="B88" s="191" t="s">
        <v>77</v>
      </c>
      <c r="C88" s="191">
        <v>107.0</v>
      </c>
      <c r="D88" s="191">
        <v>205.0</v>
      </c>
      <c r="E88" s="191">
        <v>226.0</v>
      </c>
      <c r="F88" s="191">
        <f t="shared" si="5"/>
        <v>0</v>
      </c>
      <c r="G88" s="191">
        <f t="shared" si="6"/>
        <v>81.795615</v>
      </c>
      <c r="H88" s="219">
        <f t="shared" si="7"/>
        <v>81.795615</v>
      </c>
      <c r="I88" s="218">
        <v>1.0</v>
      </c>
      <c r="J88" s="193">
        <f t="shared" si="8"/>
        <v>81.795615</v>
      </c>
      <c r="K88" s="186"/>
      <c r="L88" s="164"/>
      <c r="M88" s="195">
        <f t="shared" si="78"/>
        <v>1</v>
      </c>
      <c r="N88" s="195"/>
      <c r="O88" s="186"/>
      <c r="P88" s="186"/>
      <c r="Q88" s="187"/>
      <c r="R88" s="141">
        <v>16.5</v>
      </c>
      <c r="S88" s="187">
        <f t="shared" si="9"/>
        <v>2.26</v>
      </c>
      <c r="T88" s="181">
        <f t="shared" si="10"/>
        <v>1</v>
      </c>
      <c r="U88" s="181">
        <f t="shared" si="11"/>
        <v>2.26</v>
      </c>
      <c r="V88" s="278">
        <f t="shared" si="12"/>
        <v>81.795615</v>
      </c>
      <c r="W88" s="187">
        <f t="shared" ref="W88:X88" si="87">C88/100</f>
        <v>1.07</v>
      </c>
      <c r="X88" s="187">
        <f t="shared" si="87"/>
        <v>2.05</v>
      </c>
      <c r="Y88" s="187">
        <f t="shared" si="14"/>
        <v>2.26</v>
      </c>
      <c r="Z88" s="189">
        <f t="shared" si="15"/>
        <v>4.95731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</row>
    <row r="89" ht="27.0" customHeight="1">
      <c r="A89" s="181">
        <v>59.0</v>
      </c>
      <c r="B89" s="191" t="s">
        <v>77</v>
      </c>
      <c r="C89" s="191">
        <v>109.0</v>
      </c>
      <c r="D89" s="191">
        <v>205.0</v>
      </c>
      <c r="E89" s="191">
        <v>226.0</v>
      </c>
      <c r="F89" s="191">
        <f t="shared" si="5"/>
        <v>0</v>
      </c>
      <c r="G89" s="191">
        <f t="shared" si="6"/>
        <v>83.324505</v>
      </c>
      <c r="H89" s="219">
        <f t="shared" si="7"/>
        <v>83.324505</v>
      </c>
      <c r="I89" s="218">
        <v>1.0</v>
      </c>
      <c r="J89" s="193">
        <f t="shared" si="8"/>
        <v>83.324505</v>
      </c>
      <c r="K89" s="186"/>
      <c r="L89" s="164"/>
      <c r="M89" s="195">
        <f t="shared" si="78"/>
        <v>1</v>
      </c>
      <c r="N89" s="195"/>
      <c r="O89" s="186"/>
      <c r="P89" s="186"/>
      <c r="Q89" s="187"/>
      <c r="R89" s="141">
        <v>16.5</v>
      </c>
      <c r="S89" s="187">
        <f t="shared" si="9"/>
        <v>2.26</v>
      </c>
      <c r="T89" s="181">
        <f t="shared" si="10"/>
        <v>1</v>
      </c>
      <c r="U89" s="181">
        <f t="shared" si="11"/>
        <v>2.26</v>
      </c>
      <c r="V89" s="278">
        <f t="shared" si="12"/>
        <v>83.324505</v>
      </c>
      <c r="W89" s="187">
        <f t="shared" ref="W89:X89" si="88">C89/100</f>
        <v>1.09</v>
      </c>
      <c r="X89" s="187">
        <f t="shared" si="88"/>
        <v>2.05</v>
      </c>
      <c r="Y89" s="187">
        <f t="shared" si="14"/>
        <v>2.26</v>
      </c>
      <c r="Z89" s="189">
        <f t="shared" si="15"/>
        <v>5.04997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</row>
    <row r="90" ht="27.0" customHeight="1">
      <c r="A90" s="181">
        <v>60.0</v>
      </c>
      <c r="B90" s="191" t="s">
        <v>77</v>
      </c>
      <c r="C90" s="191">
        <v>103.0</v>
      </c>
      <c r="D90" s="191">
        <v>205.0</v>
      </c>
      <c r="E90" s="191">
        <v>228.0</v>
      </c>
      <c r="F90" s="191">
        <f t="shared" si="5"/>
        <v>0</v>
      </c>
      <c r="G90" s="191">
        <f t="shared" si="6"/>
        <v>79.43463</v>
      </c>
      <c r="H90" s="219">
        <f t="shared" si="7"/>
        <v>79.43463</v>
      </c>
      <c r="I90" s="218">
        <v>1.0</v>
      </c>
      <c r="J90" s="193">
        <f t="shared" si="8"/>
        <v>79.43463</v>
      </c>
      <c r="K90" s="186"/>
      <c r="L90" s="164"/>
      <c r="M90" s="195">
        <f t="shared" si="78"/>
        <v>1</v>
      </c>
      <c r="N90" s="195"/>
      <c r="O90" s="186"/>
      <c r="P90" s="186"/>
      <c r="Q90" s="187"/>
      <c r="R90" s="141">
        <v>16.5</v>
      </c>
      <c r="S90" s="187">
        <f t="shared" si="9"/>
        <v>2.28</v>
      </c>
      <c r="T90" s="181">
        <f t="shared" si="10"/>
        <v>1</v>
      </c>
      <c r="U90" s="181">
        <f t="shared" si="11"/>
        <v>2.28</v>
      </c>
      <c r="V90" s="278">
        <f t="shared" si="12"/>
        <v>79.43463</v>
      </c>
      <c r="W90" s="187">
        <f t="shared" ref="W90:X90" si="89">C90/100</f>
        <v>1.03</v>
      </c>
      <c r="X90" s="187">
        <f t="shared" si="89"/>
        <v>2.05</v>
      </c>
      <c r="Y90" s="187">
        <f t="shared" si="14"/>
        <v>2.28</v>
      </c>
      <c r="Z90" s="189">
        <f t="shared" si="15"/>
        <v>4.81422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</row>
    <row r="91" ht="27.0" customHeight="1">
      <c r="A91" s="181">
        <v>61.0</v>
      </c>
      <c r="B91" s="191" t="s">
        <v>77</v>
      </c>
      <c r="C91" s="191">
        <v>102.0</v>
      </c>
      <c r="D91" s="191">
        <v>205.0</v>
      </c>
      <c r="E91" s="191">
        <v>288.0</v>
      </c>
      <c r="F91" s="191">
        <f t="shared" si="5"/>
        <v>0</v>
      </c>
      <c r="G91" s="191">
        <f t="shared" si="6"/>
        <v>99.36432</v>
      </c>
      <c r="H91" s="219">
        <f t="shared" si="7"/>
        <v>99.36432</v>
      </c>
      <c r="I91" s="218">
        <v>1.0</v>
      </c>
      <c r="J91" s="193">
        <f t="shared" si="8"/>
        <v>99.36432</v>
      </c>
      <c r="K91" s="186"/>
      <c r="L91" s="164"/>
      <c r="M91" s="195">
        <f t="shared" si="78"/>
        <v>1</v>
      </c>
      <c r="N91" s="195"/>
      <c r="O91" s="186"/>
      <c r="P91" s="186"/>
      <c r="Q91" s="187"/>
      <c r="R91" s="141">
        <v>16.5</v>
      </c>
      <c r="S91" s="187">
        <f t="shared" si="9"/>
        <v>2.88</v>
      </c>
      <c r="T91" s="181">
        <f t="shared" si="10"/>
        <v>1</v>
      </c>
      <c r="U91" s="181">
        <f t="shared" si="11"/>
        <v>2.88</v>
      </c>
      <c r="V91" s="278">
        <f t="shared" si="12"/>
        <v>99.36432</v>
      </c>
      <c r="W91" s="187">
        <f t="shared" ref="W91:X91" si="90">C91/100</f>
        <v>1.02</v>
      </c>
      <c r="X91" s="187">
        <f t="shared" si="90"/>
        <v>2.05</v>
      </c>
      <c r="Y91" s="187">
        <f t="shared" si="14"/>
        <v>2.88</v>
      </c>
      <c r="Z91" s="189">
        <f t="shared" si="15"/>
        <v>6.02208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</row>
    <row r="92" ht="27.0" customHeight="1">
      <c r="A92" s="181">
        <v>62.0</v>
      </c>
      <c r="B92" s="191" t="s">
        <v>77</v>
      </c>
      <c r="C92" s="191">
        <v>104.0</v>
      </c>
      <c r="D92" s="191">
        <v>205.0</v>
      </c>
      <c r="E92" s="191">
        <v>227.0</v>
      </c>
      <c r="F92" s="191">
        <f t="shared" si="5"/>
        <v>0</v>
      </c>
      <c r="G92" s="191">
        <f t="shared" si="6"/>
        <v>79.85406</v>
      </c>
      <c r="H92" s="219">
        <f t="shared" si="7"/>
        <v>79.85406</v>
      </c>
      <c r="I92" s="218">
        <v>4.0</v>
      </c>
      <c r="J92" s="194">
        <f t="shared" si="8"/>
        <v>319.41624</v>
      </c>
      <c r="K92" s="139"/>
      <c r="L92" s="197"/>
      <c r="M92" s="198">
        <f t="shared" si="78"/>
        <v>4</v>
      </c>
      <c r="N92" s="198"/>
      <c r="O92" s="139"/>
      <c r="P92" s="139"/>
      <c r="Q92" s="176"/>
      <c r="R92" s="141">
        <v>16.5</v>
      </c>
      <c r="S92" s="187">
        <f t="shared" si="9"/>
        <v>2.27</v>
      </c>
      <c r="T92" s="181">
        <f t="shared" si="10"/>
        <v>4</v>
      </c>
      <c r="U92" s="181">
        <f t="shared" si="11"/>
        <v>9.08</v>
      </c>
      <c r="V92" s="278">
        <f t="shared" si="12"/>
        <v>79.85406</v>
      </c>
      <c r="W92" s="187">
        <f t="shared" ref="W92:X92" si="91">C92/100</f>
        <v>1.04</v>
      </c>
      <c r="X92" s="187">
        <f t="shared" si="91"/>
        <v>2.05</v>
      </c>
      <c r="Y92" s="187">
        <f t="shared" si="14"/>
        <v>9.08</v>
      </c>
      <c r="Z92" s="189">
        <f t="shared" si="15"/>
        <v>19.35856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</row>
    <row r="93" ht="27.0" customHeight="1">
      <c r="A93" s="181">
        <v>63.0</v>
      </c>
      <c r="B93" s="191" t="s">
        <v>77</v>
      </c>
      <c r="C93" s="191">
        <v>103.0</v>
      </c>
      <c r="D93" s="191">
        <v>205.0</v>
      </c>
      <c r="E93" s="191">
        <v>226.0</v>
      </c>
      <c r="F93" s="191">
        <f t="shared" si="5"/>
        <v>0</v>
      </c>
      <c r="G93" s="191">
        <f t="shared" si="6"/>
        <v>78.737835</v>
      </c>
      <c r="H93" s="219">
        <f t="shared" si="7"/>
        <v>78.737835</v>
      </c>
      <c r="I93" s="218">
        <v>2.0</v>
      </c>
      <c r="J93" s="194">
        <f t="shared" si="8"/>
        <v>157.47567</v>
      </c>
      <c r="K93" s="139"/>
      <c r="L93" s="197"/>
      <c r="M93" s="198">
        <f t="shared" si="78"/>
        <v>2</v>
      </c>
      <c r="N93" s="198"/>
      <c r="O93" s="139"/>
      <c r="P93" s="139"/>
      <c r="Q93" s="176"/>
      <c r="R93" s="141">
        <v>16.5</v>
      </c>
      <c r="S93" s="187">
        <f t="shared" si="9"/>
        <v>2.26</v>
      </c>
      <c r="T93" s="181">
        <f t="shared" si="10"/>
        <v>2</v>
      </c>
      <c r="U93" s="181">
        <f t="shared" si="11"/>
        <v>4.52</v>
      </c>
      <c r="V93" s="278">
        <f t="shared" si="12"/>
        <v>78.737835</v>
      </c>
      <c r="W93" s="187">
        <f t="shared" ref="W93:X93" si="92">C93/100</f>
        <v>1.03</v>
      </c>
      <c r="X93" s="187">
        <f t="shared" si="92"/>
        <v>2.05</v>
      </c>
      <c r="Y93" s="187">
        <f t="shared" si="14"/>
        <v>4.52</v>
      </c>
      <c r="Z93" s="189">
        <f t="shared" si="15"/>
        <v>9.54398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</row>
    <row r="94" ht="27.0" customHeight="1">
      <c r="A94" s="181">
        <v>64.0</v>
      </c>
      <c r="B94" s="191" t="s">
        <v>77</v>
      </c>
      <c r="C94" s="191">
        <v>104.0</v>
      </c>
      <c r="D94" s="191">
        <v>205.0</v>
      </c>
      <c r="E94" s="191">
        <v>226.0</v>
      </c>
      <c r="F94" s="191">
        <f t="shared" si="5"/>
        <v>0</v>
      </c>
      <c r="G94" s="191">
        <f t="shared" si="6"/>
        <v>79.50228</v>
      </c>
      <c r="H94" s="219">
        <f t="shared" si="7"/>
        <v>79.50228</v>
      </c>
      <c r="I94" s="218">
        <v>1.0</v>
      </c>
      <c r="J94" s="194">
        <f t="shared" si="8"/>
        <v>79.50228</v>
      </c>
      <c r="K94" s="139"/>
      <c r="L94" s="197"/>
      <c r="M94" s="198">
        <f t="shared" si="78"/>
        <v>1</v>
      </c>
      <c r="N94" s="198"/>
      <c r="O94" s="139"/>
      <c r="P94" s="139"/>
      <c r="Q94" s="176"/>
      <c r="R94" s="141">
        <v>16.5</v>
      </c>
      <c r="S94" s="187">
        <f t="shared" si="9"/>
        <v>2.26</v>
      </c>
      <c r="T94" s="181">
        <f t="shared" si="10"/>
        <v>1</v>
      </c>
      <c r="U94" s="181">
        <f t="shared" si="11"/>
        <v>2.26</v>
      </c>
      <c r="V94" s="278">
        <f t="shared" si="12"/>
        <v>79.50228</v>
      </c>
      <c r="W94" s="187">
        <f t="shared" ref="W94:X94" si="93">C94/100</f>
        <v>1.04</v>
      </c>
      <c r="X94" s="187">
        <f t="shared" si="93"/>
        <v>2.05</v>
      </c>
      <c r="Y94" s="187">
        <f t="shared" si="14"/>
        <v>2.26</v>
      </c>
      <c r="Z94" s="189">
        <f t="shared" si="15"/>
        <v>4.81832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</row>
    <row r="95" ht="27.0" customHeight="1">
      <c r="A95" s="181">
        <v>65.0</v>
      </c>
      <c r="B95" s="191" t="s">
        <v>77</v>
      </c>
      <c r="C95" s="191">
        <v>100.0</v>
      </c>
      <c r="D95" s="191">
        <v>205.0</v>
      </c>
      <c r="E95" s="191">
        <v>226.0</v>
      </c>
      <c r="F95" s="191">
        <f t="shared" si="5"/>
        <v>0</v>
      </c>
      <c r="G95" s="191">
        <f t="shared" si="6"/>
        <v>76.4445</v>
      </c>
      <c r="H95" s="219">
        <f t="shared" si="7"/>
        <v>76.4445</v>
      </c>
      <c r="I95" s="218">
        <v>1.0</v>
      </c>
      <c r="J95" s="194">
        <f t="shared" si="8"/>
        <v>76.4445</v>
      </c>
      <c r="K95" s="139"/>
      <c r="L95" s="197"/>
      <c r="M95" s="198">
        <f t="shared" si="78"/>
        <v>1</v>
      </c>
      <c r="N95" s="198"/>
      <c r="O95" s="139"/>
      <c r="P95" s="139"/>
      <c r="Q95" s="176"/>
      <c r="R95" s="141">
        <v>16.5</v>
      </c>
      <c r="S95" s="187">
        <f t="shared" si="9"/>
        <v>2.26</v>
      </c>
      <c r="T95" s="181">
        <f t="shared" si="10"/>
        <v>1</v>
      </c>
      <c r="U95" s="181">
        <f t="shared" si="11"/>
        <v>2.26</v>
      </c>
      <c r="V95" s="278">
        <f t="shared" si="12"/>
        <v>76.4445</v>
      </c>
      <c r="W95" s="187">
        <f t="shared" ref="W95:X95" si="94">C95/100</f>
        <v>1</v>
      </c>
      <c r="X95" s="187">
        <f t="shared" si="94"/>
        <v>2.05</v>
      </c>
      <c r="Y95" s="187">
        <f t="shared" si="14"/>
        <v>2.26</v>
      </c>
      <c r="Z95" s="189">
        <f t="shared" si="15"/>
        <v>4.633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</row>
    <row r="96" ht="27.0" customHeight="1">
      <c r="A96" s="181">
        <v>66.0</v>
      </c>
      <c r="B96" s="191" t="s">
        <v>77</v>
      </c>
      <c r="C96" s="191">
        <v>107.0</v>
      </c>
      <c r="D96" s="191">
        <v>205.0</v>
      </c>
      <c r="E96" s="191">
        <v>227.0</v>
      </c>
      <c r="F96" s="191">
        <f t="shared" si="5"/>
        <v>0</v>
      </c>
      <c r="G96" s="191">
        <f t="shared" si="6"/>
        <v>82.1575425</v>
      </c>
      <c r="H96" s="219">
        <f t="shared" si="7"/>
        <v>82.1575425</v>
      </c>
      <c r="I96" s="218">
        <v>1.0</v>
      </c>
      <c r="J96" s="194">
        <f t="shared" si="8"/>
        <v>82.1575425</v>
      </c>
      <c r="K96" s="139"/>
      <c r="L96" s="197"/>
      <c r="M96" s="198">
        <f t="shared" si="78"/>
        <v>1</v>
      </c>
      <c r="N96" s="198"/>
      <c r="O96" s="139"/>
      <c r="P96" s="139"/>
      <c r="Q96" s="176"/>
      <c r="R96" s="141">
        <v>16.5</v>
      </c>
      <c r="S96" s="187">
        <f t="shared" si="9"/>
        <v>2.27</v>
      </c>
      <c r="T96" s="181">
        <f t="shared" si="10"/>
        <v>1</v>
      </c>
      <c r="U96" s="181">
        <f t="shared" si="11"/>
        <v>2.27</v>
      </c>
      <c r="V96" s="278">
        <f t="shared" si="12"/>
        <v>82.1575425</v>
      </c>
      <c r="W96" s="187">
        <f t="shared" ref="W96:X96" si="95">C96/100</f>
        <v>1.07</v>
      </c>
      <c r="X96" s="187">
        <f t="shared" si="95"/>
        <v>2.05</v>
      </c>
      <c r="Y96" s="187">
        <f t="shared" si="14"/>
        <v>2.27</v>
      </c>
      <c r="Z96" s="189">
        <f t="shared" si="15"/>
        <v>4.979245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</row>
    <row r="97" ht="27.0" customHeight="1">
      <c r="A97" s="160"/>
      <c r="B97" s="176"/>
      <c r="C97" s="176"/>
      <c r="D97" s="176"/>
      <c r="E97" s="176"/>
      <c r="F97" s="176"/>
      <c r="G97" s="176"/>
      <c r="H97" s="179"/>
      <c r="I97" s="160"/>
      <c r="J97" s="203">
        <f>+Q131</f>
        <v>116.8</v>
      </c>
      <c r="K97" s="139"/>
      <c r="L97" s="139"/>
      <c r="M97" s="139"/>
      <c r="N97" s="139"/>
      <c r="O97" s="139"/>
      <c r="P97" s="139"/>
      <c r="Q97" s="139"/>
      <c r="R97" s="204"/>
      <c r="S97" s="187">
        <f t="shared" si="9"/>
        <v>0</v>
      </c>
      <c r="T97" s="181" t="str">
        <f t="shared" si="10"/>
        <v/>
      </c>
      <c r="U97" s="181">
        <f t="shared" si="11"/>
        <v>0</v>
      </c>
      <c r="V97" s="186"/>
      <c r="W97" s="187">
        <f t="shared" ref="W97:X97" si="96">C97/100</f>
        <v>0</v>
      </c>
      <c r="X97" s="187">
        <f t="shared" si="96"/>
        <v>0</v>
      </c>
      <c r="Y97" s="187">
        <f t="shared" si="14"/>
        <v>0</v>
      </c>
      <c r="Z97" s="18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</row>
    <row r="98" ht="27.0" customHeight="1">
      <c r="A98" s="160"/>
      <c r="B98" s="205"/>
      <c r="C98" s="205"/>
      <c r="D98" s="205"/>
      <c r="E98" s="205"/>
      <c r="F98" s="205"/>
      <c r="G98" s="205"/>
      <c r="H98" s="206"/>
      <c r="I98" s="207">
        <f>SUM(I21:I96)</f>
        <v>109</v>
      </c>
      <c r="J98" s="208">
        <f>SUM(J21:J97)</f>
        <v>14104.97092</v>
      </c>
      <c r="K98" s="209"/>
      <c r="L98" s="209"/>
      <c r="M98" s="209"/>
      <c r="N98" s="209"/>
      <c r="O98" s="209"/>
      <c r="P98" s="209"/>
      <c r="Q98" s="209"/>
      <c r="R98" s="141"/>
      <c r="S98" s="209">
        <f>SUMIFS($T$21:$T$96,$S$21:$S$96,"&gt;=3")</f>
        <v>4</v>
      </c>
      <c r="T98" s="209">
        <f t="shared" ref="T98:U98" si="97">SUM(T21:T96)</f>
        <v>109</v>
      </c>
      <c r="U98" s="209">
        <f t="shared" si="97"/>
        <v>286.64</v>
      </c>
      <c r="V98" s="209"/>
      <c r="W98" s="209"/>
      <c r="X98" s="209"/>
      <c r="Y98" s="209"/>
      <c r="Z98" s="210">
        <f>SUM(Z21:Z97)</f>
        <v>547.805838</v>
      </c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</row>
    <row r="99" ht="29.25" customHeight="1">
      <c r="A99" s="139"/>
      <c r="B99" s="139"/>
      <c r="C99" s="139"/>
      <c r="D99" s="139"/>
      <c r="E99" s="139"/>
      <c r="F99" s="139"/>
      <c r="G99" s="139"/>
      <c r="H99" s="140"/>
      <c r="I99" s="139"/>
      <c r="J99" s="139"/>
      <c r="K99" s="139"/>
      <c r="L99" s="139"/>
      <c r="M99" s="139"/>
      <c r="N99" s="139"/>
      <c r="O99" s="139"/>
      <c r="P99" s="139"/>
      <c r="Q99" s="139"/>
      <c r="R99" s="141"/>
      <c r="S99" s="186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</row>
    <row r="100" ht="29.25" customHeight="1">
      <c r="A100" s="139"/>
      <c r="B100" s="139"/>
      <c r="C100" s="139"/>
      <c r="D100" s="139"/>
      <c r="E100" s="139"/>
      <c r="F100" s="139"/>
      <c r="G100" s="139"/>
      <c r="H100" s="140"/>
      <c r="I100" s="139"/>
      <c r="J100" s="299"/>
      <c r="K100" s="139"/>
      <c r="L100" s="139"/>
      <c r="M100" s="139"/>
      <c r="N100" s="139"/>
      <c r="O100" s="139"/>
      <c r="P100" s="139"/>
      <c r="Q100" s="139"/>
      <c r="R100" s="204"/>
      <c r="S100" s="139"/>
      <c r="T100" s="139" t="s">
        <v>48</v>
      </c>
      <c r="U100" s="139" t="s">
        <v>72</v>
      </c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</row>
    <row r="101" ht="29.25" customHeight="1">
      <c r="A101" s="139"/>
      <c r="B101" s="139"/>
      <c r="C101" s="139"/>
      <c r="D101" s="139"/>
      <c r="E101" s="139"/>
      <c r="F101" s="139"/>
      <c r="G101" s="139"/>
      <c r="H101" s="140"/>
      <c r="I101" s="139"/>
      <c r="J101" s="299"/>
      <c r="K101" s="139"/>
      <c r="L101" s="139"/>
      <c r="M101" s="139"/>
      <c r="N101" s="139"/>
      <c r="O101" s="139"/>
      <c r="P101" s="139"/>
      <c r="Q101" s="139"/>
      <c r="R101" s="141"/>
      <c r="S101" s="139" t="s">
        <v>31</v>
      </c>
      <c r="T101" s="211">
        <f>SUMIFS($J$21:$J$96,$S$21:$S$96,"&gt;=3")</f>
        <v>4730.915</v>
      </c>
      <c r="U101" s="212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</row>
    <row r="102" ht="29.25" customHeight="1">
      <c r="A102" s="139" t="s">
        <v>32</v>
      </c>
      <c r="B102" s="139"/>
      <c r="C102" s="139"/>
      <c r="D102" s="139" t="s">
        <v>33</v>
      </c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141"/>
      <c r="S102" s="139" t="s">
        <v>34</v>
      </c>
      <c r="T102" s="213">
        <f>J98-T101</f>
        <v>9374.055924</v>
      </c>
      <c r="U102" s="212">
        <f>+SUMIFS($U$21:$U$96,$S$21:$S$96,"&gt;=3")</f>
        <v>85</v>
      </c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</row>
    <row r="103" ht="29.2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204"/>
      <c r="S103" s="139"/>
      <c r="T103" s="214">
        <f>+I98</f>
        <v>109</v>
      </c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</row>
    <row r="104" ht="39.0" customHeight="1">
      <c r="A104" s="176"/>
      <c r="B104" s="160" t="s">
        <v>12</v>
      </c>
      <c r="C104" s="177" t="s">
        <v>73</v>
      </c>
      <c r="D104" s="52"/>
      <c r="E104" s="53"/>
      <c r="F104" s="178"/>
      <c r="G104" s="178"/>
      <c r="H104" s="179" t="s">
        <v>14</v>
      </c>
      <c r="I104" s="160" t="s">
        <v>15</v>
      </c>
      <c r="J104" s="160" t="s">
        <v>16</v>
      </c>
      <c r="K104" s="139"/>
      <c r="L104" s="139"/>
      <c r="M104" s="139"/>
      <c r="N104" s="139"/>
      <c r="O104" s="139"/>
      <c r="P104" s="139"/>
      <c r="Q104" s="139"/>
      <c r="R104" s="141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</row>
    <row r="105" ht="27.0" customHeight="1">
      <c r="A105" s="154">
        <v>1.0</v>
      </c>
      <c r="B105" s="215" t="s">
        <v>65</v>
      </c>
      <c r="C105" s="215">
        <v>80.0</v>
      </c>
      <c r="D105" s="215">
        <v>210.0</v>
      </c>
      <c r="E105" s="215">
        <v>210.0</v>
      </c>
      <c r="F105" s="215">
        <f t="shared" ref="F105:F110" si="98">1-VALUE(IF(RIGHT(B105, 1)="%", RIGHT(B105, 3), 0))</f>
        <v>0.2</v>
      </c>
      <c r="G105" s="215">
        <f t="shared" ref="G105:G110" si="99">+Q105*C105/100*D105/100*E105/100</f>
        <v>0</v>
      </c>
      <c r="H105" s="216">
        <f t="shared" ref="H105:H110" si="100">IF(F105=0, G105, F105*G105)</f>
        <v>0</v>
      </c>
      <c r="I105" s="215">
        <v>1.0</v>
      </c>
      <c r="J105" s="217">
        <v>104.07600000000001</v>
      </c>
      <c r="K105" s="139"/>
      <c r="L105" s="176">
        <f t="shared" ref="L105:L106" si="101">D105*25.4/1000</f>
        <v>5.334</v>
      </c>
      <c r="M105" s="160">
        <f t="shared" ref="M105:M106" si="102">+I105</f>
        <v>1</v>
      </c>
      <c r="N105" s="160">
        <f t="shared" ref="N105:N106" si="103">M105*L105</f>
        <v>5.334</v>
      </c>
      <c r="O105" s="139"/>
      <c r="P105" s="139"/>
      <c r="Q105" s="139"/>
      <c r="R105" s="141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</row>
    <row r="106" ht="27.0" customHeight="1">
      <c r="A106" s="160">
        <v>2.0</v>
      </c>
      <c r="B106" s="218" t="s">
        <v>65</v>
      </c>
      <c r="C106" s="218">
        <v>93.0</v>
      </c>
      <c r="D106" s="218">
        <v>210.0</v>
      </c>
      <c r="E106" s="218">
        <v>210.0</v>
      </c>
      <c r="F106" s="218">
        <f t="shared" si="98"/>
        <v>0.2</v>
      </c>
      <c r="G106" s="218">
        <f t="shared" si="99"/>
        <v>0</v>
      </c>
      <c r="H106" s="219">
        <f t="shared" si="100"/>
        <v>0</v>
      </c>
      <c r="I106" s="218">
        <v>1.0</v>
      </c>
      <c r="J106" s="194">
        <v>120.98835</v>
      </c>
      <c r="K106" s="139"/>
      <c r="L106" s="176">
        <f t="shared" si="101"/>
        <v>5.334</v>
      </c>
      <c r="M106" s="160">
        <f t="shared" si="102"/>
        <v>1</v>
      </c>
      <c r="N106" s="160">
        <f t="shared" si="103"/>
        <v>5.334</v>
      </c>
      <c r="O106" s="139"/>
      <c r="P106" s="139"/>
      <c r="Q106" s="139"/>
      <c r="R106" s="141"/>
      <c r="S106" s="139"/>
      <c r="T106" s="220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</row>
    <row r="107" ht="27.0" customHeight="1">
      <c r="A107" s="160"/>
      <c r="B107" s="218" t="s">
        <v>65</v>
      </c>
      <c r="C107" s="218">
        <v>100.0</v>
      </c>
      <c r="D107" s="218">
        <v>203.0</v>
      </c>
      <c r="E107" s="218">
        <v>3000.0</v>
      </c>
      <c r="F107" s="218">
        <f t="shared" si="98"/>
        <v>0.2</v>
      </c>
      <c r="G107" s="218">
        <f t="shared" si="99"/>
        <v>0</v>
      </c>
      <c r="H107" s="219">
        <f t="shared" si="100"/>
        <v>0</v>
      </c>
      <c r="I107" s="218">
        <v>1.0</v>
      </c>
      <c r="J107" s="194">
        <v>120.98835</v>
      </c>
      <c r="K107" s="139"/>
      <c r="L107" s="176"/>
      <c r="M107" s="160"/>
      <c r="N107" s="160"/>
      <c r="O107" s="139"/>
      <c r="P107" s="139"/>
      <c r="Q107" s="139"/>
      <c r="R107" s="141"/>
      <c r="S107" s="139"/>
      <c r="T107" s="220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</row>
    <row r="108" ht="27.0" customHeight="1">
      <c r="A108" s="160">
        <v>3.0</v>
      </c>
      <c r="B108" s="218" t="s">
        <v>68</v>
      </c>
      <c r="C108" s="218">
        <v>82.0</v>
      </c>
      <c r="D108" s="218">
        <v>168.0</v>
      </c>
      <c r="E108" s="218">
        <v>180.0</v>
      </c>
      <c r="F108" s="218">
        <f t="shared" si="98"/>
        <v>0.2</v>
      </c>
      <c r="G108" s="218">
        <f t="shared" si="99"/>
        <v>0</v>
      </c>
      <c r="H108" s="219">
        <f t="shared" si="100"/>
        <v>0</v>
      </c>
      <c r="I108" s="218">
        <v>1.0</v>
      </c>
      <c r="J108" s="194">
        <v>50.534549999999996</v>
      </c>
      <c r="K108" s="139"/>
      <c r="L108" s="176">
        <f t="shared" ref="L108:L110" si="104">D108*25.4/1000</f>
        <v>4.2672</v>
      </c>
      <c r="M108" s="160">
        <f t="shared" ref="M108:M109" si="105">+I108</f>
        <v>1</v>
      </c>
      <c r="N108" s="160">
        <f t="shared" ref="N108:N109" si="106">M108*L108</f>
        <v>4.2672</v>
      </c>
      <c r="O108" s="139"/>
      <c r="P108" s="139"/>
      <c r="Q108" s="139"/>
      <c r="R108" s="141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</row>
    <row r="109" ht="27.0" customHeight="1">
      <c r="A109" s="160">
        <v>4.0</v>
      </c>
      <c r="B109" s="218" t="s">
        <v>166</v>
      </c>
      <c r="C109" s="218">
        <v>82.0</v>
      </c>
      <c r="D109" s="218">
        <v>205.0</v>
      </c>
      <c r="E109" s="218">
        <v>216.0</v>
      </c>
      <c r="F109" s="218">
        <f t="shared" si="98"/>
        <v>0.2</v>
      </c>
      <c r="G109" s="218">
        <f t="shared" si="99"/>
        <v>0</v>
      </c>
      <c r="H109" s="219">
        <f t="shared" si="100"/>
        <v>0</v>
      </c>
      <c r="I109" s="218">
        <v>1.0</v>
      </c>
      <c r="J109" s="194">
        <v>73.15056</v>
      </c>
      <c r="K109" s="139"/>
      <c r="L109" s="176">
        <f t="shared" si="104"/>
        <v>5.207</v>
      </c>
      <c r="M109" s="160">
        <f t="shared" si="105"/>
        <v>1</v>
      </c>
      <c r="N109" s="160">
        <f t="shared" si="106"/>
        <v>5.207</v>
      </c>
      <c r="O109" s="139"/>
      <c r="P109" s="139"/>
      <c r="Q109" s="139"/>
      <c r="R109" s="141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</row>
    <row r="110" ht="27.0" customHeight="1">
      <c r="A110" s="160">
        <v>5.0</v>
      </c>
      <c r="B110" s="218" t="s">
        <v>80</v>
      </c>
      <c r="C110" s="218">
        <v>90.0</v>
      </c>
      <c r="D110" s="218">
        <v>205.0</v>
      </c>
      <c r="E110" s="218">
        <v>166.0</v>
      </c>
      <c r="F110" s="218">
        <f t="shared" si="98"/>
        <v>0.2</v>
      </c>
      <c r="G110" s="218">
        <f t="shared" si="99"/>
        <v>0</v>
      </c>
      <c r="H110" s="219">
        <f t="shared" si="100"/>
        <v>0</v>
      </c>
      <c r="I110" s="218">
        <v>1.0</v>
      </c>
      <c r="J110" s="194">
        <v>81.6966</v>
      </c>
      <c r="K110" s="139"/>
      <c r="L110" s="139">
        <f t="shared" si="104"/>
        <v>5.207</v>
      </c>
      <c r="M110" s="221"/>
      <c r="N110" s="221"/>
      <c r="O110" s="139"/>
      <c r="P110" s="139"/>
      <c r="Q110" s="139"/>
      <c r="R110" s="141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</row>
    <row r="111" ht="24.75" customHeight="1">
      <c r="A111" s="160"/>
      <c r="B111" s="197"/>
      <c r="C111" s="197"/>
      <c r="D111" s="197"/>
      <c r="E111" s="197"/>
      <c r="F111" s="197"/>
      <c r="G111" s="197"/>
      <c r="H111" s="269" t="s">
        <v>38</v>
      </c>
      <c r="I111" s="197"/>
      <c r="J111" s="226">
        <f>SUM(J105:J110)</f>
        <v>551.43441</v>
      </c>
      <c r="K111" s="139"/>
      <c r="L111" s="139"/>
      <c r="M111" s="139"/>
      <c r="N111" s="139"/>
      <c r="O111" s="139"/>
      <c r="P111" s="139"/>
      <c r="Q111" s="139"/>
      <c r="R111" s="141"/>
      <c r="S111" s="227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</row>
    <row r="112" ht="18.75" customHeight="1">
      <c r="A112" s="174"/>
      <c r="B112" s="144"/>
      <c r="C112" s="144"/>
      <c r="D112" s="144"/>
      <c r="E112" s="144"/>
      <c r="F112" s="144"/>
      <c r="G112" s="144"/>
      <c r="H112" s="145"/>
      <c r="I112" s="144"/>
      <c r="J112" s="175"/>
      <c r="K112" s="139"/>
      <c r="L112" s="139"/>
      <c r="M112" s="139"/>
      <c r="N112" s="139"/>
      <c r="O112" s="139"/>
      <c r="P112" s="139"/>
      <c r="Q112" s="139"/>
      <c r="R112" s="141"/>
      <c r="S112" s="227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</row>
    <row r="113" ht="18.75" customHeight="1">
      <c r="A113" s="139"/>
      <c r="B113" s="139"/>
      <c r="C113" s="139"/>
      <c r="D113" s="139"/>
      <c r="E113" s="139"/>
      <c r="F113" s="139"/>
      <c r="G113" s="139"/>
      <c r="H113" s="140"/>
      <c r="I113" s="139"/>
      <c r="J113" s="139"/>
      <c r="K113" s="139"/>
      <c r="L113" s="139"/>
      <c r="M113" s="139"/>
      <c r="N113" s="139"/>
      <c r="O113" s="139"/>
      <c r="P113" s="139"/>
      <c r="Q113" s="139"/>
      <c r="R113" s="141"/>
      <c r="S113" s="227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</row>
    <row r="114" ht="18.75" customHeight="1">
      <c r="A114" s="139"/>
      <c r="B114" s="139"/>
      <c r="C114" s="139"/>
      <c r="D114" s="139"/>
      <c r="E114" s="139"/>
      <c r="F114" s="139"/>
      <c r="G114" s="139"/>
      <c r="H114" s="140"/>
      <c r="I114" s="139"/>
      <c r="J114" s="139"/>
      <c r="K114" s="139"/>
      <c r="L114" s="139"/>
      <c r="M114" s="139"/>
      <c r="N114" s="139"/>
      <c r="O114" s="139"/>
      <c r="P114" s="139"/>
      <c r="Q114" s="139"/>
      <c r="R114" s="141"/>
      <c r="S114" s="227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</row>
    <row r="115" ht="18.75" customHeight="1">
      <c r="A115" s="139" t="s">
        <v>39</v>
      </c>
      <c r="B115" s="139"/>
      <c r="C115" s="139"/>
      <c r="D115" s="139"/>
      <c r="E115" s="139"/>
      <c r="F115" s="139"/>
      <c r="G115" s="139"/>
      <c r="H115" s="140"/>
      <c r="I115" s="139"/>
      <c r="J115" s="139"/>
      <c r="K115" s="139"/>
      <c r="L115" s="139"/>
      <c r="M115" s="139"/>
      <c r="N115" s="139"/>
      <c r="O115" s="139"/>
      <c r="P115" s="139"/>
      <c r="Q115" s="139"/>
      <c r="R115" s="141"/>
      <c r="S115" s="227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</row>
    <row r="116" ht="18.75" customHeight="1">
      <c r="A116" s="139"/>
      <c r="B116" s="139"/>
      <c r="C116" s="139"/>
      <c r="D116" s="139"/>
      <c r="E116" s="139"/>
      <c r="F116" s="139"/>
      <c r="G116" s="139"/>
      <c r="H116" s="140"/>
      <c r="I116" s="139"/>
      <c r="J116" s="139"/>
      <c r="K116" s="139"/>
      <c r="L116" s="139"/>
      <c r="M116" s="139"/>
      <c r="N116" s="139"/>
      <c r="O116" s="139"/>
      <c r="P116" s="139"/>
      <c r="Q116" s="139"/>
      <c r="R116" s="141"/>
      <c r="S116" s="227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</row>
    <row r="117" ht="42.0" customHeight="1">
      <c r="A117" s="176"/>
      <c r="B117" s="160" t="s">
        <v>12</v>
      </c>
      <c r="C117" s="177" t="s">
        <v>74</v>
      </c>
      <c r="D117" s="52"/>
      <c r="E117" s="53"/>
      <c r="F117" s="228"/>
      <c r="G117" s="228"/>
      <c r="H117" s="179" t="s">
        <v>14</v>
      </c>
      <c r="I117" s="224" t="s">
        <v>15</v>
      </c>
      <c r="J117" s="160" t="s">
        <v>16</v>
      </c>
      <c r="K117" s="139"/>
      <c r="L117" s="139"/>
      <c r="M117" s="139"/>
      <c r="N117" s="139"/>
      <c r="O117" s="139"/>
      <c r="P117" s="139"/>
      <c r="Q117" s="139"/>
      <c r="R117" s="141"/>
      <c r="S117" s="227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</row>
    <row r="118" ht="24.75" customHeight="1">
      <c r="A118" s="160">
        <v>1.0</v>
      </c>
      <c r="B118" s="229" t="s">
        <v>56</v>
      </c>
      <c r="C118" s="181"/>
      <c r="D118" s="181"/>
      <c r="E118" s="181"/>
      <c r="F118" s="181"/>
      <c r="G118" s="181"/>
      <c r="H118" s="232">
        <v>37.0</v>
      </c>
      <c r="I118" s="181">
        <v>1.0</v>
      </c>
      <c r="J118" s="194">
        <f t="shared" ref="J118:J129" si="107">+I118*H118</f>
        <v>37</v>
      </c>
      <c r="K118" s="176"/>
      <c r="L118" s="176"/>
      <c r="M118" s="176"/>
      <c r="N118" s="176"/>
      <c r="O118" s="176"/>
      <c r="P118" s="176"/>
      <c r="Q118" s="227"/>
      <c r="R118" s="227"/>
      <c r="S118" s="227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</row>
    <row r="119" ht="24.75" customHeight="1">
      <c r="A119" s="160">
        <v>2.0</v>
      </c>
      <c r="B119" s="215" t="s">
        <v>56</v>
      </c>
      <c r="C119" s="181"/>
      <c r="D119" s="181"/>
      <c r="E119" s="181"/>
      <c r="F119" s="181"/>
      <c r="G119" s="181"/>
      <c r="H119" s="232">
        <v>19.0</v>
      </c>
      <c r="I119" s="181">
        <v>1.0</v>
      </c>
      <c r="J119" s="194">
        <f t="shared" si="107"/>
        <v>19</v>
      </c>
      <c r="K119" s="176"/>
      <c r="L119" s="176"/>
      <c r="M119" s="176"/>
      <c r="N119" s="176"/>
      <c r="O119" s="176"/>
      <c r="P119" s="176"/>
      <c r="Q119" s="227"/>
      <c r="R119" s="227"/>
      <c r="S119" s="227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</row>
    <row r="120" ht="24.75" customHeight="1">
      <c r="A120" s="160">
        <v>3.0</v>
      </c>
      <c r="B120" s="182" t="s">
        <v>56</v>
      </c>
      <c r="C120" s="181"/>
      <c r="D120" s="181"/>
      <c r="E120" s="181"/>
      <c r="F120" s="181"/>
      <c r="G120" s="181"/>
      <c r="H120" s="232">
        <v>40.0</v>
      </c>
      <c r="I120" s="181">
        <v>1.0</v>
      </c>
      <c r="J120" s="194">
        <f t="shared" si="107"/>
        <v>40</v>
      </c>
      <c r="K120" s="176"/>
      <c r="L120" s="176"/>
      <c r="M120" s="176"/>
      <c r="N120" s="176"/>
      <c r="O120" s="176"/>
      <c r="P120" s="176"/>
      <c r="Q120" s="227"/>
      <c r="R120" s="227"/>
      <c r="S120" s="227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</row>
    <row r="121" ht="24.75" customHeight="1">
      <c r="A121" s="160">
        <v>4.0</v>
      </c>
      <c r="B121" s="218" t="s">
        <v>56</v>
      </c>
      <c r="C121" s="181"/>
      <c r="D121" s="181"/>
      <c r="E121" s="181"/>
      <c r="F121" s="181"/>
      <c r="G121" s="181"/>
      <c r="H121" s="232">
        <v>16.0</v>
      </c>
      <c r="I121" s="181">
        <v>1.0</v>
      </c>
      <c r="J121" s="194">
        <f t="shared" si="107"/>
        <v>16</v>
      </c>
      <c r="K121" s="176"/>
      <c r="L121" s="176"/>
      <c r="M121" s="176"/>
      <c r="N121" s="176"/>
      <c r="O121" s="176"/>
      <c r="P121" s="176"/>
      <c r="Q121" s="227"/>
      <c r="R121" s="227"/>
      <c r="S121" s="227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</row>
    <row r="122" ht="24.75" customHeight="1">
      <c r="A122" s="160">
        <v>5.0</v>
      </c>
      <c r="B122" s="233" t="s">
        <v>56</v>
      </c>
      <c r="C122" s="181"/>
      <c r="D122" s="181"/>
      <c r="E122" s="181"/>
      <c r="F122" s="181"/>
      <c r="G122" s="181"/>
      <c r="H122" s="232">
        <v>45.0</v>
      </c>
      <c r="I122" s="181">
        <v>1.0</v>
      </c>
      <c r="J122" s="194">
        <f t="shared" si="107"/>
        <v>45</v>
      </c>
      <c r="K122" s="176"/>
      <c r="L122" s="176"/>
      <c r="M122" s="176"/>
      <c r="N122" s="176"/>
      <c r="O122" s="176"/>
      <c r="P122" s="176"/>
      <c r="Q122" s="227"/>
      <c r="R122" s="227"/>
      <c r="S122" s="227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</row>
    <row r="123" ht="24.75" customHeight="1">
      <c r="A123" s="160">
        <v>6.0</v>
      </c>
      <c r="B123" s="234" t="s">
        <v>56</v>
      </c>
      <c r="C123" s="181"/>
      <c r="D123" s="181"/>
      <c r="E123" s="181"/>
      <c r="F123" s="181"/>
      <c r="G123" s="181"/>
      <c r="H123" s="232">
        <v>17.0</v>
      </c>
      <c r="I123" s="181">
        <v>1.0</v>
      </c>
      <c r="J123" s="194">
        <f t="shared" si="107"/>
        <v>17</v>
      </c>
      <c r="K123" s="176"/>
      <c r="L123" s="176"/>
      <c r="M123" s="176"/>
      <c r="N123" s="176"/>
      <c r="O123" s="176"/>
      <c r="P123" s="176"/>
      <c r="Q123" s="227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</row>
    <row r="124" ht="24.75" customHeight="1">
      <c r="A124" s="160">
        <v>7.0</v>
      </c>
      <c r="B124" s="182" t="s">
        <v>58</v>
      </c>
      <c r="C124" s="181"/>
      <c r="D124" s="181"/>
      <c r="E124" s="181"/>
      <c r="F124" s="181"/>
      <c r="G124" s="181"/>
      <c r="H124" s="232">
        <v>26.0</v>
      </c>
      <c r="I124" s="181">
        <v>1.0</v>
      </c>
      <c r="J124" s="194">
        <f t="shared" si="107"/>
        <v>26</v>
      </c>
      <c r="K124" s="176"/>
      <c r="L124" s="176"/>
      <c r="M124" s="176"/>
      <c r="N124" s="176"/>
      <c r="O124" s="176"/>
      <c r="P124" s="176"/>
      <c r="Q124" s="227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</row>
    <row r="125" ht="24.75" customHeight="1">
      <c r="A125" s="160">
        <v>8.0</v>
      </c>
      <c r="B125" s="218" t="s">
        <v>58</v>
      </c>
      <c r="C125" s="181"/>
      <c r="D125" s="181"/>
      <c r="E125" s="181"/>
      <c r="F125" s="181"/>
      <c r="G125" s="181"/>
      <c r="H125" s="232">
        <v>13.0</v>
      </c>
      <c r="I125" s="181">
        <v>1.0</v>
      </c>
      <c r="J125" s="194">
        <f t="shared" si="107"/>
        <v>13</v>
      </c>
      <c r="K125" s="176"/>
      <c r="L125" s="176"/>
      <c r="M125" s="176"/>
      <c r="N125" s="176"/>
      <c r="O125" s="176"/>
      <c r="P125" s="176"/>
      <c r="Q125" s="227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</row>
    <row r="126" ht="24.75" customHeight="1">
      <c r="A126" s="160">
        <v>9.0</v>
      </c>
      <c r="B126" s="182" t="s">
        <v>158</v>
      </c>
      <c r="C126" s="181"/>
      <c r="D126" s="181"/>
      <c r="E126" s="181"/>
      <c r="F126" s="181"/>
      <c r="G126" s="181"/>
      <c r="H126" s="232">
        <v>25.0</v>
      </c>
      <c r="I126" s="181">
        <v>1.0</v>
      </c>
      <c r="J126" s="194">
        <f t="shared" si="107"/>
        <v>25</v>
      </c>
      <c r="K126" s="176"/>
      <c r="L126" s="176"/>
      <c r="M126" s="176"/>
      <c r="N126" s="176"/>
      <c r="O126" s="176"/>
      <c r="P126" s="176"/>
      <c r="Q126" s="227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</row>
    <row r="127" ht="24.75" customHeight="1">
      <c r="A127" s="160">
        <v>10.0</v>
      </c>
      <c r="B127" s="218" t="s">
        <v>158</v>
      </c>
      <c r="C127" s="181"/>
      <c r="D127" s="181"/>
      <c r="E127" s="181"/>
      <c r="F127" s="181"/>
      <c r="G127" s="181"/>
      <c r="H127" s="232">
        <v>19.0</v>
      </c>
      <c r="I127" s="181">
        <v>1.0</v>
      </c>
      <c r="J127" s="194">
        <f t="shared" si="107"/>
        <v>19</v>
      </c>
      <c r="K127" s="176"/>
      <c r="L127" s="176"/>
      <c r="M127" s="176"/>
      <c r="N127" s="176"/>
      <c r="O127" s="176"/>
      <c r="P127" s="176"/>
      <c r="Q127" s="227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</row>
    <row r="128" ht="24.75" customHeight="1">
      <c r="A128" s="160">
        <v>11.0</v>
      </c>
      <c r="B128" s="182" t="s">
        <v>77</v>
      </c>
      <c r="C128" s="181"/>
      <c r="D128" s="181"/>
      <c r="E128" s="181"/>
      <c r="F128" s="181"/>
      <c r="G128" s="181"/>
      <c r="H128" s="232">
        <v>25.0</v>
      </c>
      <c r="I128" s="181">
        <v>1.0</v>
      </c>
      <c r="J128" s="194">
        <f t="shared" si="107"/>
        <v>25</v>
      </c>
      <c r="K128" s="176"/>
      <c r="L128" s="176"/>
      <c r="M128" s="176"/>
      <c r="N128" s="176"/>
      <c r="O128" s="176"/>
      <c r="P128" s="176"/>
      <c r="Q128" s="227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</row>
    <row r="129" ht="24.75" customHeight="1">
      <c r="A129" s="160">
        <v>12.0</v>
      </c>
      <c r="B129" s="218" t="s">
        <v>77</v>
      </c>
      <c r="C129" s="181"/>
      <c r="D129" s="181"/>
      <c r="E129" s="181"/>
      <c r="F129" s="181"/>
      <c r="G129" s="181"/>
      <c r="H129" s="232">
        <v>10.0</v>
      </c>
      <c r="I129" s="181">
        <v>1.0</v>
      </c>
      <c r="J129" s="194">
        <f t="shared" si="107"/>
        <v>10</v>
      </c>
      <c r="K129" s="176"/>
      <c r="L129" s="176"/>
      <c r="M129" s="176"/>
      <c r="N129" s="176"/>
      <c r="O129" s="176"/>
      <c r="P129" s="176"/>
      <c r="Q129" s="227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</row>
    <row r="130" ht="18.75" customHeight="1">
      <c r="A130" s="139"/>
      <c r="B130" s="139"/>
      <c r="C130" s="139"/>
      <c r="D130" s="139"/>
      <c r="E130" s="139"/>
      <c r="F130" s="139"/>
      <c r="G130" s="139"/>
      <c r="H130" s="140" t="s">
        <v>38</v>
      </c>
      <c r="I130" s="139"/>
      <c r="J130" s="235">
        <f>SUM(J118:J129)</f>
        <v>292</v>
      </c>
      <c r="K130" s="236"/>
      <c r="L130" s="236"/>
      <c r="M130" s="236"/>
      <c r="N130" s="236"/>
      <c r="O130" s="236"/>
      <c r="P130" s="236"/>
      <c r="Q130" s="236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</row>
    <row r="131" ht="18.75" customHeight="1">
      <c r="A131" s="144"/>
      <c r="B131" s="144"/>
      <c r="C131" s="144"/>
      <c r="D131" s="144"/>
      <c r="E131" s="144"/>
      <c r="F131" s="144"/>
      <c r="G131" s="144"/>
      <c r="H131" s="145"/>
      <c r="I131" s="173"/>
      <c r="J131" s="205">
        <f>+J130*60%</f>
        <v>175.2</v>
      </c>
      <c r="K131" s="205"/>
      <c r="L131" s="205"/>
      <c r="M131" s="205"/>
      <c r="N131" s="205"/>
      <c r="O131" s="205"/>
      <c r="P131" s="205"/>
      <c r="Q131" s="205">
        <f>+J130*40%</f>
        <v>116.8</v>
      </c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</row>
    <row r="132" ht="18.75" customHeight="1">
      <c r="A132" s="139"/>
      <c r="B132" s="139"/>
      <c r="C132" s="139"/>
      <c r="D132" s="139"/>
      <c r="E132" s="139"/>
      <c r="F132" s="139"/>
      <c r="G132" s="139"/>
      <c r="H132" s="140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</row>
    <row r="133" ht="18.75" customHeight="1">
      <c r="A133" s="139"/>
      <c r="B133" s="139"/>
      <c r="C133" s="139"/>
      <c r="D133" s="139"/>
      <c r="E133" s="139"/>
      <c r="F133" s="139"/>
      <c r="G133" s="139"/>
      <c r="H133" s="140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</row>
    <row r="134" ht="19.5" customHeight="1">
      <c r="A134" s="238" t="s">
        <v>41</v>
      </c>
      <c r="B134" s="139"/>
      <c r="C134" s="139"/>
      <c r="D134" s="139"/>
      <c r="E134" s="139"/>
      <c r="F134" s="139"/>
      <c r="G134" s="139"/>
      <c r="H134" s="140"/>
      <c r="I134" s="139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</row>
    <row r="135" ht="57.0" customHeight="1">
      <c r="A135" s="239"/>
      <c r="B135" s="240" t="s">
        <v>42</v>
      </c>
      <c r="C135" s="240" t="s">
        <v>43</v>
      </c>
      <c r="D135" s="240" t="s">
        <v>44</v>
      </c>
      <c r="E135" s="240" t="s">
        <v>45</v>
      </c>
      <c r="F135" s="240"/>
      <c r="G135" s="240"/>
      <c r="H135" s="241" t="s">
        <v>46</v>
      </c>
      <c r="I135" s="242" t="s">
        <v>47</v>
      </c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</row>
    <row r="136" ht="18.75" customHeight="1">
      <c r="A136" s="243" t="s">
        <v>48</v>
      </c>
      <c r="B136" s="244">
        <f>+E14</f>
        <v>16499.764</v>
      </c>
      <c r="C136" s="245">
        <f>+J98</f>
        <v>14104.97092</v>
      </c>
      <c r="D136" s="245">
        <f>+J111</f>
        <v>551.43441</v>
      </c>
      <c r="E136" s="246">
        <f>J131</f>
        <v>175.2</v>
      </c>
      <c r="F136" s="246"/>
      <c r="G136" s="246"/>
      <c r="H136" s="247">
        <f>+I14</f>
        <v>809.7384969</v>
      </c>
      <c r="I136" s="248">
        <f>+B136-C136-D136-E136-H136</f>
        <v>858.4201691</v>
      </c>
      <c r="J136" s="139"/>
      <c r="K136" s="139"/>
      <c r="L136" s="139"/>
      <c r="M136" s="139"/>
      <c r="N136" s="139"/>
      <c r="O136" s="139"/>
      <c r="P136" s="139"/>
      <c r="Q136" s="139"/>
      <c r="R136" s="141"/>
      <c r="S136" s="227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</row>
    <row r="137" ht="19.5" customHeight="1">
      <c r="A137" s="249" t="s">
        <v>49</v>
      </c>
      <c r="B137" s="250"/>
      <c r="C137" s="251">
        <f>+C136/B136</f>
        <v>0.8548589497</v>
      </c>
      <c r="D137" s="251">
        <f>+D136/B136</f>
        <v>0.03342074529</v>
      </c>
      <c r="E137" s="251">
        <f>+E136/B136</f>
        <v>0.01061833369</v>
      </c>
      <c r="F137" s="251"/>
      <c r="G137" s="251"/>
      <c r="H137" s="252">
        <f>+H136/B136</f>
        <v>0.04907576235</v>
      </c>
      <c r="I137" s="253">
        <f>+I136/B136</f>
        <v>0.05202620893</v>
      </c>
      <c r="J137" s="139"/>
      <c r="K137" s="139"/>
      <c r="L137" s="139"/>
      <c r="M137" s="139"/>
      <c r="N137" s="139"/>
      <c r="O137" s="139"/>
      <c r="P137" s="139"/>
      <c r="Q137" s="139"/>
      <c r="R137" s="141"/>
      <c r="S137" s="227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</row>
    <row r="138" ht="19.5" customHeight="1">
      <c r="A138" s="163"/>
      <c r="B138" s="221"/>
      <c r="C138" s="254"/>
      <c r="D138" s="254"/>
      <c r="E138" s="254"/>
      <c r="F138" s="254"/>
      <c r="G138" s="254"/>
      <c r="H138" s="255"/>
      <c r="I138" s="256"/>
      <c r="J138" s="139"/>
      <c r="K138" s="139"/>
      <c r="L138" s="139"/>
      <c r="M138" s="139"/>
      <c r="N138" s="139"/>
      <c r="O138" s="139"/>
      <c r="P138" s="139"/>
      <c r="Q138" s="139"/>
      <c r="R138" s="141"/>
      <c r="S138" s="227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</row>
    <row r="139" ht="18.75" customHeight="1">
      <c r="A139" s="257"/>
      <c r="B139" s="258"/>
      <c r="C139" s="258"/>
      <c r="D139" s="258" t="s">
        <v>50</v>
      </c>
      <c r="E139" s="258" t="s">
        <v>48</v>
      </c>
      <c r="F139" s="258"/>
      <c r="G139" s="258"/>
      <c r="H139" s="259">
        <f>+D136+E136+H136+I136</f>
        <v>2394.793076</v>
      </c>
      <c r="I139" s="260"/>
      <c r="J139" s="139"/>
      <c r="K139" s="139"/>
      <c r="L139" s="139"/>
      <c r="M139" s="139"/>
      <c r="N139" s="139"/>
      <c r="O139" s="139"/>
      <c r="P139" s="139"/>
      <c r="Q139" s="139"/>
      <c r="R139" s="141"/>
      <c r="S139" s="140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</row>
    <row r="140" ht="18.75" customHeight="1">
      <c r="A140" s="261"/>
      <c r="B140" s="139"/>
      <c r="C140" s="139"/>
      <c r="D140" s="139"/>
      <c r="E140" s="139" t="s">
        <v>49</v>
      </c>
      <c r="F140" s="139"/>
      <c r="G140" s="139"/>
      <c r="H140" s="255">
        <f>+H139/B136</f>
        <v>0.1451410503</v>
      </c>
      <c r="I140" s="262"/>
      <c r="J140" s="139"/>
      <c r="K140" s="139"/>
      <c r="L140" s="139"/>
      <c r="M140" s="139"/>
      <c r="N140" s="139"/>
      <c r="O140" s="139"/>
      <c r="P140" s="139"/>
      <c r="Q140" s="139"/>
      <c r="R140" s="141"/>
      <c r="S140" s="140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</row>
    <row r="141" ht="18.75" customHeight="1">
      <c r="A141" s="261"/>
      <c r="B141" s="139"/>
      <c r="C141" s="139" t="s">
        <v>51</v>
      </c>
      <c r="D141" s="139"/>
      <c r="E141" s="139"/>
      <c r="F141" s="139"/>
      <c r="G141" s="139"/>
      <c r="H141" s="140"/>
      <c r="I141" s="262"/>
      <c r="J141" s="139"/>
      <c r="K141" s="139"/>
      <c r="L141" s="139"/>
      <c r="M141" s="139"/>
      <c r="N141" s="139"/>
      <c r="O141" s="139"/>
      <c r="P141" s="139"/>
      <c r="Q141" s="139"/>
      <c r="R141" s="141"/>
      <c r="S141" s="140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</row>
    <row r="142" ht="18.75" customHeight="1">
      <c r="A142" s="261"/>
      <c r="B142" s="139"/>
      <c r="C142" s="139"/>
      <c r="D142" s="139" t="s">
        <v>52</v>
      </c>
      <c r="E142" s="139"/>
      <c r="F142" s="139"/>
      <c r="G142" s="139"/>
      <c r="H142" s="140">
        <f>+H141*(H139-H136)</f>
        <v>0</v>
      </c>
      <c r="I142" s="262"/>
      <c r="J142" s="139"/>
      <c r="K142" s="139"/>
      <c r="L142" s="139"/>
      <c r="M142" s="139"/>
      <c r="N142" s="139"/>
      <c r="O142" s="139"/>
      <c r="P142" s="139"/>
      <c r="Q142" s="139"/>
      <c r="R142" s="141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</row>
    <row r="143" ht="19.5" customHeight="1">
      <c r="A143" s="263"/>
      <c r="B143" s="264"/>
      <c r="C143" s="264"/>
      <c r="D143" s="264"/>
      <c r="E143" s="264"/>
      <c r="F143" s="264"/>
      <c r="G143" s="264"/>
      <c r="H143" s="265"/>
      <c r="I143" s="266"/>
      <c r="J143" s="139"/>
      <c r="K143" s="139"/>
      <c r="L143" s="139"/>
      <c r="M143" s="139"/>
      <c r="N143" s="139"/>
      <c r="O143" s="139"/>
      <c r="P143" s="139"/>
      <c r="Q143" s="139"/>
      <c r="R143" s="141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</row>
    <row r="144" ht="18.75" customHeight="1">
      <c r="A144" s="139"/>
      <c r="B144" s="139"/>
      <c r="C144" s="139"/>
      <c r="D144" s="139"/>
      <c r="E144" s="139"/>
      <c r="F144" s="139"/>
      <c r="G144" s="139"/>
      <c r="H144" s="140"/>
      <c r="I144" s="139"/>
      <c r="J144" s="139"/>
      <c r="K144" s="139"/>
      <c r="L144" s="139"/>
      <c r="M144" s="139"/>
      <c r="N144" s="139"/>
      <c r="O144" s="139"/>
      <c r="P144" s="139"/>
      <c r="Q144" s="139"/>
      <c r="R144" s="141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</row>
    <row r="145" ht="18.75" customHeight="1">
      <c r="A145" s="139"/>
      <c r="B145" s="139"/>
      <c r="C145" s="139"/>
      <c r="D145" s="139"/>
      <c r="E145" s="139"/>
      <c r="F145" s="139"/>
      <c r="G145" s="139"/>
      <c r="H145" s="140"/>
      <c r="I145" s="139"/>
      <c r="J145" s="139"/>
      <c r="K145" s="139"/>
      <c r="L145" s="139"/>
      <c r="M145" s="139"/>
      <c r="N145" s="139"/>
      <c r="O145" s="139"/>
      <c r="P145" s="139"/>
      <c r="Q145" s="139"/>
      <c r="R145" s="141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</row>
    <row r="146" ht="18.75" customHeight="1">
      <c r="A146" s="139"/>
      <c r="B146" s="139"/>
      <c r="C146" s="139"/>
      <c r="D146" s="139"/>
      <c r="E146" s="139"/>
      <c r="F146" s="139"/>
      <c r="G146" s="139"/>
      <c r="H146" s="140"/>
      <c r="I146" s="139"/>
      <c r="J146" s="139"/>
      <c r="K146" s="139"/>
      <c r="L146" s="139"/>
      <c r="M146" s="139"/>
      <c r="N146" s="139"/>
      <c r="O146" s="139"/>
      <c r="P146" s="139"/>
      <c r="Q146" s="139"/>
      <c r="R146" s="141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7"/>
      <c r="R147" s="268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7"/>
      <c r="R148" s="268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7"/>
      <c r="R149" s="268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7"/>
      <c r="R150" s="268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7"/>
      <c r="R151" s="268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7"/>
      <c r="R152" s="268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7"/>
      <c r="R153" s="268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7"/>
      <c r="R154" s="268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7"/>
      <c r="R155" s="268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7"/>
      <c r="R156" s="268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7"/>
      <c r="R157" s="268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7"/>
      <c r="R158" s="26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7"/>
      <c r="R159" s="26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7"/>
      <c r="R160" s="26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7"/>
      <c r="R161" s="26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7"/>
      <c r="R162" s="26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7"/>
      <c r="R163" s="26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7"/>
      <c r="R164" s="26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7"/>
      <c r="R165" s="26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7"/>
      <c r="R166" s="26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7"/>
      <c r="R167" s="26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7"/>
      <c r="R168" s="26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7"/>
      <c r="R169" s="26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7"/>
      <c r="R170" s="26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7"/>
      <c r="R171" s="26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7"/>
      <c r="R172" s="26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7"/>
      <c r="R173" s="26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7"/>
      <c r="R174" s="26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7"/>
      <c r="R175" s="26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7"/>
      <c r="R176" s="26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7"/>
      <c r="R177" s="26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7"/>
      <c r="R178" s="26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7"/>
      <c r="R179" s="26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7"/>
      <c r="R180" s="26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7"/>
      <c r="R181" s="26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7"/>
      <c r="R182" s="26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7"/>
      <c r="R183" s="26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7"/>
      <c r="R184" s="26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7"/>
      <c r="R185" s="26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7"/>
      <c r="R186" s="26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7"/>
      <c r="R187" s="26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7"/>
      <c r="R188" s="26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7"/>
      <c r="R189" s="26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7"/>
      <c r="R190" s="26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7"/>
      <c r="R191" s="26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7"/>
      <c r="R192" s="26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7"/>
      <c r="R193" s="26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7"/>
      <c r="R194" s="26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7"/>
      <c r="R252" s="26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7"/>
      <c r="R253" s="26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7"/>
      <c r="R254" s="26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7"/>
      <c r="R255" s="26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7"/>
      <c r="R256" s="26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7"/>
      <c r="R257" s="26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7"/>
      <c r="R258" s="26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7"/>
      <c r="R259" s="26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7"/>
      <c r="R260" s="26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7"/>
      <c r="R261" s="26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7"/>
      <c r="R262" s="26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7"/>
      <c r="R263" s="26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7"/>
      <c r="R264" s="26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7"/>
      <c r="R265" s="26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7"/>
      <c r="R266" s="26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7"/>
      <c r="R267" s="26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7"/>
      <c r="R268" s="26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7"/>
      <c r="R269" s="26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7"/>
      <c r="R270" s="26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7"/>
      <c r="R271" s="26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7"/>
      <c r="R272" s="26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7"/>
      <c r="R273" s="26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7"/>
      <c r="R274" s="26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7"/>
      <c r="R275" s="26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7"/>
      <c r="R276" s="26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7"/>
      <c r="R277" s="26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7"/>
      <c r="R278" s="26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7"/>
      <c r="R279" s="26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7"/>
      <c r="R280" s="26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7"/>
      <c r="R281" s="26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7"/>
      <c r="R282" s="26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7"/>
      <c r="R283" s="26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7"/>
      <c r="R284" s="26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7"/>
      <c r="R285" s="26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7"/>
      <c r="R286" s="26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7"/>
      <c r="R287" s="26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7"/>
      <c r="R288" s="26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7"/>
      <c r="R289" s="26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7"/>
      <c r="R290" s="26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7"/>
      <c r="R291" s="26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7"/>
      <c r="R292" s="26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7"/>
      <c r="R293" s="26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7"/>
      <c r="R294" s="26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7"/>
      <c r="R295" s="26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7"/>
      <c r="R296" s="26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7"/>
      <c r="R297" s="26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7"/>
      <c r="R298" s="26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7"/>
      <c r="R299" s="26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7"/>
      <c r="R300" s="26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7"/>
      <c r="R301" s="26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7"/>
      <c r="R302" s="26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7"/>
      <c r="R303" s="268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7"/>
      <c r="R304" s="268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7"/>
      <c r="R305" s="268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7"/>
      <c r="R306" s="268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7"/>
      <c r="R307" s="268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7"/>
      <c r="R308" s="268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7"/>
      <c r="R309" s="268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7"/>
      <c r="R310" s="268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7"/>
      <c r="R311" s="268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7"/>
      <c r="R312" s="268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7"/>
      <c r="R313" s="268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7"/>
      <c r="R314" s="268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7"/>
      <c r="R315" s="268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7"/>
      <c r="R316" s="268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7"/>
      <c r="R317" s="268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7"/>
      <c r="R318" s="268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7"/>
      <c r="R319" s="268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7"/>
      <c r="R320" s="268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7"/>
      <c r="R321" s="268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7"/>
      <c r="R322" s="268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7"/>
      <c r="R323" s="268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7"/>
      <c r="R324" s="268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7"/>
      <c r="R325" s="268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7"/>
      <c r="R326" s="268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7"/>
      <c r="R327" s="268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7"/>
      <c r="R328" s="268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7"/>
      <c r="R329" s="268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7"/>
      <c r="R330" s="268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7"/>
      <c r="R331" s="268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7"/>
      <c r="R332" s="268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7"/>
      <c r="R333" s="268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7"/>
      <c r="R334" s="268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7"/>
      <c r="R335" s="268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7"/>
      <c r="R336" s="268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7"/>
      <c r="R337" s="268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7"/>
      <c r="R338" s="268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7"/>
      <c r="R339" s="268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7"/>
      <c r="R340" s="268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7"/>
      <c r="R341" s="268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7"/>
      <c r="R342" s="268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104:E104"/>
    <mergeCell ref="C117:E117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44363.0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173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55</v>
      </c>
      <c r="C8" s="154">
        <v>29.5</v>
      </c>
      <c r="D8" s="155">
        <v>0.0155</v>
      </c>
      <c r="E8" s="156">
        <f>254.485*36</f>
        <v>9161.46</v>
      </c>
      <c r="F8" s="156"/>
      <c r="G8" s="156"/>
      <c r="H8" s="157">
        <v>36.0</v>
      </c>
      <c r="I8" s="158">
        <f t="shared" ref="I8:I14" si="1">+D8*E8</f>
        <v>142.00263</v>
      </c>
      <c r="J8" s="159">
        <f t="shared" ref="J8:J14" si="2">E8-I8</f>
        <v>9019.45737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60" t="s">
        <v>56</v>
      </c>
      <c r="C9" s="154">
        <v>29.5</v>
      </c>
      <c r="D9" s="161">
        <v>0.0146</v>
      </c>
      <c r="E9" s="162">
        <f>253.83*27.7</f>
        <v>7031.091</v>
      </c>
      <c r="F9" s="162"/>
      <c r="G9" s="162"/>
      <c r="H9" s="157">
        <v>27.7</v>
      </c>
      <c r="I9" s="158">
        <f t="shared" si="1"/>
        <v>102.6539286</v>
      </c>
      <c r="J9" s="159">
        <f t="shared" si="2"/>
        <v>6928.437071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60" t="s">
        <v>61</v>
      </c>
      <c r="C10" s="154">
        <v>29.5</v>
      </c>
      <c r="D10" s="155">
        <v>0.068</v>
      </c>
      <c r="E10" s="156">
        <f>256.161*9.7</f>
        <v>2484.7617</v>
      </c>
      <c r="F10" s="156"/>
      <c r="G10" s="156"/>
      <c r="H10" s="157">
        <v>9.7</v>
      </c>
      <c r="I10" s="158">
        <f t="shared" si="1"/>
        <v>168.9637956</v>
      </c>
      <c r="J10" s="159">
        <f t="shared" si="2"/>
        <v>2315.797904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174</v>
      </c>
      <c r="C11" s="154">
        <v>23.5</v>
      </c>
      <c r="D11" s="161">
        <v>0.0559</v>
      </c>
      <c r="E11" s="162">
        <f>266.276*2.8</f>
        <v>745.5728</v>
      </c>
      <c r="F11" s="162"/>
      <c r="G11" s="162"/>
      <c r="H11" s="157">
        <v>2.8</v>
      </c>
      <c r="I11" s="158">
        <f t="shared" si="1"/>
        <v>41.67751952</v>
      </c>
      <c r="J11" s="159">
        <f t="shared" si="2"/>
        <v>703.8952805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82</v>
      </c>
      <c r="C12" s="160">
        <v>26.5</v>
      </c>
      <c r="D12" s="161">
        <v>0.0547</v>
      </c>
      <c r="E12" s="162">
        <f>227.958*12.3</f>
        <v>2803.8834</v>
      </c>
      <c r="F12" s="162"/>
      <c r="G12" s="162"/>
      <c r="H12" s="157">
        <v>12.3</v>
      </c>
      <c r="I12" s="158">
        <f t="shared" si="1"/>
        <v>153.372422</v>
      </c>
      <c r="J12" s="159">
        <f t="shared" si="2"/>
        <v>2650.510978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26.25" customHeight="1">
      <c r="A13" s="153">
        <v>6.0</v>
      </c>
      <c r="B13" s="160" t="s">
        <v>76</v>
      </c>
      <c r="C13" s="160">
        <v>22.5</v>
      </c>
      <c r="D13" s="161">
        <v>0.1086</v>
      </c>
      <c r="E13" s="162">
        <f>208.598*25.6</f>
        <v>5340.1088</v>
      </c>
      <c r="F13" s="162"/>
      <c r="G13" s="162"/>
      <c r="H13" s="157">
        <v>25.6</v>
      </c>
      <c r="I13" s="158">
        <f t="shared" si="1"/>
        <v>579.9358157</v>
      </c>
      <c r="J13" s="159">
        <f t="shared" si="2"/>
        <v>4760.172984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26.25" customHeight="1">
      <c r="A14" s="153">
        <v>7.0</v>
      </c>
      <c r="B14" s="160" t="s">
        <v>55</v>
      </c>
      <c r="C14" s="160">
        <v>29.5</v>
      </c>
      <c r="D14" s="161">
        <v>0.0155</v>
      </c>
      <c r="E14" s="162">
        <f>217.92*20</f>
        <v>4358.4</v>
      </c>
      <c r="F14" s="162"/>
      <c r="G14" s="162"/>
      <c r="H14" s="157">
        <v>20.0</v>
      </c>
      <c r="I14" s="158">
        <f t="shared" si="1"/>
        <v>67.5552</v>
      </c>
      <c r="J14" s="159">
        <f t="shared" si="2"/>
        <v>4290.8448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63"/>
      <c r="B15" s="164"/>
      <c r="C15" s="165"/>
      <c r="D15" s="166"/>
      <c r="E15" s="167">
        <f>SUM(E8:E14)</f>
        <v>31925.2777</v>
      </c>
      <c r="F15" s="168"/>
      <c r="G15" s="168"/>
      <c r="H15" s="169"/>
      <c r="I15" s="170">
        <f t="shared" ref="I15:J15" si="3">SUM(I8:I14)</f>
        <v>1256.161311</v>
      </c>
      <c r="J15" s="171">
        <f t="shared" si="3"/>
        <v>30669.11639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72"/>
      <c r="B16" s="144"/>
      <c r="C16" s="144"/>
      <c r="D16" s="173"/>
      <c r="E16" s="174"/>
      <c r="F16" s="151"/>
      <c r="G16" s="151"/>
      <c r="H16" s="147"/>
      <c r="I16" s="175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18.75" customHeight="1">
      <c r="A19" s="139" t="s">
        <v>11</v>
      </c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40.5" customHeight="1">
      <c r="A21" s="176"/>
      <c r="B21" s="160" t="s">
        <v>12</v>
      </c>
      <c r="C21" s="177" t="s">
        <v>62</v>
      </c>
      <c r="D21" s="52"/>
      <c r="E21" s="53"/>
      <c r="F21" s="178"/>
      <c r="G21" s="178"/>
      <c r="H21" s="179" t="s">
        <v>14</v>
      </c>
      <c r="I21" s="160" t="s">
        <v>15</v>
      </c>
      <c r="J21" s="160" t="s">
        <v>16</v>
      </c>
      <c r="K21" s="139"/>
      <c r="L21" s="160" t="s">
        <v>17</v>
      </c>
      <c r="M21" s="160" t="s">
        <v>15</v>
      </c>
      <c r="N21" s="176" t="s">
        <v>18</v>
      </c>
      <c r="O21" s="139"/>
      <c r="P21" s="139"/>
      <c r="Q21" s="176" t="s">
        <v>129</v>
      </c>
      <c r="R21" s="180"/>
      <c r="S21" s="160" t="s">
        <v>17</v>
      </c>
      <c r="T21" s="160" t="s">
        <v>15</v>
      </c>
      <c r="U21" s="176" t="s">
        <v>18</v>
      </c>
      <c r="V21" s="139"/>
      <c r="W21" s="176" t="s">
        <v>19</v>
      </c>
      <c r="X21" s="176" t="s">
        <v>20</v>
      </c>
      <c r="Y21" s="176" t="s">
        <v>21</v>
      </c>
      <c r="Z21" s="176" t="s">
        <v>175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1.0</v>
      </c>
      <c r="B22" s="182" t="s">
        <v>64</v>
      </c>
      <c r="C22" s="183">
        <v>91.0</v>
      </c>
      <c r="D22" s="183">
        <v>203.0</v>
      </c>
      <c r="E22" s="183">
        <v>232.0</v>
      </c>
      <c r="F22" s="183">
        <f t="shared" ref="F22:F100" si="5">VALUE(IF(RIGHT(B22, 1)="%", RIGHT(B22, 3), 0))</f>
        <v>0.8</v>
      </c>
      <c r="G22" s="183">
        <f t="shared" ref="G22:G100" si="6">+R22*C22/100*D22/100*E22/100</f>
        <v>126.429212</v>
      </c>
      <c r="H22" s="184">
        <f t="shared" ref="H22:H100" si="7">IF(F22=0, G22, F22*G22)</f>
        <v>101.1433696</v>
      </c>
      <c r="I22" s="183">
        <v>1.0</v>
      </c>
      <c r="J22" s="194">
        <f t="shared" ref="J22:J100" si="8">+I22*H22</f>
        <v>101.1433696</v>
      </c>
      <c r="K22" s="186"/>
      <c r="L22" s="187">
        <f>D22*25.4/1000</f>
        <v>5.1562</v>
      </c>
      <c r="M22" s="181">
        <f>+I22</f>
        <v>1</v>
      </c>
      <c r="N22" s="181">
        <f>M22*L22</f>
        <v>5.1562</v>
      </c>
      <c r="O22" s="186"/>
      <c r="P22" s="186"/>
      <c r="Q22" s="187"/>
      <c r="R22" s="281">
        <v>29.5</v>
      </c>
      <c r="S22" s="176">
        <f t="shared" ref="S22:S101" si="9">E22/100</f>
        <v>2.32</v>
      </c>
      <c r="T22" s="160">
        <f t="shared" ref="T22:T101" si="10">I22</f>
        <v>1</v>
      </c>
      <c r="U22" s="160">
        <f t="shared" ref="U22:U101" si="11">T22*S22</f>
        <v>2.32</v>
      </c>
      <c r="V22" s="282">
        <f t="shared" ref="V22:V100" si="12">R22*C22/100*D22/100*E22/100</f>
        <v>126.429212</v>
      </c>
      <c r="W22" s="176">
        <f t="shared" ref="W22:X22" si="4">C22/100</f>
        <v>0.91</v>
      </c>
      <c r="X22" s="176">
        <f t="shared" si="4"/>
        <v>2.03</v>
      </c>
      <c r="Y22" s="176">
        <f t="shared" ref="Y22:Y101" si="14">U22</f>
        <v>2.32</v>
      </c>
      <c r="Z22" s="283">
        <f t="shared" ref="Z22:Z101" si="15">W22*X22*Y22</f>
        <v>4.285736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2.0</v>
      </c>
      <c r="B23" s="191" t="s">
        <v>55</v>
      </c>
      <c r="C23" s="191">
        <v>98.0</v>
      </c>
      <c r="D23" s="191">
        <v>203.0</v>
      </c>
      <c r="E23" s="191">
        <v>233.0</v>
      </c>
      <c r="F23" s="191">
        <f t="shared" si="5"/>
        <v>0</v>
      </c>
      <c r="G23" s="191">
        <f t="shared" si="6"/>
        <v>136.741409</v>
      </c>
      <c r="H23" s="219">
        <f t="shared" si="7"/>
        <v>136.741409</v>
      </c>
      <c r="I23" s="218">
        <v>1.0</v>
      </c>
      <c r="J23" s="193">
        <f t="shared" si="8"/>
        <v>136.741409</v>
      </c>
      <c r="K23" s="186"/>
      <c r="L23" s="187"/>
      <c r="M23" s="181"/>
      <c r="N23" s="181"/>
      <c r="O23" s="186"/>
      <c r="P23" s="186"/>
      <c r="Q23" s="187"/>
      <c r="R23" s="281">
        <v>29.5</v>
      </c>
      <c r="S23" s="176">
        <f t="shared" si="9"/>
        <v>2.33</v>
      </c>
      <c r="T23" s="160">
        <f t="shared" si="10"/>
        <v>1</v>
      </c>
      <c r="U23" s="160">
        <f t="shared" si="11"/>
        <v>2.33</v>
      </c>
      <c r="V23" s="282">
        <f t="shared" si="12"/>
        <v>136.741409</v>
      </c>
      <c r="W23" s="176">
        <f t="shared" ref="W23:X23" si="13">C23/100</f>
        <v>0.98</v>
      </c>
      <c r="X23" s="176">
        <f t="shared" si="13"/>
        <v>2.03</v>
      </c>
      <c r="Y23" s="176">
        <f t="shared" si="14"/>
        <v>2.33</v>
      </c>
      <c r="Z23" s="283">
        <f t="shared" si="15"/>
        <v>4.635302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3.0</v>
      </c>
      <c r="B24" s="191" t="s">
        <v>55</v>
      </c>
      <c r="C24" s="191">
        <v>97.0</v>
      </c>
      <c r="D24" s="191">
        <v>203.0</v>
      </c>
      <c r="E24" s="191">
        <v>232.0</v>
      </c>
      <c r="F24" s="191">
        <f t="shared" si="5"/>
        <v>0</v>
      </c>
      <c r="G24" s="191">
        <f t="shared" si="6"/>
        <v>134.765204</v>
      </c>
      <c r="H24" s="219">
        <f t="shared" si="7"/>
        <v>134.765204</v>
      </c>
      <c r="I24" s="218">
        <v>1.0</v>
      </c>
      <c r="J24" s="193">
        <f t="shared" si="8"/>
        <v>134.765204</v>
      </c>
      <c r="K24" s="186"/>
      <c r="L24" s="187">
        <f t="shared" ref="L24:L45" si="17">D24*25.4/1000</f>
        <v>5.1562</v>
      </c>
      <c r="M24" s="181">
        <f t="shared" ref="M24:M54" si="18">+I24</f>
        <v>1</v>
      </c>
      <c r="N24" s="181">
        <f t="shared" ref="N24:N45" si="19">M24*L24</f>
        <v>5.1562</v>
      </c>
      <c r="O24" s="186"/>
      <c r="P24" s="186"/>
      <c r="Q24" s="187" t="s">
        <v>153</v>
      </c>
      <c r="R24" s="281">
        <v>29.5</v>
      </c>
      <c r="S24" s="176">
        <f t="shared" si="9"/>
        <v>2.32</v>
      </c>
      <c r="T24" s="160">
        <f t="shared" si="10"/>
        <v>1</v>
      </c>
      <c r="U24" s="160">
        <f t="shared" si="11"/>
        <v>2.32</v>
      </c>
      <c r="V24" s="282">
        <f t="shared" si="12"/>
        <v>134.765204</v>
      </c>
      <c r="W24" s="176">
        <f t="shared" ref="W24:X24" si="16">C24/100</f>
        <v>0.97</v>
      </c>
      <c r="X24" s="176">
        <f t="shared" si="16"/>
        <v>2.03</v>
      </c>
      <c r="Y24" s="176">
        <f t="shared" si="14"/>
        <v>2.32</v>
      </c>
      <c r="Z24" s="283">
        <f t="shared" si="15"/>
        <v>4.568312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4.0</v>
      </c>
      <c r="B25" s="191" t="s">
        <v>55</v>
      </c>
      <c r="C25" s="191">
        <v>97.0</v>
      </c>
      <c r="D25" s="191">
        <v>203.0</v>
      </c>
      <c r="E25" s="191">
        <v>232.0</v>
      </c>
      <c r="F25" s="191">
        <f t="shared" si="5"/>
        <v>0</v>
      </c>
      <c r="G25" s="191">
        <f t="shared" si="6"/>
        <v>134.765204</v>
      </c>
      <c r="H25" s="219">
        <f t="shared" si="7"/>
        <v>134.765204</v>
      </c>
      <c r="I25" s="218">
        <v>1.0</v>
      </c>
      <c r="J25" s="193">
        <f t="shared" si="8"/>
        <v>134.765204</v>
      </c>
      <c r="K25" s="186"/>
      <c r="L25" s="187">
        <f t="shared" si="17"/>
        <v>5.1562</v>
      </c>
      <c r="M25" s="181">
        <f t="shared" si="18"/>
        <v>1</v>
      </c>
      <c r="N25" s="181">
        <f t="shared" si="19"/>
        <v>5.1562</v>
      </c>
      <c r="O25" s="186"/>
      <c r="P25" s="186"/>
      <c r="Q25" s="187" t="s">
        <v>155</v>
      </c>
      <c r="R25" s="281">
        <v>29.5</v>
      </c>
      <c r="S25" s="176">
        <f t="shared" si="9"/>
        <v>2.32</v>
      </c>
      <c r="T25" s="160">
        <f t="shared" si="10"/>
        <v>1</v>
      </c>
      <c r="U25" s="160">
        <f t="shared" si="11"/>
        <v>2.32</v>
      </c>
      <c r="V25" s="282">
        <f t="shared" si="12"/>
        <v>134.765204</v>
      </c>
      <c r="W25" s="176">
        <f t="shared" ref="W25:X25" si="20">C25/100</f>
        <v>0.97</v>
      </c>
      <c r="X25" s="176">
        <f t="shared" si="20"/>
        <v>2.03</v>
      </c>
      <c r="Y25" s="176">
        <f t="shared" si="14"/>
        <v>2.32</v>
      </c>
      <c r="Z25" s="283">
        <f t="shared" si="15"/>
        <v>4.568312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5.0</v>
      </c>
      <c r="B26" s="191" t="s">
        <v>55</v>
      </c>
      <c r="C26" s="191">
        <v>97.0</v>
      </c>
      <c r="D26" s="191">
        <v>203.0</v>
      </c>
      <c r="E26" s="191">
        <v>232.0</v>
      </c>
      <c r="F26" s="191">
        <f t="shared" si="5"/>
        <v>0</v>
      </c>
      <c r="G26" s="191">
        <f t="shared" si="6"/>
        <v>134.765204</v>
      </c>
      <c r="H26" s="219">
        <f t="shared" si="7"/>
        <v>134.765204</v>
      </c>
      <c r="I26" s="218">
        <v>42.0</v>
      </c>
      <c r="J26" s="193">
        <f t="shared" si="8"/>
        <v>5660.138568</v>
      </c>
      <c r="K26" s="186"/>
      <c r="L26" s="187">
        <f t="shared" si="17"/>
        <v>5.1562</v>
      </c>
      <c r="M26" s="181">
        <f t="shared" si="18"/>
        <v>42</v>
      </c>
      <c r="N26" s="181">
        <f t="shared" si="19"/>
        <v>216.5604</v>
      </c>
      <c r="O26" s="186"/>
      <c r="P26" s="186"/>
      <c r="Q26" s="187"/>
      <c r="R26" s="281">
        <v>29.5</v>
      </c>
      <c r="S26" s="176">
        <f t="shared" si="9"/>
        <v>2.32</v>
      </c>
      <c r="T26" s="160">
        <f t="shared" si="10"/>
        <v>42</v>
      </c>
      <c r="U26" s="160">
        <f t="shared" si="11"/>
        <v>97.44</v>
      </c>
      <c r="V26" s="282">
        <f t="shared" si="12"/>
        <v>134.765204</v>
      </c>
      <c r="W26" s="176">
        <f t="shared" ref="W26:X26" si="21">C26/100</f>
        <v>0.97</v>
      </c>
      <c r="X26" s="176">
        <f t="shared" si="21"/>
        <v>2.03</v>
      </c>
      <c r="Y26" s="176">
        <f t="shared" si="14"/>
        <v>97.44</v>
      </c>
      <c r="Z26" s="283">
        <f t="shared" si="15"/>
        <v>191.869104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6.0</v>
      </c>
      <c r="B27" s="191" t="s">
        <v>55</v>
      </c>
      <c r="C27" s="191">
        <v>100.0</v>
      </c>
      <c r="D27" s="191">
        <v>203.0</v>
      </c>
      <c r="E27" s="191">
        <v>232.0</v>
      </c>
      <c r="F27" s="191">
        <f t="shared" si="5"/>
        <v>0</v>
      </c>
      <c r="G27" s="191">
        <f t="shared" si="6"/>
        <v>138.9332</v>
      </c>
      <c r="H27" s="219">
        <f t="shared" si="7"/>
        <v>138.9332</v>
      </c>
      <c r="I27" s="218">
        <v>1.0</v>
      </c>
      <c r="J27" s="193">
        <f t="shared" si="8"/>
        <v>138.9332</v>
      </c>
      <c r="K27" s="186"/>
      <c r="L27" s="187">
        <f t="shared" si="17"/>
        <v>5.1562</v>
      </c>
      <c r="M27" s="181">
        <f t="shared" si="18"/>
        <v>1</v>
      </c>
      <c r="N27" s="181">
        <f t="shared" si="19"/>
        <v>5.1562</v>
      </c>
      <c r="O27" s="186"/>
      <c r="P27" s="186"/>
      <c r="Q27" s="187" t="s">
        <v>161</v>
      </c>
      <c r="R27" s="281">
        <v>29.5</v>
      </c>
      <c r="S27" s="176">
        <f t="shared" si="9"/>
        <v>2.32</v>
      </c>
      <c r="T27" s="160">
        <f t="shared" si="10"/>
        <v>1</v>
      </c>
      <c r="U27" s="160">
        <f t="shared" si="11"/>
        <v>2.32</v>
      </c>
      <c r="V27" s="282">
        <f t="shared" si="12"/>
        <v>138.9332</v>
      </c>
      <c r="W27" s="176">
        <f t="shared" ref="W27:X27" si="22">C27/100</f>
        <v>1</v>
      </c>
      <c r="X27" s="176">
        <f t="shared" si="22"/>
        <v>2.03</v>
      </c>
      <c r="Y27" s="176">
        <f t="shared" si="14"/>
        <v>2.32</v>
      </c>
      <c r="Z27" s="283">
        <f t="shared" si="15"/>
        <v>4.7096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7.0</v>
      </c>
      <c r="B28" s="191" t="s">
        <v>55</v>
      </c>
      <c r="C28" s="191">
        <v>100.0</v>
      </c>
      <c r="D28" s="191">
        <v>203.0</v>
      </c>
      <c r="E28" s="191">
        <v>232.0</v>
      </c>
      <c r="F28" s="191">
        <f t="shared" si="5"/>
        <v>0</v>
      </c>
      <c r="G28" s="191">
        <f t="shared" si="6"/>
        <v>138.9332</v>
      </c>
      <c r="H28" s="219">
        <f t="shared" si="7"/>
        <v>138.9332</v>
      </c>
      <c r="I28" s="218">
        <v>1.0</v>
      </c>
      <c r="J28" s="193">
        <f t="shared" si="8"/>
        <v>138.9332</v>
      </c>
      <c r="K28" s="186"/>
      <c r="L28" s="187">
        <f t="shared" si="17"/>
        <v>5.1562</v>
      </c>
      <c r="M28" s="181">
        <f t="shared" si="18"/>
        <v>1</v>
      </c>
      <c r="N28" s="181">
        <f t="shared" si="19"/>
        <v>5.1562</v>
      </c>
      <c r="O28" s="186"/>
      <c r="P28" s="186"/>
      <c r="Q28" s="187"/>
      <c r="R28" s="281">
        <v>29.5</v>
      </c>
      <c r="S28" s="176">
        <f t="shared" si="9"/>
        <v>2.32</v>
      </c>
      <c r="T28" s="160">
        <f t="shared" si="10"/>
        <v>1</v>
      </c>
      <c r="U28" s="160">
        <f t="shared" si="11"/>
        <v>2.32</v>
      </c>
      <c r="V28" s="282">
        <f t="shared" si="12"/>
        <v>138.9332</v>
      </c>
      <c r="W28" s="176">
        <f t="shared" ref="W28:X28" si="23">C28/100</f>
        <v>1</v>
      </c>
      <c r="X28" s="176">
        <f t="shared" si="23"/>
        <v>2.03</v>
      </c>
      <c r="Y28" s="176">
        <f t="shared" si="14"/>
        <v>2.32</v>
      </c>
      <c r="Z28" s="283">
        <f t="shared" si="15"/>
        <v>4.7096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8.0</v>
      </c>
      <c r="B29" s="191" t="s">
        <v>55</v>
      </c>
      <c r="C29" s="191">
        <v>96.0</v>
      </c>
      <c r="D29" s="191">
        <v>203.0</v>
      </c>
      <c r="E29" s="191">
        <v>232.0</v>
      </c>
      <c r="F29" s="191">
        <f t="shared" si="5"/>
        <v>0</v>
      </c>
      <c r="G29" s="191">
        <f t="shared" si="6"/>
        <v>133.375872</v>
      </c>
      <c r="H29" s="219">
        <f t="shared" si="7"/>
        <v>133.375872</v>
      </c>
      <c r="I29" s="218">
        <v>1.0</v>
      </c>
      <c r="J29" s="193">
        <f t="shared" si="8"/>
        <v>133.375872</v>
      </c>
      <c r="K29" s="186"/>
      <c r="L29" s="187">
        <f t="shared" si="17"/>
        <v>5.1562</v>
      </c>
      <c r="M29" s="181">
        <f t="shared" si="18"/>
        <v>1</v>
      </c>
      <c r="N29" s="181">
        <f t="shared" si="19"/>
        <v>5.1562</v>
      </c>
      <c r="O29" s="186"/>
      <c r="P29" s="186"/>
      <c r="Q29" s="187" t="s">
        <v>153</v>
      </c>
      <c r="R29" s="281">
        <v>29.5</v>
      </c>
      <c r="S29" s="176">
        <f t="shared" si="9"/>
        <v>2.32</v>
      </c>
      <c r="T29" s="160">
        <f t="shared" si="10"/>
        <v>1</v>
      </c>
      <c r="U29" s="160">
        <f t="shared" si="11"/>
        <v>2.32</v>
      </c>
      <c r="V29" s="282">
        <f t="shared" si="12"/>
        <v>133.375872</v>
      </c>
      <c r="W29" s="176">
        <f t="shared" ref="W29:X29" si="24">C29/100</f>
        <v>0.96</v>
      </c>
      <c r="X29" s="176">
        <f t="shared" si="24"/>
        <v>2.03</v>
      </c>
      <c r="Y29" s="176">
        <f t="shared" si="14"/>
        <v>2.32</v>
      </c>
      <c r="Z29" s="283">
        <f t="shared" si="15"/>
        <v>4.521216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9.0</v>
      </c>
      <c r="B30" s="191" t="s">
        <v>55</v>
      </c>
      <c r="C30" s="191">
        <v>96.0</v>
      </c>
      <c r="D30" s="191">
        <v>203.0</v>
      </c>
      <c r="E30" s="191">
        <v>232.0</v>
      </c>
      <c r="F30" s="191">
        <f t="shared" si="5"/>
        <v>0</v>
      </c>
      <c r="G30" s="191">
        <f t="shared" si="6"/>
        <v>133.375872</v>
      </c>
      <c r="H30" s="219">
        <f t="shared" si="7"/>
        <v>133.375872</v>
      </c>
      <c r="I30" s="218">
        <v>3.0</v>
      </c>
      <c r="J30" s="193">
        <f t="shared" si="8"/>
        <v>400.127616</v>
      </c>
      <c r="K30" s="186"/>
      <c r="L30" s="187">
        <f t="shared" si="17"/>
        <v>5.1562</v>
      </c>
      <c r="M30" s="181">
        <f t="shared" si="18"/>
        <v>3</v>
      </c>
      <c r="N30" s="181">
        <f t="shared" si="19"/>
        <v>15.4686</v>
      </c>
      <c r="O30" s="186"/>
      <c r="P30" s="186"/>
      <c r="Q30" s="187"/>
      <c r="R30" s="281">
        <v>29.5</v>
      </c>
      <c r="S30" s="176">
        <f t="shared" si="9"/>
        <v>2.32</v>
      </c>
      <c r="T30" s="160">
        <f t="shared" si="10"/>
        <v>3</v>
      </c>
      <c r="U30" s="160">
        <f t="shared" si="11"/>
        <v>6.96</v>
      </c>
      <c r="V30" s="282">
        <f t="shared" si="12"/>
        <v>133.375872</v>
      </c>
      <c r="W30" s="176">
        <f t="shared" ref="W30:X30" si="25">C30/100</f>
        <v>0.96</v>
      </c>
      <c r="X30" s="176">
        <f t="shared" si="25"/>
        <v>2.03</v>
      </c>
      <c r="Y30" s="176">
        <f t="shared" si="14"/>
        <v>6.96</v>
      </c>
      <c r="Z30" s="283">
        <f t="shared" si="15"/>
        <v>13.563648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10.0</v>
      </c>
      <c r="B31" s="191" t="s">
        <v>55</v>
      </c>
      <c r="C31" s="191">
        <v>102.0</v>
      </c>
      <c r="D31" s="191">
        <v>203.0</v>
      </c>
      <c r="E31" s="191">
        <v>232.0</v>
      </c>
      <c r="F31" s="191">
        <f t="shared" si="5"/>
        <v>0</v>
      </c>
      <c r="G31" s="191">
        <f t="shared" si="6"/>
        <v>141.711864</v>
      </c>
      <c r="H31" s="219">
        <f t="shared" si="7"/>
        <v>141.711864</v>
      </c>
      <c r="I31" s="218">
        <v>1.0</v>
      </c>
      <c r="J31" s="193">
        <f t="shared" si="8"/>
        <v>141.711864</v>
      </c>
      <c r="K31" s="186"/>
      <c r="L31" s="187">
        <f t="shared" si="17"/>
        <v>5.1562</v>
      </c>
      <c r="M31" s="181">
        <f t="shared" si="18"/>
        <v>1</v>
      </c>
      <c r="N31" s="181">
        <f t="shared" si="19"/>
        <v>5.1562</v>
      </c>
      <c r="O31" s="186"/>
      <c r="P31" s="186"/>
      <c r="Q31" s="187"/>
      <c r="R31" s="281">
        <v>29.5</v>
      </c>
      <c r="S31" s="176">
        <f t="shared" si="9"/>
        <v>2.32</v>
      </c>
      <c r="T31" s="160">
        <f t="shared" si="10"/>
        <v>1</v>
      </c>
      <c r="U31" s="160">
        <f t="shared" si="11"/>
        <v>2.32</v>
      </c>
      <c r="V31" s="282">
        <f t="shared" si="12"/>
        <v>141.711864</v>
      </c>
      <c r="W31" s="176">
        <f t="shared" ref="W31:X31" si="26">C31/100</f>
        <v>1.02</v>
      </c>
      <c r="X31" s="176">
        <f t="shared" si="26"/>
        <v>2.03</v>
      </c>
      <c r="Y31" s="176">
        <f t="shared" si="14"/>
        <v>2.32</v>
      </c>
      <c r="Z31" s="283">
        <f t="shared" si="15"/>
        <v>4.803792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11.0</v>
      </c>
      <c r="B32" s="191" t="s">
        <v>55</v>
      </c>
      <c r="C32" s="191">
        <v>97.0</v>
      </c>
      <c r="D32" s="191">
        <v>203.0</v>
      </c>
      <c r="E32" s="191">
        <v>231.0</v>
      </c>
      <c r="F32" s="191">
        <f t="shared" si="5"/>
        <v>0</v>
      </c>
      <c r="G32" s="191">
        <f t="shared" si="6"/>
        <v>134.1843195</v>
      </c>
      <c r="H32" s="219">
        <f t="shared" si="7"/>
        <v>134.1843195</v>
      </c>
      <c r="I32" s="218">
        <v>2.0</v>
      </c>
      <c r="J32" s="193">
        <f t="shared" si="8"/>
        <v>268.368639</v>
      </c>
      <c r="K32" s="186"/>
      <c r="L32" s="187">
        <f t="shared" si="17"/>
        <v>5.1562</v>
      </c>
      <c r="M32" s="181">
        <f t="shared" si="18"/>
        <v>2</v>
      </c>
      <c r="N32" s="181">
        <f t="shared" si="19"/>
        <v>10.3124</v>
      </c>
      <c r="O32" s="186"/>
      <c r="P32" s="186"/>
      <c r="Q32" s="187"/>
      <c r="R32" s="281">
        <v>29.5</v>
      </c>
      <c r="S32" s="176">
        <f t="shared" si="9"/>
        <v>2.31</v>
      </c>
      <c r="T32" s="160">
        <f t="shared" si="10"/>
        <v>2</v>
      </c>
      <c r="U32" s="160">
        <f t="shared" si="11"/>
        <v>4.62</v>
      </c>
      <c r="V32" s="282">
        <f t="shared" si="12"/>
        <v>134.1843195</v>
      </c>
      <c r="W32" s="176">
        <f t="shared" ref="W32:X32" si="27">C32/100</f>
        <v>0.97</v>
      </c>
      <c r="X32" s="176">
        <f t="shared" si="27"/>
        <v>2.03</v>
      </c>
      <c r="Y32" s="176">
        <f t="shared" si="14"/>
        <v>4.62</v>
      </c>
      <c r="Z32" s="283">
        <f t="shared" si="15"/>
        <v>9.097242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12.0</v>
      </c>
      <c r="B33" s="191" t="s">
        <v>55</v>
      </c>
      <c r="C33" s="191">
        <v>97.0</v>
      </c>
      <c r="D33" s="191">
        <v>203.0</v>
      </c>
      <c r="E33" s="191">
        <v>233.0</v>
      </c>
      <c r="F33" s="191">
        <f t="shared" si="5"/>
        <v>0</v>
      </c>
      <c r="G33" s="191">
        <f t="shared" si="6"/>
        <v>135.3460885</v>
      </c>
      <c r="H33" s="219">
        <f t="shared" si="7"/>
        <v>135.3460885</v>
      </c>
      <c r="I33" s="218">
        <v>4.0</v>
      </c>
      <c r="J33" s="193">
        <f t="shared" si="8"/>
        <v>541.384354</v>
      </c>
      <c r="K33" s="186"/>
      <c r="L33" s="187">
        <f t="shared" si="17"/>
        <v>5.1562</v>
      </c>
      <c r="M33" s="181">
        <f t="shared" si="18"/>
        <v>4</v>
      </c>
      <c r="N33" s="181">
        <f t="shared" si="19"/>
        <v>20.6248</v>
      </c>
      <c r="O33" s="186"/>
      <c r="P33" s="186"/>
      <c r="Q33" s="187"/>
      <c r="R33" s="281">
        <v>29.5</v>
      </c>
      <c r="S33" s="176">
        <f t="shared" si="9"/>
        <v>2.33</v>
      </c>
      <c r="T33" s="160">
        <f t="shared" si="10"/>
        <v>4</v>
      </c>
      <c r="U33" s="160">
        <f t="shared" si="11"/>
        <v>9.32</v>
      </c>
      <c r="V33" s="282">
        <f t="shared" si="12"/>
        <v>135.3460885</v>
      </c>
      <c r="W33" s="176">
        <f t="shared" ref="W33:X33" si="28">C33/100</f>
        <v>0.97</v>
      </c>
      <c r="X33" s="176">
        <f t="shared" si="28"/>
        <v>2.03</v>
      </c>
      <c r="Y33" s="176">
        <f t="shared" si="14"/>
        <v>9.32</v>
      </c>
      <c r="Z33" s="283">
        <f t="shared" si="15"/>
        <v>18.352012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13.0</v>
      </c>
      <c r="B34" s="191" t="s">
        <v>55</v>
      </c>
      <c r="C34" s="191">
        <v>79.0</v>
      </c>
      <c r="D34" s="191">
        <v>203.0</v>
      </c>
      <c r="E34" s="191">
        <v>212.0</v>
      </c>
      <c r="F34" s="191">
        <f t="shared" si="5"/>
        <v>0</v>
      </c>
      <c r="G34" s="191">
        <f t="shared" si="6"/>
        <v>100.295398</v>
      </c>
      <c r="H34" s="219">
        <f t="shared" si="7"/>
        <v>100.295398</v>
      </c>
      <c r="I34" s="218">
        <v>1.0</v>
      </c>
      <c r="J34" s="193">
        <f t="shared" si="8"/>
        <v>100.295398</v>
      </c>
      <c r="K34" s="186"/>
      <c r="L34" s="187">
        <f t="shared" si="17"/>
        <v>5.1562</v>
      </c>
      <c r="M34" s="181">
        <f t="shared" si="18"/>
        <v>1</v>
      </c>
      <c r="N34" s="181">
        <f t="shared" si="19"/>
        <v>5.1562</v>
      </c>
      <c r="O34" s="186"/>
      <c r="P34" s="186"/>
      <c r="Q34" s="187"/>
      <c r="R34" s="281">
        <v>29.5</v>
      </c>
      <c r="S34" s="176">
        <f t="shared" si="9"/>
        <v>2.12</v>
      </c>
      <c r="T34" s="160">
        <f t="shared" si="10"/>
        <v>1</v>
      </c>
      <c r="U34" s="160">
        <f t="shared" si="11"/>
        <v>2.12</v>
      </c>
      <c r="V34" s="282">
        <f t="shared" si="12"/>
        <v>100.295398</v>
      </c>
      <c r="W34" s="176">
        <f t="shared" ref="W34:X34" si="29">C34/100</f>
        <v>0.79</v>
      </c>
      <c r="X34" s="176">
        <f t="shared" si="29"/>
        <v>2.03</v>
      </c>
      <c r="Y34" s="176">
        <f t="shared" si="14"/>
        <v>2.12</v>
      </c>
      <c r="Z34" s="283">
        <f t="shared" si="15"/>
        <v>3.399844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14.0</v>
      </c>
      <c r="B35" s="191" t="s">
        <v>55</v>
      </c>
      <c r="C35" s="191">
        <v>99.0</v>
      </c>
      <c r="D35" s="191">
        <v>203.0</v>
      </c>
      <c r="E35" s="191">
        <v>232.0</v>
      </c>
      <c r="F35" s="191">
        <f t="shared" si="5"/>
        <v>0</v>
      </c>
      <c r="G35" s="191">
        <f t="shared" si="6"/>
        <v>137.543868</v>
      </c>
      <c r="H35" s="219">
        <f t="shared" si="7"/>
        <v>137.543868</v>
      </c>
      <c r="I35" s="218">
        <v>1.0</v>
      </c>
      <c r="J35" s="193">
        <f t="shared" si="8"/>
        <v>137.543868</v>
      </c>
      <c r="K35" s="186"/>
      <c r="L35" s="187">
        <f t="shared" si="17"/>
        <v>5.1562</v>
      </c>
      <c r="M35" s="181">
        <f t="shared" si="18"/>
        <v>1</v>
      </c>
      <c r="N35" s="181">
        <f t="shared" si="19"/>
        <v>5.1562</v>
      </c>
      <c r="O35" s="186"/>
      <c r="P35" s="186"/>
      <c r="Q35" s="187"/>
      <c r="R35" s="281">
        <v>29.5</v>
      </c>
      <c r="S35" s="176">
        <f t="shared" si="9"/>
        <v>2.32</v>
      </c>
      <c r="T35" s="160">
        <f t="shared" si="10"/>
        <v>1</v>
      </c>
      <c r="U35" s="160">
        <f t="shared" si="11"/>
        <v>2.32</v>
      </c>
      <c r="V35" s="282">
        <f t="shared" si="12"/>
        <v>137.543868</v>
      </c>
      <c r="W35" s="176">
        <f t="shared" ref="W35:X35" si="30">C35/100</f>
        <v>0.99</v>
      </c>
      <c r="X35" s="176">
        <f t="shared" si="30"/>
        <v>2.03</v>
      </c>
      <c r="Y35" s="176">
        <f t="shared" si="14"/>
        <v>2.32</v>
      </c>
      <c r="Z35" s="283">
        <f t="shared" si="15"/>
        <v>4.662504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15.0</v>
      </c>
      <c r="B36" s="191" t="s">
        <v>55</v>
      </c>
      <c r="C36" s="191">
        <v>98.0</v>
      </c>
      <c r="D36" s="191">
        <v>203.0</v>
      </c>
      <c r="E36" s="191">
        <v>232.0</v>
      </c>
      <c r="F36" s="191">
        <f t="shared" si="5"/>
        <v>0</v>
      </c>
      <c r="G36" s="191">
        <f t="shared" si="6"/>
        <v>136.154536</v>
      </c>
      <c r="H36" s="219">
        <f t="shared" si="7"/>
        <v>136.154536</v>
      </c>
      <c r="I36" s="218">
        <v>1.0</v>
      </c>
      <c r="J36" s="193">
        <f t="shared" si="8"/>
        <v>136.154536</v>
      </c>
      <c r="K36" s="186"/>
      <c r="L36" s="187">
        <f t="shared" si="17"/>
        <v>5.1562</v>
      </c>
      <c r="M36" s="181">
        <f t="shared" si="18"/>
        <v>1</v>
      </c>
      <c r="N36" s="181">
        <f t="shared" si="19"/>
        <v>5.1562</v>
      </c>
      <c r="O36" s="186"/>
      <c r="P36" s="186"/>
      <c r="Q36" s="187" t="s">
        <v>176</v>
      </c>
      <c r="R36" s="281">
        <v>29.5</v>
      </c>
      <c r="S36" s="176">
        <f t="shared" si="9"/>
        <v>2.32</v>
      </c>
      <c r="T36" s="160">
        <f t="shared" si="10"/>
        <v>1</v>
      </c>
      <c r="U36" s="160">
        <f t="shared" si="11"/>
        <v>2.32</v>
      </c>
      <c r="V36" s="282">
        <f t="shared" si="12"/>
        <v>136.154536</v>
      </c>
      <c r="W36" s="176">
        <f t="shared" ref="W36:X36" si="31">C36/100</f>
        <v>0.98</v>
      </c>
      <c r="X36" s="176">
        <f t="shared" si="31"/>
        <v>2.03</v>
      </c>
      <c r="Y36" s="176">
        <f t="shared" si="14"/>
        <v>2.32</v>
      </c>
      <c r="Z36" s="283">
        <f t="shared" si="15"/>
        <v>4.615408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16.0</v>
      </c>
      <c r="B37" s="182" t="s">
        <v>65</v>
      </c>
      <c r="C37" s="183">
        <v>102.0</v>
      </c>
      <c r="D37" s="183">
        <v>195.0</v>
      </c>
      <c r="E37" s="183">
        <v>251.0</v>
      </c>
      <c r="F37" s="183">
        <f t="shared" si="5"/>
        <v>0.8</v>
      </c>
      <c r="G37" s="183">
        <f t="shared" si="6"/>
        <v>147.275505</v>
      </c>
      <c r="H37" s="184">
        <f t="shared" si="7"/>
        <v>117.820404</v>
      </c>
      <c r="I37" s="183">
        <v>1.0</v>
      </c>
      <c r="J37" s="194">
        <f t="shared" si="8"/>
        <v>117.820404</v>
      </c>
      <c r="K37" s="186"/>
      <c r="L37" s="187">
        <f t="shared" si="17"/>
        <v>4.953</v>
      </c>
      <c r="M37" s="181">
        <f t="shared" si="18"/>
        <v>1</v>
      </c>
      <c r="N37" s="181">
        <f t="shared" si="19"/>
        <v>4.953</v>
      </c>
      <c r="O37" s="186"/>
      <c r="P37" s="186"/>
      <c r="Q37" s="187" t="s">
        <v>149</v>
      </c>
      <c r="R37" s="281">
        <v>29.5</v>
      </c>
      <c r="S37" s="176">
        <f t="shared" si="9"/>
        <v>2.51</v>
      </c>
      <c r="T37" s="160">
        <f t="shared" si="10"/>
        <v>1</v>
      </c>
      <c r="U37" s="160">
        <f t="shared" si="11"/>
        <v>2.51</v>
      </c>
      <c r="V37" s="282">
        <f t="shared" si="12"/>
        <v>147.275505</v>
      </c>
      <c r="W37" s="176">
        <f t="shared" ref="W37:X37" si="32">C37/100</f>
        <v>1.02</v>
      </c>
      <c r="X37" s="176">
        <f t="shared" si="32"/>
        <v>1.95</v>
      </c>
      <c r="Y37" s="176">
        <f t="shared" si="14"/>
        <v>2.51</v>
      </c>
      <c r="Z37" s="283">
        <f t="shared" si="15"/>
        <v>4.99239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17.0</v>
      </c>
      <c r="B38" s="191" t="s">
        <v>56</v>
      </c>
      <c r="C38" s="191">
        <v>102.0</v>
      </c>
      <c r="D38" s="191">
        <v>195.0</v>
      </c>
      <c r="E38" s="191">
        <v>251.0</v>
      </c>
      <c r="F38" s="191">
        <f t="shared" si="5"/>
        <v>0</v>
      </c>
      <c r="G38" s="191">
        <f t="shared" si="6"/>
        <v>147.275505</v>
      </c>
      <c r="H38" s="219">
        <f t="shared" si="7"/>
        <v>147.275505</v>
      </c>
      <c r="I38" s="218">
        <v>2.0</v>
      </c>
      <c r="J38" s="193">
        <f t="shared" si="8"/>
        <v>294.55101</v>
      </c>
      <c r="K38" s="186"/>
      <c r="L38" s="187">
        <f t="shared" si="17"/>
        <v>4.953</v>
      </c>
      <c r="M38" s="181">
        <f t="shared" si="18"/>
        <v>2</v>
      </c>
      <c r="N38" s="181">
        <f t="shared" si="19"/>
        <v>9.906</v>
      </c>
      <c r="O38" s="186"/>
      <c r="P38" s="186"/>
      <c r="Q38" s="187"/>
      <c r="R38" s="281">
        <v>29.5</v>
      </c>
      <c r="S38" s="176">
        <f t="shared" si="9"/>
        <v>2.51</v>
      </c>
      <c r="T38" s="160">
        <f t="shared" si="10"/>
        <v>2</v>
      </c>
      <c r="U38" s="160">
        <f t="shared" si="11"/>
        <v>5.02</v>
      </c>
      <c r="V38" s="282">
        <f t="shared" si="12"/>
        <v>147.275505</v>
      </c>
      <c r="W38" s="176">
        <f t="shared" ref="W38:X38" si="33">C38/100</f>
        <v>1.02</v>
      </c>
      <c r="X38" s="176">
        <f t="shared" si="33"/>
        <v>1.95</v>
      </c>
      <c r="Y38" s="176">
        <f t="shared" si="14"/>
        <v>5.02</v>
      </c>
      <c r="Z38" s="283">
        <f t="shared" si="15"/>
        <v>9.98478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18.0</v>
      </c>
      <c r="B39" s="191" t="s">
        <v>56</v>
      </c>
      <c r="C39" s="191">
        <v>102.0</v>
      </c>
      <c r="D39" s="191">
        <v>195.0</v>
      </c>
      <c r="E39" s="191">
        <v>244.0</v>
      </c>
      <c r="F39" s="191">
        <f t="shared" si="5"/>
        <v>0</v>
      </c>
      <c r="G39" s="191">
        <f t="shared" si="6"/>
        <v>143.16822</v>
      </c>
      <c r="H39" s="219">
        <f t="shared" si="7"/>
        <v>143.16822</v>
      </c>
      <c r="I39" s="218">
        <v>1.0</v>
      </c>
      <c r="J39" s="193">
        <f t="shared" si="8"/>
        <v>143.16822</v>
      </c>
      <c r="K39" s="186"/>
      <c r="L39" s="187">
        <f t="shared" si="17"/>
        <v>4.953</v>
      </c>
      <c r="M39" s="181">
        <f t="shared" si="18"/>
        <v>1</v>
      </c>
      <c r="N39" s="181">
        <f t="shared" si="19"/>
        <v>4.953</v>
      </c>
      <c r="O39" s="186"/>
      <c r="P39" s="186"/>
      <c r="Q39" s="187"/>
      <c r="R39" s="281">
        <v>29.5</v>
      </c>
      <c r="S39" s="176">
        <f t="shared" si="9"/>
        <v>2.44</v>
      </c>
      <c r="T39" s="160">
        <f t="shared" si="10"/>
        <v>1</v>
      </c>
      <c r="U39" s="160">
        <f t="shared" si="11"/>
        <v>2.44</v>
      </c>
      <c r="V39" s="282">
        <f t="shared" si="12"/>
        <v>143.16822</v>
      </c>
      <c r="W39" s="176">
        <f t="shared" ref="W39:X39" si="34">C39/100</f>
        <v>1.02</v>
      </c>
      <c r="X39" s="176">
        <f t="shared" si="34"/>
        <v>1.95</v>
      </c>
      <c r="Y39" s="176">
        <f t="shared" si="14"/>
        <v>2.44</v>
      </c>
      <c r="Z39" s="283">
        <f t="shared" si="15"/>
        <v>4.85316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19.0</v>
      </c>
      <c r="B40" s="191" t="s">
        <v>56</v>
      </c>
      <c r="C40" s="191">
        <v>45.0</v>
      </c>
      <c r="D40" s="191">
        <v>195.0</v>
      </c>
      <c r="E40" s="191">
        <v>173.0</v>
      </c>
      <c r="F40" s="191">
        <f t="shared" si="5"/>
        <v>0</v>
      </c>
      <c r="G40" s="191">
        <f t="shared" si="6"/>
        <v>44.7832125</v>
      </c>
      <c r="H40" s="219">
        <f t="shared" si="7"/>
        <v>44.7832125</v>
      </c>
      <c r="I40" s="218">
        <v>1.0</v>
      </c>
      <c r="J40" s="193">
        <f t="shared" si="8"/>
        <v>44.7832125</v>
      </c>
      <c r="K40" s="186"/>
      <c r="L40" s="187">
        <f t="shared" si="17"/>
        <v>4.953</v>
      </c>
      <c r="M40" s="181">
        <f t="shared" si="18"/>
        <v>1</v>
      </c>
      <c r="N40" s="181">
        <f t="shared" si="19"/>
        <v>4.953</v>
      </c>
      <c r="O40" s="186"/>
      <c r="P40" s="186"/>
      <c r="Q40" s="187"/>
      <c r="R40" s="281">
        <v>29.5</v>
      </c>
      <c r="S40" s="176">
        <f t="shared" si="9"/>
        <v>1.73</v>
      </c>
      <c r="T40" s="160">
        <f t="shared" si="10"/>
        <v>1</v>
      </c>
      <c r="U40" s="160">
        <f t="shared" si="11"/>
        <v>1.73</v>
      </c>
      <c r="V40" s="282">
        <f t="shared" si="12"/>
        <v>44.7832125</v>
      </c>
      <c r="W40" s="176">
        <f t="shared" ref="W40:X40" si="35">C40/100</f>
        <v>0.45</v>
      </c>
      <c r="X40" s="176">
        <f t="shared" si="35"/>
        <v>1.95</v>
      </c>
      <c r="Y40" s="176">
        <f t="shared" si="14"/>
        <v>1.73</v>
      </c>
      <c r="Z40" s="283">
        <f t="shared" si="15"/>
        <v>1.518075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20.0</v>
      </c>
      <c r="B41" s="191" t="s">
        <v>56</v>
      </c>
      <c r="C41" s="191">
        <v>102.0</v>
      </c>
      <c r="D41" s="191">
        <v>195.0</v>
      </c>
      <c r="E41" s="191">
        <v>241.0</v>
      </c>
      <c r="F41" s="191">
        <f t="shared" si="5"/>
        <v>0</v>
      </c>
      <c r="G41" s="191">
        <f t="shared" si="6"/>
        <v>141.407955</v>
      </c>
      <c r="H41" s="219">
        <f t="shared" si="7"/>
        <v>141.407955</v>
      </c>
      <c r="I41" s="218">
        <v>1.0</v>
      </c>
      <c r="J41" s="193">
        <f t="shared" si="8"/>
        <v>141.407955</v>
      </c>
      <c r="K41" s="186"/>
      <c r="L41" s="187">
        <f t="shared" si="17"/>
        <v>4.953</v>
      </c>
      <c r="M41" s="181">
        <f t="shared" si="18"/>
        <v>1</v>
      </c>
      <c r="N41" s="181">
        <f t="shared" si="19"/>
        <v>4.953</v>
      </c>
      <c r="O41" s="186"/>
      <c r="P41" s="186"/>
      <c r="Q41" s="187"/>
      <c r="R41" s="281">
        <v>29.5</v>
      </c>
      <c r="S41" s="176">
        <f t="shared" si="9"/>
        <v>2.41</v>
      </c>
      <c r="T41" s="160">
        <f t="shared" si="10"/>
        <v>1</v>
      </c>
      <c r="U41" s="160">
        <f t="shared" si="11"/>
        <v>2.41</v>
      </c>
      <c r="V41" s="282">
        <f t="shared" si="12"/>
        <v>141.407955</v>
      </c>
      <c r="W41" s="176">
        <f t="shared" ref="W41:X41" si="36">C41/100</f>
        <v>1.02</v>
      </c>
      <c r="X41" s="176">
        <f t="shared" si="36"/>
        <v>1.95</v>
      </c>
      <c r="Y41" s="176">
        <f t="shared" si="14"/>
        <v>2.41</v>
      </c>
      <c r="Z41" s="283">
        <f t="shared" si="15"/>
        <v>4.79349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21.0</v>
      </c>
      <c r="B42" s="191" t="s">
        <v>56</v>
      </c>
      <c r="C42" s="191">
        <v>102.0</v>
      </c>
      <c r="D42" s="191">
        <v>195.0</v>
      </c>
      <c r="E42" s="191">
        <v>243.0</v>
      </c>
      <c r="F42" s="191">
        <f t="shared" si="5"/>
        <v>0</v>
      </c>
      <c r="G42" s="191">
        <f t="shared" si="6"/>
        <v>142.581465</v>
      </c>
      <c r="H42" s="219">
        <f t="shared" si="7"/>
        <v>142.581465</v>
      </c>
      <c r="I42" s="218">
        <v>1.0</v>
      </c>
      <c r="J42" s="193">
        <f t="shared" si="8"/>
        <v>142.581465</v>
      </c>
      <c r="K42" s="186"/>
      <c r="L42" s="187">
        <f t="shared" si="17"/>
        <v>4.953</v>
      </c>
      <c r="M42" s="181">
        <f t="shared" si="18"/>
        <v>1</v>
      </c>
      <c r="N42" s="181">
        <f t="shared" si="19"/>
        <v>4.953</v>
      </c>
      <c r="O42" s="186"/>
      <c r="P42" s="186"/>
      <c r="Q42" s="187" t="s">
        <v>177</v>
      </c>
      <c r="R42" s="281">
        <v>29.5</v>
      </c>
      <c r="S42" s="176">
        <f t="shared" si="9"/>
        <v>2.43</v>
      </c>
      <c r="T42" s="160">
        <f t="shared" si="10"/>
        <v>1</v>
      </c>
      <c r="U42" s="160">
        <f t="shared" si="11"/>
        <v>2.43</v>
      </c>
      <c r="V42" s="282">
        <f t="shared" si="12"/>
        <v>142.581465</v>
      </c>
      <c r="W42" s="176">
        <f t="shared" ref="W42:X42" si="37">C42/100</f>
        <v>1.02</v>
      </c>
      <c r="X42" s="176">
        <f t="shared" si="37"/>
        <v>1.95</v>
      </c>
      <c r="Y42" s="176">
        <f t="shared" si="14"/>
        <v>2.43</v>
      </c>
      <c r="Z42" s="283">
        <f t="shared" si="15"/>
        <v>4.83327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22.0</v>
      </c>
      <c r="B43" s="191" t="s">
        <v>56</v>
      </c>
      <c r="C43" s="191">
        <v>93.0</v>
      </c>
      <c r="D43" s="191">
        <v>195.0</v>
      </c>
      <c r="E43" s="191">
        <v>250.0</v>
      </c>
      <c r="F43" s="191">
        <f t="shared" si="5"/>
        <v>0</v>
      </c>
      <c r="G43" s="191">
        <f t="shared" si="6"/>
        <v>133.745625</v>
      </c>
      <c r="H43" s="219">
        <f t="shared" si="7"/>
        <v>133.745625</v>
      </c>
      <c r="I43" s="218">
        <v>1.0</v>
      </c>
      <c r="J43" s="193">
        <f t="shared" si="8"/>
        <v>133.745625</v>
      </c>
      <c r="K43" s="186"/>
      <c r="L43" s="187">
        <f t="shared" si="17"/>
        <v>4.953</v>
      </c>
      <c r="M43" s="181">
        <f t="shared" si="18"/>
        <v>1</v>
      </c>
      <c r="N43" s="181">
        <f t="shared" si="19"/>
        <v>4.953</v>
      </c>
      <c r="O43" s="186"/>
      <c r="P43" s="186"/>
      <c r="Q43" s="187"/>
      <c r="R43" s="281">
        <v>29.5</v>
      </c>
      <c r="S43" s="176">
        <f t="shared" si="9"/>
        <v>2.5</v>
      </c>
      <c r="T43" s="160">
        <f t="shared" si="10"/>
        <v>1</v>
      </c>
      <c r="U43" s="160">
        <f t="shared" si="11"/>
        <v>2.5</v>
      </c>
      <c r="V43" s="282">
        <f t="shared" si="12"/>
        <v>133.745625</v>
      </c>
      <c r="W43" s="176">
        <f t="shared" ref="W43:X43" si="38">C43/100</f>
        <v>0.93</v>
      </c>
      <c r="X43" s="176">
        <f t="shared" si="38"/>
        <v>1.95</v>
      </c>
      <c r="Y43" s="176">
        <f t="shared" si="14"/>
        <v>2.5</v>
      </c>
      <c r="Z43" s="283">
        <f t="shared" si="15"/>
        <v>4.53375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23.0</v>
      </c>
      <c r="B44" s="191" t="s">
        <v>56</v>
      </c>
      <c r="C44" s="191">
        <v>102.0</v>
      </c>
      <c r="D44" s="191">
        <v>195.0</v>
      </c>
      <c r="E44" s="277">
        <v>3000.0</v>
      </c>
      <c r="F44" s="277">
        <f t="shared" si="5"/>
        <v>0</v>
      </c>
      <c r="G44" s="277">
        <f t="shared" si="6"/>
        <v>1760.265</v>
      </c>
      <c r="H44" s="219">
        <f t="shared" si="7"/>
        <v>1760.265</v>
      </c>
      <c r="I44" s="218">
        <v>3.0</v>
      </c>
      <c r="J44" s="193">
        <f t="shared" si="8"/>
        <v>5280.795</v>
      </c>
      <c r="K44" s="186"/>
      <c r="L44" s="164">
        <f t="shared" si="17"/>
        <v>4.953</v>
      </c>
      <c r="M44" s="195">
        <f t="shared" si="18"/>
        <v>3</v>
      </c>
      <c r="N44" s="195">
        <f t="shared" si="19"/>
        <v>14.859</v>
      </c>
      <c r="O44" s="186"/>
      <c r="P44" s="186"/>
      <c r="Q44" s="187"/>
      <c r="R44" s="281">
        <v>29.5</v>
      </c>
      <c r="S44" s="176">
        <f t="shared" si="9"/>
        <v>30</v>
      </c>
      <c r="T44" s="160">
        <f t="shared" si="10"/>
        <v>3</v>
      </c>
      <c r="U44" s="160">
        <f t="shared" si="11"/>
        <v>90</v>
      </c>
      <c r="V44" s="282">
        <f t="shared" si="12"/>
        <v>1760.265</v>
      </c>
      <c r="W44" s="176">
        <f t="shared" ref="W44:X44" si="39">C44/100</f>
        <v>1.02</v>
      </c>
      <c r="X44" s="176">
        <f t="shared" si="39"/>
        <v>1.95</v>
      </c>
      <c r="Y44" s="176">
        <f t="shared" si="14"/>
        <v>90</v>
      </c>
      <c r="Z44" s="283">
        <f t="shared" si="15"/>
        <v>179.01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24.0</v>
      </c>
      <c r="B45" s="182" t="s">
        <v>71</v>
      </c>
      <c r="C45" s="183">
        <v>84.0</v>
      </c>
      <c r="D45" s="183">
        <v>210.0</v>
      </c>
      <c r="E45" s="183">
        <v>205.0</v>
      </c>
      <c r="F45" s="183">
        <f t="shared" si="5"/>
        <v>0.8</v>
      </c>
      <c r="G45" s="183">
        <f t="shared" si="6"/>
        <v>106.6779</v>
      </c>
      <c r="H45" s="184">
        <f t="shared" si="7"/>
        <v>85.34232</v>
      </c>
      <c r="I45" s="183">
        <v>1.0</v>
      </c>
      <c r="J45" s="193">
        <f t="shared" si="8"/>
        <v>85.34232</v>
      </c>
      <c r="K45" s="186"/>
      <c r="L45" s="164">
        <f t="shared" si="17"/>
        <v>5.334</v>
      </c>
      <c r="M45" s="195">
        <f t="shared" si="18"/>
        <v>1</v>
      </c>
      <c r="N45" s="195">
        <f t="shared" si="19"/>
        <v>5.334</v>
      </c>
      <c r="O45" s="186"/>
      <c r="P45" s="186"/>
      <c r="Q45" s="187"/>
      <c r="R45" s="281">
        <v>29.5</v>
      </c>
      <c r="S45" s="176">
        <f t="shared" si="9"/>
        <v>2.05</v>
      </c>
      <c r="T45" s="160">
        <f t="shared" si="10"/>
        <v>1</v>
      </c>
      <c r="U45" s="160">
        <f t="shared" si="11"/>
        <v>2.05</v>
      </c>
      <c r="V45" s="282">
        <f t="shared" si="12"/>
        <v>106.6779</v>
      </c>
      <c r="W45" s="176">
        <f t="shared" ref="W45:X45" si="40">C45/100</f>
        <v>0.84</v>
      </c>
      <c r="X45" s="176">
        <f t="shared" si="40"/>
        <v>2.1</v>
      </c>
      <c r="Y45" s="176">
        <f t="shared" si="14"/>
        <v>2.05</v>
      </c>
      <c r="Z45" s="283">
        <f t="shared" si="15"/>
        <v>3.6162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25.0</v>
      </c>
      <c r="B46" s="191" t="s">
        <v>61</v>
      </c>
      <c r="C46" s="191">
        <v>101.0</v>
      </c>
      <c r="D46" s="191">
        <v>210.0</v>
      </c>
      <c r="E46" s="191">
        <v>203.0</v>
      </c>
      <c r="F46" s="191">
        <f t="shared" si="5"/>
        <v>0</v>
      </c>
      <c r="G46" s="191">
        <f t="shared" si="6"/>
        <v>127.016085</v>
      </c>
      <c r="H46" s="219">
        <f t="shared" si="7"/>
        <v>127.016085</v>
      </c>
      <c r="I46" s="218">
        <v>1.0</v>
      </c>
      <c r="J46" s="193">
        <f t="shared" si="8"/>
        <v>127.016085</v>
      </c>
      <c r="K46" s="186"/>
      <c r="L46" s="164"/>
      <c r="M46" s="195">
        <f t="shared" si="18"/>
        <v>1</v>
      </c>
      <c r="N46" s="195"/>
      <c r="O46" s="186"/>
      <c r="P46" s="186"/>
      <c r="Q46" s="187" t="s">
        <v>155</v>
      </c>
      <c r="R46" s="281">
        <v>29.5</v>
      </c>
      <c r="S46" s="176">
        <f t="shared" si="9"/>
        <v>2.03</v>
      </c>
      <c r="T46" s="160">
        <f t="shared" si="10"/>
        <v>1</v>
      </c>
      <c r="U46" s="160">
        <f t="shared" si="11"/>
        <v>2.03</v>
      </c>
      <c r="V46" s="282">
        <f t="shared" si="12"/>
        <v>127.016085</v>
      </c>
      <c r="W46" s="176">
        <f t="shared" ref="W46:X46" si="41">C46/100</f>
        <v>1.01</v>
      </c>
      <c r="X46" s="176">
        <f t="shared" si="41"/>
        <v>2.1</v>
      </c>
      <c r="Y46" s="176">
        <f t="shared" si="14"/>
        <v>2.03</v>
      </c>
      <c r="Z46" s="283">
        <f t="shared" si="15"/>
        <v>4.30563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26.0</v>
      </c>
      <c r="B47" s="191" t="s">
        <v>61</v>
      </c>
      <c r="C47" s="191">
        <v>99.0</v>
      </c>
      <c r="D47" s="191">
        <v>210.0</v>
      </c>
      <c r="E47" s="191">
        <v>203.0</v>
      </c>
      <c r="F47" s="191">
        <f t="shared" si="5"/>
        <v>0</v>
      </c>
      <c r="G47" s="191">
        <f t="shared" si="6"/>
        <v>124.500915</v>
      </c>
      <c r="H47" s="219">
        <f t="shared" si="7"/>
        <v>124.500915</v>
      </c>
      <c r="I47" s="218">
        <v>1.0</v>
      </c>
      <c r="J47" s="193">
        <f t="shared" si="8"/>
        <v>124.500915</v>
      </c>
      <c r="K47" s="186"/>
      <c r="L47" s="164"/>
      <c r="M47" s="195">
        <f t="shared" si="18"/>
        <v>1</v>
      </c>
      <c r="N47" s="195"/>
      <c r="O47" s="186"/>
      <c r="P47" s="186"/>
      <c r="Q47" s="187" t="s">
        <v>178</v>
      </c>
      <c r="R47" s="281">
        <v>29.5</v>
      </c>
      <c r="S47" s="176">
        <f t="shared" si="9"/>
        <v>2.03</v>
      </c>
      <c r="T47" s="160">
        <f t="shared" si="10"/>
        <v>1</v>
      </c>
      <c r="U47" s="160">
        <f t="shared" si="11"/>
        <v>2.03</v>
      </c>
      <c r="V47" s="282">
        <f t="shared" si="12"/>
        <v>124.500915</v>
      </c>
      <c r="W47" s="176">
        <f t="shared" ref="W47:X47" si="42">C47/100</f>
        <v>0.99</v>
      </c>
      <c r="X47" s="176">
        <f t="shared" si="42"/>
        <v>2.1</v>
      </c>
      <c r="Y47" s="176">
        <f t="shared" si="14"/>
        <v>2.03</v>
      </c>
      <c r="Z47" s="283">
        <f t="shared" si="15"/>
        <v>4.22037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27.0</v>
      </c>
      <c r="B48" s="191" t="s">
        <v>61</v>
      </c>
      <c r="C48" s="191">
        <v>100.0</v>
      </c>
      <c r="D48" s="191">
        <v>210.0</v>
      </c>
      <c r="E48" s="191">
        <v>203.0</v>
      </c>
      <c r="F48" s="191">
        <f t="shared" si="5"/>
        <v>0</v>
      </c>
      <c r="G48" s="191">
        <f t="shared" si="6"/>
        <v>125.7585</v>
      </c>
      <c r="H48" s="219">
        <f t="shared" si="7"/>
        <v>125.7585</v>
      </c>
      <c r="I48" s="218">
        <v>1.0</v>
      </c>
      <c r="J48" s="193">
        <f t="shared" si="8"/>
        <v>125.7585</v>
      </c>
      <c r="K48" s="186"/>
      <c r="L48" s="164"/>
      <c r="M48" s="195">
        <f t="shared" si="18"/>
        <v>1</v>
      </c>
      <c r="N48" s="195"/>
      <c r="O48" s="186"/>
      <c r="P48" s="186"/>
      <c r="Q48" s="187" t="s">
        <v>179</v>
      </c>
      <c r="R48" s="281">
        <v>29.5</v>
      </c>
      <c r="S48" s="176">
        <f t="shared" si="9"/>
        <v>2.03</v>
      </c>
      <c r="T48" s="160">
        <f t="shared" si="10"/>
        <v>1</v>
      </c>
      <c r="U48" s="160">
        <f t="shared" si="11"/>
        <v>2.03</v>
      </c>
      <c r="V48" s="282">
        <f t="shared" si="12"/>
        <v>125.7585</v>
      </c>
      <c r="W48" s="176">
        <f t="shared" ref="W48:X48" si="43">C48/100</f>
        <v>1</v>
      </c>
      <c r="X48" s="176">
        <f t="shared" si="43"/>
        <v>2.1</v>
      </c>
      <c r="Y48" s="176">
        <f t="shared" si="14"/>
        <v>2.03</v>
      </c>
      <c r="Z48" s="283">
        <f t="shared" si="15"/>
        <v>4.263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28.0</v>
      </c>
      <c r="B49" s="191" t="s">
        <v>61</v>
      </c>
      <c r="C49" s="191">
        <v>96.0</v>
      </c>
      <c r="D49" s="191">
        <v>210.0</v>
      </c>
      <c r="E49" s="191">
        <v>202.0</v>
      </c>
      <c r="F49" s="191">
        <f t="shared" si="5"/>
        <v>0</v>
      </c>
      <c r="G49" s="191">
        <f t="shared" si="6"/>
        <v>120.13344</v>
      </c>
      <c r="H49" s="219">
        <f t="shared" si="7"/>
        <v>120.13344</v>
      </c>
      <c r="I49" s="218">
        <v>1.0</v>
      </c>
      <c r="J49" s="193">
        <f t="shared" si="8"/>
        <v>120.13344</v>
      </c>
      <c r="K49" s="186"/>
      <c r="L49" s="164"/>
      <c r="M49" s="195">
        <f t="shared" si="18"/>
        <v>1</v>
      </c>
      <c r="N49" s="195"/>
      <c r="O49" s="186"/>
      <c r="P49" s="186"/>
      <c r="Q49" s="187" t="s">
        <v>180</v>
      </c>
      <c r="R49" s="281">
        <v>29.5</v>
      </c>
      <c r="S49" s="176">
        <f t="shared" si="9"/>
        <v>2.02</v>
      </c>
      <c r="T49" s="160">
        <f t="shared" si="10"/>
        <v>1</v>
      </c>
      <c r="U49" s="160">
        <f t="shared" si="11"/>
        <v>2.02</v>
      </c>
      <c r="V49" s="282">
        <f t="shared" si="12"/>
        <v>120.13344</v>
      </c>
      <c r="W49" s="176">
        <f t="shared" ref="W49:X49" si="44">C49/100</f>
        <v>0.96</v>
      </c>
      <c r="X49" s="176">
        <f t="shared" si="44"/>
        <v>2.1</v>
      </c>
      <c r="Y49" s="176">
        <f t="shared" si="14"/>
        <v>2.02</v>
      </c>
      <c r="Z49" s="283">
        <f t="shared" si="15"/>
        <v>4.07232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29.0</v>
      </c>
      <c r="B50" s="191" t="s">
        <v>61</v>
      </c>
      <c r="C50" s="191">
        <v>100.0</v>
      </c>
      <c r="D50" s="191">
        <v>210.0</v>
      </c>
      <c r="E50" s="191">
        <v>202.0</v>
      </c>
      <c r="F50" s="191">
        <f t="shared" si="5"/>
        <v>0</v>
      </c>
      <c r="G50" s="191">
        <f t="shared" si="6"/>
        <v>125.139</v>
      </c>
      <c r="H50" s="219">
        <f t="shared" si="7"/>
        <v>125.139</v>
      </c>
      <c r="I50" s="218">
        <v>3.0</v>
      </c>
      <c r="J50" s="193">
        <f t="shared" si="8"/>
        <v>375.417</v>
      </c>
      <c r="K50" s="186"/>
      <c r="L50" s="164"/>
      <c r="M50" s="195">
        <f t="shared" si="18"/>
        <v>3</v>
      </c>
      <c r="N50" s="195"/>
      <c r="O50" s="186"/>
      <c r="P50" s="186"/>
      <c r="Q50" s="187"/>
      <c r="R50" s="281">
        <v>29.5</v>
      </c>
      <c r="S50" s="176">
        <f t="shared" si="9"/>
        <v>2.02</v>
      </c>
      <c r="T50" s="160">
        <f t="shared" si="10"/>
        <v>3</v>
      </c>
      <c r="U50" s="160">
        <f t="shared" si="11"/>
        <v>6.06</v>
      </c>
      <c r="V50" s="282">
        <f t="shared" si="12"/>
        <v>125.139</v>
      </c>
      <c r="W50" s="176">
        <f t="shared" ref="W50:X50" si="45">C50/100</f>
        <v>1</v>
      </c>
      <c r="X50" s="176">
        <f t="shared" si="45"/>
        <v>2.1</v>
      </c>
      <c r="Y50" s="176">
        <f t="shared" si="14"/>
        <v>6.06</v>
      </c>
      <c r="Z50" s="283">
        <f t="shared" si="15"/>
        <v>12.726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30.0</v>
      </c>
      <c r="B51" s="191" t="s">
        <v>61</v>
      </c>
      <c r="C51" s="191">
        <v>95.0</v>
      </c>
      <c r="D51" s="191">
        <v>210.0</v>
      </c>
      <c r="E51" s="191">
        <v>202.0</v>
      </c>
      <c r="F51" s="191">
        <f t="shared" si="5"/>
        <v>0</v>
      </c>
      <c r="G51" s="191">
        <f t="shared" si="6"/>
        <v>118.88205</v>
      </c>
      <c r="H51" s="219">
        <f t="shared" si="7"/>
        <v>118.88205</v>
      </c>
      <c r="I51" s="218">
        <v>1.0</v>
      </c>
      <c r="J51" s="193">
        <f t="shared" si="8"/>
        <v>118.88205</v>
      </c>
      <c r="K51" s="186"/>
      <c r="L51" s="164"/>
      <c r="M51" s="195">
        <f t="shared" si="18"/>
        <v>1</v>
      </c>
      <c r="N51" s="195"/>
      <c r="O51" s="186"/>
      <c r="P51" s="186"/>
      <c r="Q51" s="187"/>
      <c r="R51" s="281">
        <v>29.5</v>
      </c>
      <c r="S51" s="176">
        <f t="shared" si="9"/>
        <v>2.02</v>
      </c>
      <c r="T51" s="160">
        <f t="shared" si="10"/>
        <v>1</v>
      </c>
      <c r="U51" s="160">
        <f t="shared" si="11"/>
        <v>2.02</v>
      </c>
      <c r="V51" s="282">
        <f t="shared" si="12"/>
        <v>118.88205</v>
      </c>
      <c r="W51" s="176">
        <f t="shared" ref="W51:X51" si="46">C51/100</f>
        <v>0.95</v>
      </c>
      <c r="X51" s="176">
        <f t="shared" si="46"/>
        <v>2.1</v>
      </c>
      <c r="Y51" s="176">
        <f t="shared" si="14"/>
        <v>2.02</v>
      </c>
      <c r="Z51" s="283">
        <f t="shared" si="15"/>
        <v>4.0299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31.0</v>
      </c>
      <c r="B52" s="191" t="s">
        <v>61</v>
      </c>
      <c r="C52" s="191">
        <v>90.0</v>
      </c>
      <c r="D52" s="191">
        <v>210.0</v>
      </c>
      <c r="E52" s="191">
        <v>202.0</v>
      </c>
      <c r="F52" s="191">
        <f t="shared" si="5"/>
        <v>0</v>
      </c>
      <c r="G52" s="191">
        <f t="shared" si="6"/>
        <v>112.6251</v>
      </c>
      <c r="H52" s="219">
        <f t="shared" si="7"/>
        <v>112.6251</v>
      </c>
      <c r="I52" s="218">
        <v>1.0</v>
      </c>
      <c r="J52" s="193">
        <f t="shared" si="8"/>
        <v>112.6251</v>
      </c>
      <c r="K52" s="186"/>
      <c r="L52" s="164"/>
      <c r="M52" s="195">
        <f t="shared" si="18"/>
        <v>1</v>
      </c>
      <c r="N52" s="195"/>
      <c r="O52" s="186"/>
      <c r="P52" s="186"/>
      <c r="Q52" s="187"/>
      <c r="R52" s="281">
        <v>29.5</v>
      </c>
      <c r="S52" s="176">
        <f t="shared" si="9"/>
        <v>2.02</v>
      </c>
      <c r="T52" s="160">
        <f t="shared" si="10"/>
        <v>1</v>
      </c>
      <c r="U52" s="160">
        <f t="shared" si="11"/>
        <v>2.02</v>
      </c>
      <c r="V52" s="282">
        <f t="shared" si="12"/>
        <v>112.6251</v>
      </c>
      <c r="W52" s="176">
        <f t="shared" ref="W52:X52" si="47">C52/100</f>
        <v>0.9</v>
      </c>
      <c r="X52" s="176">
        <f t="shared" si="47"/>
        <v>2.1</v>
      </c>
      <c r="Y52" s="176">
        <f t="shared" si="14"/>
        <v>2.02</v>
      </c>
      <c r="Z52" s="283">
        <f t="shared" si="15"/>
        <v>3.8178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32.0</v>
      </c>
      <c r="B53" s="191" t="s">
        <v>61</v>
      </c>
      <c r="C53" s="191">
        <v>98.0</v>
      </c>
      <c r="D53" s="191">
        <v>210.0</v>
      </c>
      <c r="E53" s="191">
        <v>202.0</v>
      </c>
      <c r="F53" s="191">
        <f t="shared" si="5"/>
        <v>0</v>
      </c>
      <c r="G53" s="191">
        <f t="shared" si="6"/>
        <v>122.63622</v>
      </c>
      <c r="H53" s="219">
        <f t="shared" si="7"/>
        <v>122.63622</v>
      </c>
      <c r="I53" s="218">
        <v>7.0</v>
      </c>
      <c r="J53" s="193">
        <f t="shared" si="8"/>
        <v>858.45354</v>
      </c>
      <c r="K53" s="186"/>
      <c r="L53" s="164"/>
      <c r="M53" s="195">
        <f t="shared" si="18"/>
        <v>7</v>
      </c>
      <c r="N53" s="195"/>
      <c r="O53" s="186"/>
      <c r="P53" s="186"/>
      <c r="Q53" s="187"/>
      <c r="R53" s="281">
        <v>29.5</v>
      </c>
      <c r="S53" s="176">
        <f t="shared" si="9"/>
        <v>2.02</v>
      </c>
      <c r="T53" s="160">
        <f t="shared" si="10"/>
        <v>7</v>
      </c>
      <c r="U53" s="160">
        <f t="shared" si="11"/>
        <v>14.14</v>
      </c>
      <c r="V53" s="282">
        <f t="shared" si="12"/>
        <v>122.63622</v>
      </c>
      <c r="W53" s="176">
        <f t="shared" ref="W53:X53" si="48">C53/100</f>
        <v>0.98</v>
      </c>
      <c r="X53" s="176">
        <f t="shared" si="48"/>
        <v>2.1</v>
      </c>
      <c r="Y53" s="176">
        <f t="shared" si="14"/>
        <v>14.14</v>
      </c>
      <c r="Z53" s="283">
        <f t="shared" si="15"/>
        <v>29.10012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33.0</v>
      </c>
      <c r="B54" s="182" t="s">
        <v>181</v>
      </c>
      <c r="C54" s="183">
        <v>89.0</v>
      </c>
      <c r="D54" s="183">
        <v>205.0</v>
      </c>
      <c r="E54" s="183">
        <v>200.0</v>
      </c>
      <c r="F54" s="183">
        <f t="shared" si="5"/>
        <v>0.8</v>
      </c>
      <c r="G54" s="183">
        <f t="shared" si="6"/>
        <v>85.7515</v>
      </c>
      <c r="H54" s="184">
        <f t="shared" si="7"/>
        <v>68.6012</v>
      </c>
      <c r="I54" s="183">
        <v>1.0</v>
      </c>
      <c r="J54" s="194">
        <f t="shared" si="8"/>
        <v>68.6012</v>
      </c>
      <c r="K54" s="139"/>
      <c r="L54" s="197"/>
      <c r="M54" s="198">
        <f t="shared" si="18"/>
        <v>1</v>
      </c>
      <c r="N54" s="198"/>
      <c r="O54" s="139"/>
      <c r="P54" s="139"/>
      <c r="Q54" s="176"/>
      <c r="R54" s="281">
        <v>23.5</v>
      </c>
      <c r="S54" s="176">
        <f t="shared" si="9"/>
        <v>2</v>
      </c>
      <c r="T54" s="160">
        <f t="shared" si="10"/>
        <v>1</v>
      </c>
      <c r="U54" s="160">
        <f t="shared" si="11"/>
        <v>2</v>
      </c>
      <c r="V54" s="282">
        <f t="shared" si="12"/>
        <v>85.7515</v>
      </c>
      <c r="W54" s="176">
        <f t="shared" ref="W54:X54" si="49">C54/100</f>
        <v>0.89</v>
      </c>
      <c r="X54" s="176">
        <f t="shared" si="49"/>
        <v>2.05</v>
      </c>
      <c r="Y54" s="176">
        <f t="shared" si="14"/>
        <v>2</v>
      </c>
      <c r="Z54" s="283">
        <f t="shared" si="15"/>
        <v>3.649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34.0</v>
      </c>
      <c r="B55" s="191" t="s">
        <v>174</v>
      </c>
      <c r="C55" s="191">
        <v>95.0</v>
      </c>
      <c r="D55" s="191">
        <v>205.0</v>
      </c>
      <c r="E55" s="191">
        <v>201.0</v>
      </c>
      <c r="F55" s="191">
        <f t="shared" si="5"/>
        <v>0</v>
      </c>
      <c r="G55" s="191">
        <f t="shared" si="6"/>
        <v>91.9901625</v>
      </c>
      <c r="H55" s="219">
        <f t="shared" si="7"/>
        <v>91.9901625</v>
      </c>
      <c r="I55" s="218">
        <v>1.0</v>
      </c>
      <c r="J55" s="194">
        <f t="shared" si="8"/>
        <v>91.9901625</v>
      </c>
      <c r="K55" s="139"/>
      <c r="L55" s="197"/>
      <c r="M55" s="198"/>
      <c r="N55" s="198"/>
      <c r="O55" s="139"/>
      <c r="P55" s="139"/>
      <c r="Q55" s="176" t="s">
        <v>182</v>
      </c>
      <c r="R55" s="281">
        <v>23.5</v>
      </c>
      <c r="S55" s="176">
        <f t="shared" si="9"/>
        <v>2.01</v>
      </c>
      <c r="T55" s="160">
        <f t="shared" si="10"/>
        <v>1</v>
      </c>
      <c r="U55" s="160">
        <f t="shared" si="11"/>
        <v>2.01</v>
      </c>
      <c r="V55" s="282">
        <f t="shared" si="12"/>
        <v>91.9901625</v>
      </c>
      <c r="W55" s="176">
        <f t="shared" ref="W55:X55" si="50">C55/100</f>
        <v>0.95</v>
      </c>
      <c r="X55" s="176">
        <f t="shared" si="50"/>
        <v>2.05</v>
      </c>
      <c r="Y55" s="176">
        <f t="shared" si="14"/>
        <v>2.01</v>
      </c>
      <c r="Z55" s="283">
        <f t="shared" si="15"/>
        <v>3.914475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35.0</v>
      </c>
      <c r="B56" s="191" t="s">
        <v>174</v>
      </c>
      <c r="C56" s="191">
        <v>95.0</v>
      </c>
      <c r="D56" s="191">
        <v>205.0</v>
      </c>
      <c r="E56" s="191">
        <v>136.0</v>
      </c>
      <c r="F56" s="191">
        <f t="shared" si="5"/>
        <v>0</v>
      </c>
      <c r="G56" s="191">
        <f t="shared" si="6"/>
        <v>62.2421</v>
      </c>
      <c r="H56" s="219">
        <f t="shared" si="7"/>
        <v>62.2421</v>
      </c>
      <c r="I56" s="218">
        <v>1.0</v>
      </c>
      <c r="J56" s="194">
        <f t="shared" si="8"/>
        <v>62.2421</v>
      </c>
      <c r="K56" s="139"/>
      <c r="L56" s="197"/>
      <c r="M56" s="198"/>
      <c r="N56" s="198"/>
      <c r="O56" s="139"/>
      <c r="P56" s="139"/>
      <c r="Q56" s="176"/>
      <c r="R56" s="281">
        <v>23.5</v>
      </c>
      <c r="S56" s="176">
        <f t="shared" si="9"/>
        <v>1.36</v>
      </c>
      <c r="T56" s="160">
        <f t="shared" si="10"/>
        <v>1</v>
      </c>
      <c r="U56" s="160">
        <f t="shared" si="11"/>
        <v>1.36</v>
      </c>
      <c r="V56" s="282">
        <f t="shared" si="12"/>
        <v>62.2421</v>
      </c>
      <c r="W56" s="176">
        <f t="shared" ref="W56:X56" si="51">C56/100</f>
        <v>0.95</v>
      </c>
      <c r="X56" s="176">
        <f t="shared" si="51"/>
        <v>2.05</v>
      </c>
      <c r="Y56" s="176">
        <f t="shared" si="14"/>
        <v>1.36</v>
      </c>
      <c r="Z56" s="283">
        <f t="shared" si="15"/>
        <v>2.6486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36.0</v>
      </c>
      <c r="B57" s="191" t="s">
        <v>174</v>
      </c>
      <c r="C57" s="191">
        <v>98.0</v>
      </c>
      <c r="D57" s="191">
        <v>205.0</v>
      </c>
      <c r="E57" s="191">
        <v>200.0</v>
      </c>
      <c r="F57" s="191">
        <f t="shared" si="5"/>
        <v>0</v>
      </c>
      <c r="G57" s="191">
        <f t="shared" si="6"/>
        <v>94.423</v>
      </c>
      <c r="H57" s="219">
        <f t="shared" si="7"/>
        <v>94.423</v>
      </c>
      <c r="I57" s="218">
        <v>1.0</v>
      </c>
      <c r="J57" s="194">
        <f t="shared" si="8"/>
        <v>94.423</v>
      </c>
      <c r="K57" s="139"/>
      <c r="L57" s="197"/>
      <c r="M57" s="198"/>
      <c r="N57" s="198"/>
      <c r="O57" s="139"/>
      <c r="P57" s="139"/>
      <c r="Q57" s="176"/>
      <c r="R57" s="281">
        <v>23.5</v>
      </c>
      <c r="S57" s="176">
        <f t="shared" si="9"/>
        <v>2</v>
      </c>
      <c r="T57" s="160">
        <f t="shared" si="10"/>
        <v>1</v>
      </c>
      <c r="U57" s="160">
        <f t="shared" si="11"/>
        <v>2</v>
      </c>
      <c r="V57" s="282">
        <f t="shared" si="12"/>
        <v>94.423</v>
      </c>
      <c r="W57" s="176">
        <f t="shared" ref="W57:X57" si="52">C57/100</f>
        <v>0.98</v>
      </c>
      <c r="X57" s="176">
        <f t="shared" si="52"/>
        <v>2.05</v>
      </c>
      <c r="Y57" s="176">
        <f t="shared" si="14"/>
        <v>2</v>
      </c>
      <c r="Z57" s="283">
        <f t="shared" si="15"/>
        <v>4.018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37.0</v>
      </c>
      <c r="B58" s="191" t="s">
        <v>174</v>
      </c>
      <c r="C58" s="191">
        <v>103.0</v>
      </c>
      <c r="D58" s="191">
        <v>205.0</v>
      </c>
      <c r="E58" s="191">
        <v>187.0</v>
      </c>
      <c r="F58" s="191">
        <f t="shared" si="5"/>
        <v>0</v>
      </c>
      <c r="G58" s="191">
        <f t="shared" si="6"/>
        <v>92.7898675</v>
      </c>
      <c r="H58" s="219">
        <f t="shared" si="7"/>
        <v>92.7898675</v>
      </c>
      <c r="I58" s="218">
        <v>1.0</v>
      </c>
      <c r="J58" s="194">
        <f t="shared" si="8"/>
        <v>92.7898675</v>
      </c>
      <c r="K58" s="139"/>
      <c r="L58" s="197"/>
      <c r="M58" s="198"/>
      <c r="N58" s="198"/>
      <c r="O58" s="139"/>
      <c r="P58" s="139"/>
      <c r="Q58" s="176"/>
      <c r="R58" s="281">
        <v>23.5</v>
      </c>
      <c r="S58" s="176">
        <f t="shared" si="9"/>
        <v>1.87</v>
      </c>
      <c r="T58" s="160">
        <f t="shared" si="10"/>
        <v>1</v>
      </c>
      <c r="U58" s="160">
        <f t="shared" si="11"/>
        <v>1.87</v>
      </c>
      <c r="V58" s="282">
        <f t="shared" si="12"/>
        <v>92.7898675</v>
      </c>
      <c r="W58" s="176">
        <f t="shared" ref="W58:X58" si="53">C58/100</f>
        <v>1.03</v>
      </c>
      <c r="X58" s="176">
        <f t="shared" si="53"/>
        <v>2.05</v>
      </c>
      <c r="Y58" s="176">
        <f t="shared" si="14"/>
        <v>1.87</v>
      </c>
      <c r="Z58" s="283">
        <f t="shared" si="15"/>
        <v>3.948505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38.0</v>
      </c>
      <c r="B59" s="182" t="s">
        <v>87</v>
      </c>
      <c r="C59" s="183">
        <v>70.0</v>
      </c>
      <c r="D59" s="183">
        <v>206.0</v>
      </c>
      <c r="E59" s="183">
        <v>207.0</v>
      </c>
      <c r="F59" s="183">
        <f t="shared" si="5"/>
        <v>0.8</v>
      </c>
      <c r="G59" s="183">
        <f t="shared" si="6"/>
        <v>79.10091</v>
      </c>
      <c r="H59" s="184">
        <f t="shared" si="7"/>
        <v>63.280728</v>
      </c>
      <c r="I59" s="183">
        <v>1.0</v>
      </c>
      <c r="J59" s="194">
        <f t="shared" si="8"/>
        <v>63.280728</v>
      </c>
      <c r="K59" s="139"/>
      <c r="L59" s="197"/>
      <c r="M59" s="198"/>
      <c r="N59" s="198"/>
      <c r="O59" s="139"/>
      <c r="P59" s="139"/>
      <c r="Q59" s="176"/>
      <c r="R59" s="281">
        <v>26.5</v>
      </c>
      <c r="S59" s="176">
        <f t="shared" si="9"/>
        <v>2.07</v>
      </c>
      <c r="T59" s="160">
        <f t="shared" si="10"/>
        <v>1</v>
      </c>
      <c r="U59" s="160">
        <f t="shared" si="11"/>
        <v>2.07</v>
      </c>
      <c r="V59" s="282">
        <f t="shared" si="12"/>
        <v>79.10091</v>
      </c>
      <c r="W59" s="176">
        <f t="shared" ref="W59:X59" si="54">C59/100</f>
        <v>0.7</v>
      </c>
      <c r="X59" s="176">
        <f t="shared" si="54"/>
        <v>2.06</v>
      </c>
      <c r="Y59" s="176">
        <f t="shared" si="14"/>
        <v>2.07</v>
      </c>
      <c r="Z59" s="283">
        <f t="shared" si="15"/>
        <v>2.98494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39.0</v>
      </c>
      <c r="B60" s="191" t="s">
        <v>82</v>
      </c>
      <c r="C60" s="191">
        <v>94.0</v>
      </c>
      <c r="D60" s="191">
        <v>206.0</v>
      </c>
      <c r="E60" s="191">
        <v>207.0</v>
      </c>
      <c r="F60" s="191">
        <f t="shared" si="5"/>
        <v>0</v>
      </c>
      <c r="G60" s="191">
        <f t="shared" si="6"/>
        <v>106.221222</v>
      </c>
      <c r="H60" s="219">
        <f t="shared" si="7"/>
        <v>106.221222</v>
      </c>
      <c r="I60" s="218">
        <v>1.0</v>
      </c>
      <c r="J60" s="194">
        <f t="shared" si="8"/>
        <v>106.221222</v>
      </c>
      <c r="K60" s="139"/>
      <c r="L60" s="197"/>
      <c r="M60" s="198"/>
      <c r="N60" s="198"/>
      <c r="O60" s="139"/>
      <c r="P60" s="139"/>
      <c r="Q60" s="176" t="s">
        <v>183</v>
      </c>
      <c r="R60" s="281">
        <v>26.5</v>
      </c>
      <c r="S60" s="176">
        <f t="shared" si="9"/>
        <v>2.07</v>
      </c>
      <c r="T60" s="160">
        <f t="shared" si="10"/>
        <v>1</v>
      </c>
      <c r="U60" s="160">
        <f t="shared" si="11"/>
        <v>2.07</v>
      </c>
      <c r="V60" s="282">
        <f t="shared" si="12"/>
        <v>106.221222</v>
      </c>
      <c r="W60" s="176">
        <f t="shared" ref="W60:X60" si="55">C60/100</f>
        <v>0.94</v>
      </c>
      <c r="X60" s="176">
        <f t="shared" si="55"/>
        <v>2.06</v>
      </c>
      <c r="Y60" s="176">
        <f t="shared" si="14"/>
        <v>2.07</v>
      </c>
      <c r="Z60" s="283">
        <f t="shared" si="15"/>
        <v>4.008348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40.0</v>
      </c>
      <c r="B61" s="191" t="s">
        <v>82</v>
      </c>
      <c r="C61" s="191">
        <v>94.0</v>
      </c>
      <c r="D61" s="191">
        <v>206.0</v>
      </c>
      <c r="E61" s="191">
        <v>207.0</v>
      </c>
      <c r="F61" s="191">
        <f t="shared" si="5"/>
        <v>0</v>
      </c>
      <c r="G61" s="191">
        <f t="shared" si="6"/>
        <v>106.221222</v>
      </c>
      <c r="H61" s="219">
        <f t="shared" si="7"/>
        <v>106.221222</v>
      </c>
      <c r="I61" s="218">
        <v>1.0</v>
      </c>
      <c r="J61" s="194">
        <f t="shared" si="8"/>
        <v>106.221222</v>
      </c>
      <c r="K61" s="139"/>
      <c r="L61" s="197"/>
      <c r="M61" s="198"/>
      <c r="N61" s="198"/>
      <c r="O61" s="139"/>
      <c r="P61" s="139"/>
      <c r="Q61" s="176"/>
      <c r="R61" s="281">
        <v>26.5</v>
      </c>
      <c r="S61" s="176">
        <f t="shared" si="9"/>
        <v>2.07</v>
      </c>
      <c r="T61" s="160">
        <f t="shared" si="10"/>
        <v>1</v>
      </c>
      <c r="U61" s="160">
        <f t="shared" si="11"/>
        <v>2.07</v>
      </c>
      <c r="V61" s="282">
        <f t="shared" si="12"/>
        <v>106.221222</v>
      </c>
      <c r="W61" s="176">
        <f t="shared" ref="W61:X61" si="56">C61/100</f>
        <v>0.94</v>
      </c>
      <c r="X61" s="176">
        <f t="shared" si="56"/>
        <v>2.06</v>
      </c>
      <c r="Y61" s="176">
        <f t="shared" si="14"/>
        <v>2.07</v>
      </c>
      <c r="Z61" s="283">
        <f t="shared" si="15"/>
        <v>4.008348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41.0</v>
      </c>
      <c r="B62" s="191" t="s">
        <v>82</v>
      </c>
      <c r="C62" s="191">
        <v>93.0</v>
      </c>
      <c r="D62" s="191">
        <v>206.0</v>
      </c>
      <c r="E62" s="191">
        <v>207.0</v>
      </c>
      <c r="F62" s="191">
        <f t="shared" si="5"/>
        <v>0</v>
      </c>
      <c r="G62" s="191">
        <f t="shared" si="6"/>
        <v>105.091209</v>
      </c>
      <c r="H62" s="219">
        <f t="shared" si="7"/>
        <v>105.091209</v>
      </c>
      <c r="I62" s="218">
        <v>1.0</v>
      </c>
      <c r="J62" s="194">
        <f t="shared" si="8"/>
        <v>105.091209</v>
      </c>
      <c r="K62" s="139"/>
      <c r="L62" s="197"/>
      <c r="M62" s="198"/>
      <c r="N62" s="198"/>
      <c r="O62" s="139"/>
      <c r="P62" s="139"/>
      <c r="Q62" s="176" t="s">
        <v>184</v>
      </c>
      <c r="R62" s="281">
        <v>26.5</v>
      </c>
      <c r="S62" s="176">
        <f t="shared" si="9"/>
        <v>2.07</v>
      </c>
      <c r="T62" s="160">
        <f t="shared" si="10"/>
        <v>1</v>
      </c>
      <c r="U62" s="160">
        <f t="shared" si="11"/>
        <v>2.07</v>
      </c>
      <c r="V62" s="282">
        <f t="shared" si="12"/>
        <v>105.091209</v>
      </c>
      <c r="W62" s="176">
        <f t="shared" ref="W62:X62" si="57">C62/100</f>
        <v>0.93</v>
      </c>
      <c r="X62" s="176">
        <f t="shared" si="57"/>
        <v>2.06</v>
      </c>
      <c r="Y62" s="176">
        <f t="shared" si="14"/>
        <v>2.07</v>
      </c>
      <c r="Z62" s="283">
        <f t="shared" si="15"/>
        <v>3.965706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42.0</v>
      </c>
      <c r="B63" s="191" t="s">
        <v>82</v>
      </c>
      <c r="C63" s="191">
        <v>93.0</v>
      </c>
      <c r="D63" s="191">
        <v>206.0</v>
      </c>
      <c r="E63" s="191">
        <v>207.0</v>
      </c>
      <c r="F63" s="191">
        <f t="shared" si="5"/>
        <v>0</v>
      </c>
      <c r="G63" s="191">
        <f t="shared" si="6"/>
        <v>105.091209</v>
      </c>
      <c r="H63" s="219">
        <f t="shared" si="7"/>
        <v>105.091209</v>
      </c>
      <c r="I63" s="218">
        <v>1.0</v>
      </c>
      <c r="J63" s="194">
        <f t="shared" si="8"/>
        <v>105.091209</v>
      </c>
      <c r="K63" s="139"/>
      <c r="L63" s="197"/>
      <c r="M63" s="198"/>
      <c r="N63" s="198"/>
      <c r="O63" s="139"/>
      <c r="P63" s="139"/>
      <c r="Q63" s="176" t="s">
        <v>183</v>
      </c>
      <c r="R63" s="281">
        <v>26.5</v>
      </c>
      <c r="S63" s="176">
        <f t="shared" si="9"/>
        <v>2.07</v>
      </c>
      <c r="T63" s="160">
        <f t="shared" si="10"/>
        <v>1</v>
      </c>
      <c r="U63" s="160">
        <f t="shared" si="11"/>
        <v>2.07</v>
      </c>
      <c r="V63" s="282">
        <f t="shared" si="12"/>
        <v>105.091209</v>
      </c>
      <c r="W63" s="176">
        <f t="shared" ref="W63:X63" si="58">C63/100</f>
        <v>0.93</v>
      </c>
      <c r="X63" s="176">
        <f t="shared" si="58"/>
        <v>2.06</v>
      </c>
      <c r="Y63" s="176">
        <f t="shared" si="14"/>
        <v>2.07</v>
      </c>
      <c r="Z63" s="283">
        <f t="shared" si="15"/>
        <v>3.965706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43.0</v>
      </c>
      <c r="B64" s="191" t="s">
        <v>82</v>
      </c>
      <c r="C64" s="191">
        <v>93.0</v>
      </c>
      <c r="D64" s="191">
        <v>206.0</v>
      </c>
      <c r="E64" s="191">
        <v>207.0</v>
      </c>
      <c r="F64" s="191">
        <f t="shared" si="5"/>
        <v>0</v>
      </c>
      <c r="G64" s="191">
        <f t="shared" si="6"/>
        <v>105.091209</v>
      </c>
      <c r="H64" s="219">
        <f t="shared" si="7"/>
        <v>105.091209</v>
      </c>
      <c r="I64" s="218">
        <v>2.0</v>
      </c>
      <c r="J64" s="194">
        <f t="shared" si="8"/>
        <v>210.182418</v>
      </c>
      <c r="K64" s="139"/>
      <c r="L64" s="197"/>
      <c r="M64" s="198"/>
      <c r="N64" s="198"/>
      <c r="O64" s="139"/>
      <c r="P64" s="139"/>
      <c r="Q64" s="176" t="s">
        <v>185</v>
      </c>
      <c r="R64" s="141">
        <v>26.5</v>
      </c>
      <c r="S64" s="176">
        <f t="shared" si="9"/>
        <v>2.07</v>
      </c>
      <c r="T64" s="160">
        <f t="shared" si="10"/>
        <v>2</v>
      </c>
      <c r="U64" s="160">
        <f t="shared" si="11"/>
        <v>4.14</v>
      </c>
      <c r="V64" s="282">
        <f t="shared" si="12"/>
        <v>105.091209</v>
      </c>
      <c r="W64" s="176">
        <f t="shared" ref="W64:X64" si="59">C64/100</f>
        <v>0.93</v>
      </c>
      <c r="X64" s="176">
        <f t="shared" si="59"/>
        <v>2.06</v>
      </c>
      <c r="Y64" s="176">
        <f t="shared" si="14"/>
        <v>4.14</v>
      </c>
      <c r="Z64" s="283">
        <f t="shared" si="15"/>
        <v>7.931412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44.0</v>
      </c>
      <c r="B65" s="191" t="s">
        <v>82</v>
      </c>
      <c r="C65" s="191">
        <v>92.0</v>
      </c>
      <c r="D65" s="191">
        <v>206.0</v>
      </c>
      <c r="E65" s="191">
        <v>207.0</v>
      </c>
      <c r="F65" s="191">
        <f t="shared" si="5"/>
        <v>0</v>
      </c>
      <c r="G65" s="191">
        <f t="shared" si="6"/>
        <v>103.961196</v>
      </c>
      <c r="H65" s="219">
        <f t="shared" si="7"/>
        <v>103.961196</v>
      </c>
      <c r="I65" s="218">
        <v>1.0</v>
      </c>
      <c r="J65" s="194">
        <f t="shared" si="8"/>
        <v>103.961196</v>
      </c>
      <c r="K65" s="139"/>
      <c r="L65" s="197"/>
      <c r="M65" s="198"/>
      <c r="N65" s="198"/>
      <c r="O65" s="139"/>
      <c r="P65" s="139"/>
      <c r="Q65" s="176" t="s">
        <v>186</v>
      </c>
      <c r="R65" s="141">
        <v>26.5</v>
      </c>
      <c r="S65" s="176">
        <f t="shared" si="9"/>
        <v>2.07</v>
      </c>
      <c r="T65" s="160">
        <f t="shared" si="10"/>
        <v>1</v>
      </c>
      <c r="U65" s="160">
        <f t="shared" si="11"/>
        <v>2.07</v>
      </c>
      <c r="V65" s="282">
        <f t="shared" si="12"/>
        <v>103.961196</v>
      </c>
      <c r="W65" s="176">
        <f t="shared" ref="W65:X65" si="60">C65/100</f>
        <v>0.92</v>
      </c>
      <c r="X65" s="176">
        <f t="shared" si="60"/>
        <v>2.06</v>
      </c>
      <c r="Y65" s="176">
        <f t="shared" si="14"/>
        <v>2.07</v>
      </c>
      <c r="Z65" s="283">
        <f t="shared" si="15"/>
        <v>3.923064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45.0</v>
      </c>
      <c r="B66" s="191" t="s">
        <v>82</v>
      </c>
      <c r="C66" s="191">
        <v>84.0</v>
      </c>
      <c r="D66" s="191">
        <v>206.0</v>
      </c>
      <c r="E66" s="191">
        <v>207.0</v>
      </c>
      <c r="F66" s="191">
        <f t="shared" si="5"/>
        <v>0</v>
      </c>
      <c r="G66" s="191">
        <f t="shared" si="6"/>
        <v>94.921092</v>
      </c>
      <c r="H66" s="219">
        <f t="shared" si="7"/>
        <v>94.921092</v>
      </c>
      <c r="I66" s="218">
        <v>1.0</v>
      </c>
      <c r="J66" s="194">
        <f t="shared" si="8"/>
        <v>94.921092</v>
      </c>
      <c r="K66" s="139"/>
      <c r="L66" s="197"/>
      <c r="M66" s="198"/>
      <c r="N66" s="198"/>
      <c r="O66" s="139"/>
      <c r="P66" s="139"/>
      <c r="Q66" s="176"/>
      <c r="R66" s="141">
        <v>26.5</v>
      </c>
      <c r="S66" s="176">
        <f t="shared" si="9"/>
        <v>2.07</v>
      </c>
      <c r="T66" s="160">
        <f t="shared" si="10"/>
        <v>1</v>
      </c>
      <c r="U66" s="160">
        <f t="shared" si="11"/>
        <v>2.07</v>
      </c>
      <c r="V66" s="282">
        <f t="shared" si="12"/>
        <v>94.921092</v>
      </c>
      <c r="W66" s="176">
        <f t="shared" ref="W66:X66" si="61">C66/100</f>
        <v>0.84</v>
      </c>
      <c r="X66" s="176">
        <f t="shared" si="61"/>
        <v>2.06</v>
      </c>
      <c r="Y66" s="176">
        <f t="shared" si="14"/>
        <v>2.07</v>
      </c>
      <c r="Z66" s="283">
        <f t="shared" si="15"/>
        <v>3.581928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46.0</v>
      </c>
      <c r="B67" s="191" t="s">
        <v>82</v>
      </c>
      <c r="C67" s="191">
        <v>94.0</v>
      </c>
      <c r="D67" s="191">
        <v>206.0</v>
      </c>
      <c r="E67" s="191">
        <v>208.0</v>
      </c>
      <c r="F67" s="191">
        <f t="shared" si="5"/>
        <v>0</v>
      </c>
      <c r="G67" s="191">
        <f t="shared" si="6"/>
        <v>106.734368</v>
      </c>
      <c r="H67" s="219">
        <f t="shared" si="7"/>
        <v>106.734368</v>
      </c>
      <c r="I67" s="218">
        <v>6.0</v>
      </c>
      <c r="J67" s="194">
        <f t="shared" si="8"/>
        <v>640.406208</v>
      </c>
      <c r="K67" s="139"/>
      <c r="L67" s="197"/>
      <c r="M67" s="198"/>
      <c r="N67" s="198"/>
      <c r="O67" s="139"/>
      <c r="P67" s="139"/>
      <c r="Q67" s="176"/>
      <c r="R67" s="141">
        <v>26.5</v>
      </c>
      <c r="S67" s="176">
        <f t="shared" si="9"/>
        <v>2.08</v>
      </c>
      <c r="T67" s="160">
        <f t="shared" si="10"/>
        <v>6</v>
      </c>
      <c r="U67" s="160">
        <f t="shared" si="11"/>
        <v>12.48</v>
      </c>
      <c r="V67" s="282">
        <f t="shared" si="12"/>
        <v>106.734368</v>
      </c>
      <c r="W67" s="176">
        <f t="shared" ref="W67:X67" si="62">C67/100</f>
        <v>0.94</v>
      </c>
      <c r="X67" s="176">
        <f t="shared" si="62"/>
        <v>2.06</v>
      </c>
      <c r="Y67" s="176">
        <f t="shared" si="14"/>
        <v>12.48</v>
      </c>
      <c r="Z67" s="283">
        <f t="shared" si="15"/>
        <v>24.166272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47.0</v>
      </c>
      <c r="B68" s="191" t="s">
        <v>82</v>
      </c>
      <c r="C68" s="191">
        <v>94.0</v>
      </c>
      <c r="D68" s="191">
        <v>206.0</v>
      </c>
      <c r="E68" s="191">
        <v>144.0</v>
      </c>
      <c r="F68" s="191">
        <f t="shared" si="5"/>
        <v>0</v>
      </c>
      <c r="G68" s="191">
        <f t="shared" si="6"/>
        <v>73.893024</v>
      </c>
      <c r="H68" s="219">
        <f t="shared" si="7"/>
        <v>73.893024</v>
      </c>
      <c r="I68" s="218">
        <v>1.0</v>
      </c>
      <c r="J68" s="194">
        <f t="shared" si="8"/>
        <v>73.893024</v>
      </c>
      <c r="K68" s="139"/>
      <c r="L68" s="197"/>
      <c r="M68" s="198"/>
      <c r="N68" s="198"/>
      <c r="O68" s="139"/>
      <c r="P68" s="139"/>
      <c r="Q68" s="176"/>
      <c r="R68" s="141">
        <v>26.5</v>
      </c>
      <c r="S68" s="176">
        <f t="shared" si="9"/>
        <v>1.44</v>
      </c>
      <c r="T68" s="160">
        <f t="shared" si="10"/>
        <v>1</v>
      </c>
      <c r="U68" s="160">
        <f t="shared" si="11"/>
        <v>1.44</v>
      </c>
      <c r="V68" s="282">
        <f t="shared" si="12"/>
        <v>73.893024</v>
      </c>
      <c r="W68" s="176">
        <f t="shared" ref="W68:X68" si="63">C68/100</f>
        <v>0.94</v>
      </c>
      <c r="X68" s="176">
        <f t="shared" si="63"/>
        <v>2.06</v>
      </c>
      <c r="Y68" s="176">
        <f t="shared" si="14"/>
        <v>1.44</v>
      </c>
      <c r="Z68" s="283">
        <f t="shared" si="15"/>
        <v>2.788416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48.0</v>
      </c>
      <c r="B69" s="191" t="s">
        <v>82</v>
      </c>
      <c r="C69" s="191">
        <v>89.0</v>
      </c>
      <c r="D69" s="191">
        <v>206.0</v>
      </c>
      <c r="E69" s="191">
        <v>206.0</v>
      </c>
      <c r="F69" s="191">
        <f t="shared" si="5"/>
        <v>0</v>
      </c>
      <c r="G69" s="191">
        <f t="shared" si="6"/>
        <v>100.085306</v>
      </c>
      <c r="H69" s="219">
        <f t="shared" si="7"/>
        <v>100.085306</v>
      </c>
      <c r="I69" s="218">
        <v>1.0</v>
      </c>
      <c r="J69" s="194">
        <f t="shared" si="8"/>
        <v>100.085306</v>
      </c>
      <c r="K69" s="139"/>
      <c r="L69" s="197"/>
      <c r="M69" s="198"/>
      <c r="N69" s="198"/>
      <c r="O69" s="139"/>
      <c r="P69" s="139"/>
      <c r="Q69" s="176"/>
      <c r="R69" s="141">
        <v>26.5</v>
      </c>
      <c r="S69" s="176">
        <f t="shared" si="9"/>
        <v>2.06</v>
      </c>
      <c r="T69" s="160">
        <f t="shared" si="10"/>
        <v>1</v>
      </c>
      <c r="U69" s="160">
        <f t="shared" si="11"/>
        <v>2.06</v>
      </c>
      <c r="V69" s="282">
        <f t="shared" si="12"/>
        <v>100.085306</v>
      </c>
      <c r="W69" s="176">
        <f t="shared" ref="W69:X69" si="64">C69/100</f>
        <v>0.89</v>
      </c>
      <c r="X69" s="176">
        <f t="shared" si="64"/>
        <v>2.06</v>
      </c>
      <c r="Y69" s="176">
        <f t="shared" si="14"/>
        <v>2.06</v>
      </c>
      <c r="Z69" s="283">
        <f t="shared" si="15"/>
        <v>3.776804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49.0</v>
      </c>
      <c r="B70" s="191" t="s">
        <v>82</v>
      </c>
      <c r="C70" s="191">
        <v>94.0</v>
      </c>
      <c r="D70" s="191">
        <v>206.0</v>
      </c>
      <c r="E70" s="191">
        <v>226.0</v>
      </c>
      <c r="F70" s="191">
        <f t="shared" si="5"/>
        <v>0</v>
      </c>
      <c r="G70" s="191">
        <f t="shared" si="6"/>
        <v>115.970996</v>
      </c>
      <c r="H70" s="219">
        <f t="shared" si="7"/>
        <v>115.970996</v>
      </c>
      <c r="I70" s="218">
        <v>1.0</v>
      </c>
      <c r="J70" s="194">
        <f t="shared" si="8"/>
        <v>115.970996</v>
      </c>
      <c r="K70" s="139"/>
      <c r="L70" s="197"/>
      <c r="M70" s="198"/>
      <c r="N70" s="198"/>
      <c r="O70" s="139"/>
      <c r="P70" s="139"/>
      <c r="Q70" s="176"/>
      <c r="R70" s="141">
        <v>26.5</v>
      </c>
      <c r="S70" s="176">
        <f t="shared" si="9"/>
        <v>2.26</v>
      </c>
      <c r="T70" s="160">
        <f t="shared" si="10"/>
        <v>1</v>
      </c>
      <c r="U70" s="160">
        <f t="shared" si="11"/>
        <v>2.26</v>
      </c>
      <c r="V70" s="282">
        <f t="shared" si="12"/>
        <v>115.970996</v>
      </c>
      <c r="W70" s="176">
        <f t="shared" ref="W70:X70" si="65">C70/100</f>
        <v>0.94</v>
      </c>
      <c r="X70" s="176">
        <f t="shared" si="65"/>
        <v>2.06</v>
      </c>
      <c r="Y70" s="176">
        <f t="shared" si="14"/>
        <v>2.26</v>
      </c>
      <c r="Z70" s="283">
        <f t="shared" si="15"/>
        <v>4.376264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50.0</v>
      </c>
      <c r="B71" s="191" t="s">
        <v>82</v>
      </c>
      <c r="C71" s="191">
        <v>94.0</v>
      </c>
      <c r="D71" s="191">
        <v>206.0</v>
      </c>
      <c r="E71" s="191">
        <v>206.0</v>
      </c>
      <c r="F71" s="191">
        <f t="shared" si="5"/>
        <v>0</v>
      </c>
      <c r="G71" s="191">
        <f t="shared" si="6"/>
        <v>105.708076</v>
      </c>
      <c r="H71" s="219">
        <f t="shared" si="7"/>
        <v>105.708076</v>
      </c>
      <c r="I71" s="218">
        <v>2.0</v>
      </c>
      <c r="J71" s="194">
        <f t="shared" si="8"/>
        <v>211.416152</v>
      </c>
      <c r="K71" s="139"/>
      <c r="L71" s="197"/>
      <c r="M71" s="198"/>
      <c r="N71" s="198"/>
      <c r="O71" s="139"/>
      <c r="P71" s="139"/>
      <c r="Q71" s="176"/>
      <c r="R71" s="141">
        <v>26.5</v>
      </c>
      <c r="S71" s="176">
        <f t="shared" si="9"/>
        <v>2.06</v>
      </c>
      <c r="T71" s="160">
        <f t="shared" si="10"/>
        <v>2</v>
      </c>
      <c r="U71" s="160">
        <f t="shared" si="11"/>
        <v>4.12</v>
      </c>
      <c r="V71" s="282">
        <f t="shared" si="12"/>
        <v>105.708076</v>
      </c>
      <c r="W71" s="176">
        <f t="shared" ref="W71:X71" si="66">C71/100</f>
        <v>0.94</v>
      </c>
      <c r="X71" s="176">
        <f t="shared" si="66"/>
        <v>2.06</v>
      </c>
      <c r="Y71" s="176">
        <f t="shared" si="14"/>
        <v>4.12</v>
      </c>
      <c r="Z71" s="283">
        <f t="shared" si="15"/>
        <v>7.977968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51.0</v>
      </c>
      <c r="B72" s="191" t="s">
        <v>82</v>
      </c>
      <c r="C72" s="191">
        <v>94.0</v>
      </c>
      <c r="D72" s="191">
        <v>206.0</v>
      </c>
      <c r="E72" s="191">
        <v>205.0</v>
      </c>
      <c r="F72" s="191">
        <f t="shared" si="5"/>
        <v>0</v>
      </c>
      <c r="G72" s="191">
        <f t="shared" si="6"/>
        <v>105.19493</v>
      </c>
      <c r="H72" s="219">
        <f t="shared" si="7"/>
        <v>105.19493</v>
      </c>
      <c r="I72" s="218">
        <v>1.0</v>
      </c>
      <c r="J72" s="194">
        <f t="shared" si="8"/>
        <v>105.19493</v>
      </c>
      <c r="K72" s="139"/>
      <c r="L72" s="197"/>
      <c r="M72" s="198"/>
      <c r="N72" s="198"/>
      <c r="O72" s="139"/>
      <c r="P72" s="139"/>
      <c r="Q72" s="176"/>
      <c r="R72" s="141">
        <v>26.5</v>
      </c>
      <c r="S72" s="176">
        <f t="shared" si="9"/>
        <v>2.05</v>
      </c>
      <c r="T72" s="160">
        <f t="shared" si="10"/>
        <v>1</v>
      </c>
      <c r="U72" s="160">
        <f t="shared" si="11"/>
        <v>2.05</v>
      </c>
      <c r="V72" s="282">
        <f t="shared" si="12"/>
        <v>105.19493</v>
      </c>
      <c r="W72" s="176">
        <f t="shared" ref="W72:X72" si="67">C72/100</f>
        <v>0.94</v>
      </c>
      <c r="X72" s="176">
        <f t="shared" si="67"/>
        <v>2.06</v>
      </c>
      <c r="Y72" s="176">
        <f t="shared" si="14"/>
        <v>2.05</v>
      </c>
      <c r="Z72" s="283">
        <f t="shared" si="15"/>
        <v>3.96962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52.0</v>
      </c>
      <c r="B73" s="191" t="s">
        <v>82</v>
      </c>
      <c r="C73" s="191">
        <v>93.0</v>
      </c>
      <c r="D73" s="191">
        <v>206.0</v>
      </c>
      <c r="E73" s="191">
        <v>208.0</v>
      </c>
      <c r="F73" s="191">
        <f t="shared" si="5"/>
        <v>0</v>
      </c>
      <c r="G73" s="191">
        <f t="shared" si="6"/>
        <v>105.598896</v>
      </c>
      <c r="H73" s="219">
        <f t="shared" si="7"/>
        <v>105.598896</v>
      </c>
      <c r="I73" s="218">
        <v>1.0</v>
      </c>
      <c r="J73" s="194">
        <f t="shared" si="8"/>
        <v>105.598896</v>
      </c>
      <c r="K73" s="139"/>
      <c r="L73" s="197"/>
      <c r="M73" s="198"/>
      <c r="N73" s="198"/>
      <c r="O73" s="139"/>
      <c r="P73" s="139"/>
      <c r="Q73" s="176"/>
      <c r="R73" s="141">
        <v>26.5</v>
      </c>
      <c r="S73" s="176">
        <f t="shared" si="9"/>
        <v>2.08</v>
      </c>
      <c r="T73" s="160">
        <f t="shared" si="10"/>
        <v>1</v>
      </c>
      <c r="U73" s="160">
        <f t="shared" si="11"/>
        <v>2.08</v>
      </c>
      <c r="V73" s="282">
        <f t="shared" si="12"/>
        <v>105.598896</v>
      </c>
      <c r="W73" s="176">
        <f t="shared" ref="W73:X73" si="68">C73/100</f>
        <v>0.93</v>
      </c>
      <c r="X73" s="176">
        <f t="shared" si="68"/>
        <v>2.06</v>
      </c>
      <c r="Y73" s="176">
        <f t="shared" si="14"/>
        <v>2.08</v>
      </c>
      <c r="Z73" s="283">
        <f t="shared" si="15"/>
        <v>3.984864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53.0</v>
      </c>
      <c r="B74" s="191" t="s">
        <v>82</v>
      </c>
      <c r="C74" s="191">
        <v>92.0</v>
      </c>
      <c r="D74" s="191">
        <v>206.0</v>
      </c>
      <c r="E74" s="191">
        <v>206.0</v>
      </c>
      <c r="F74" s="191">
        <f t="shared" si="5"/>
        <v>0</v>
      </c>
      <c r="G74" s="191">
        <f t="shared" si="6"/>
        <v>103.458968</v>
      </c>
      <c r="H74" s="219">
        <f t="shared" si="7"/>
        <v>103.458968</v>
      </c>
      <c r="I74" s="218">
        <v>2.0</v>
      </c>
      <c r="J74" s="194">
        <f t="shared" si="8"/>
        <v>206.917936</v>
      </c>
      <c r="K74" s="139"/>
      <c r="L74" s="197"/>
      <c r="M74" s="198"/>
      <c r="N74" s="198"/>
      <c r="O74" s="139"/>
      <c r="P74" s="139"/>
      <c r="Q74" s="176"/>
      <c r="R74" s="141">
        <v>26.5</v>
      </c>
      <c r="S74" s="176">
        <f t="shared" si="9"/>
        <v>2.06</v>
      </c>
      <c r="T74" s="160">
        <f t="shared" si="10"/>
        <v>2</v>
      </c>
      <c r="U74" s="160">
        <f t="shared" si="11"/>
        <v>4.12</v>
      </c>
      <c r="V74" s="282">
        <f t="shared" si="12"/>
        <v>103.458968</v>
      </c>
      <c r="W74" s="176">
        <f t="shared" ref="W74:X74" si="69">C74/100</f>
        <v>0.92</v>
      </c>
      <c r="X74" s="176">
        <f t="shared" si="69"/>
        <v>2.06</v>
      </c>
      <c r="Y74" s="176">
        <f t="shared" si="14"/>
        <v>4.12</v>
      </c>
      <c r="Z74" s="283">
        <f t="shared" si="15"/>
        <v>7.808224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54.0</v>
      </c>
      <c r="B75" s="182" t="s">
        <v>79</v>
      </c>
      <c r="C75" s="183">
        <v>85.0</v>
      </c>
      <c r="D75" s="183">
        <v>208.0</v>
      </c>
      <c r="E75" s="183">
        <v>287.0</v>
      </c>
      <c r="F75" s="183">
        <f t="shared" si="5"/>
        <v>0.8</v>
      </c>
      <c r="G75" s="183">
        <f t="shared" si="6"/>
        <v>114.1686</v>
      </c>
      <c r="H75" s="184">
        <f t="shared" si="7"/>
        <v>91.33488</v>
      </c>
      <c r="I75" s="183">
        <v>1.0</v>
      </c>
      <c r="J75" s="194">
        <f t="shared" si="8"/>
        <v>91.33488</v>
      </c>
      <c r="K75" s="139"/>
      <c r="L75" s="197"/>
      <c r="M75" s="198"/>
      <c r="N75" s="198"/>
      <c r="O75" s="139"/>
      <c r="P75" s="139"/>
      <c r="Q75" s="176"/>
      <c r="R75" s="141">
        <v>22.5</v>
      </c>
      <c r="S75" s="176">
        <f t="shared" si="9"/>
        <v>2.87</v>
      </c>
      <c r="T75" s="160">
        <f t="shared" si="10"/>
        <v>1</v>
      </c>
      <c r="U75" s="160">
        <f t="shared" si="11"/>
        <v>2.87</v>
      </c>
      <c r="V75" s="282">
        <f t="shared" si="12"/>
        <v>114.1686</v>
      </c>
      <c r="W75" s="176">
        <f t="shared" ref="W75:X75" si="70">C75/100</f>
        <v>0.85</v>
      </c>
      <c r="X75" s="176">
        <f t="shared" si="70"/>
        <v>2.08</v>
      </c>
      <c r="Y75" s="176">
        <f t="shared" si="14"/>
        <v>2.87</v>
      </c>
      <c r="Z75" s="283">
        <f t="shared" si="15"/>
        <v>5.07416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55.0</v>
      </c>
      <c r="B76" s="191" t="s">
        <v>76</v>
      </c>
      <c r="C76" s="191">
        <v>100.0</v>
      </c>
      <c r="D76" s="191">
        <v>208.0</v>
      </c>
      <c r="E76" s="191">
        <v>288.0</v>
      </c>
      <c r="F76" s="191">
        <f t="shared" si="5"/>
        <v>0</v>
      </c>
      <c r="G76" s="191">
        <f t="shared" si="6"/>
        <v>134.784</v>
      </c>
      <c r="H76" s="219">
        <f t="shared" si="7"/>
        <v>134.784</v>
      </c>
      <c r="I76" s="218">
        <v>1.0</v>
      </c>
      <c r="J76" s="194">
        <f t="shared" si="8"/>
        <v>134.784</v>
      </c>
      <c r="K76" s="139"/>
      <c r="L76" s="197"/>
      <c r="M76" s="198"/>
      <c r="N76" s="198"/>
      <c r="O76" s="139"/>
      <c r="P76" s="139"/>
      <c r="Q76" s="176" t="s">
        <v>156</v>
      </c>
      <c r="R76" s="141">
        <v>22.5</v>
      </c>
      <c r="S76" s="176">
        <f t="shared" si="9"/>
        <v>2.88</v>
      </c>
      <c r="T76" s="160">
        <f t="shared" si="10"/>
        <v>1</v>
      </c>
      <c r="U76" s="160">
        <f t="shared" si="11"/>
        <v>2.88</v>
      </c>
      <c r="V76" s="282">
        <f t="shared" si="12"/>
        <v>134.784</v>
      </c>
      <c r="W76" s="176">
        <f t="shared" ref="W76:X76" si="71">C76/100</f>
        <v>1</v>
      </c>
      <c r="X76" s="176">
        <f t="shared" si="71"/>
        <v>2.08</v>
      </c>
      <c r="Y76" s="176">
        <f t="shared" si="14"/>
        <v>2.88</v>
      </c>
      <c r="Z76" s="283">
        <f t="shared" si="15"/>
        <v>5.9904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56.0</v>
      </c>
      <c r="B77" s="191" t="s">
        <v>76</v>
      </c>
      <c r="C77" s="191">
        <v>100.0</v>
      </c>
      <c r="D77" s="191">
        <v>208.0</v>
      </c>
      <c r="E77" s="191">
        <v>288.0</v>
      </c>
      <c r="F77" s="191">
        <f t="shared" si="5"/>
        <v>0</v>
      </c>
      <c r="G77" s="191">
        <f t="shared" si="6"/>
        <v>134.784</v>
      </c>
      <c r="H77" s="219">
        <f t="shared" si="7"/>
        <v>134.784</v>
      </c>
      <c r="I77" s="218">
        <v>11.0</v>
      </c>
      <c r="J77" s="194">
        <f t="shared" si="8"/>
        <v>1482.624</v>
      </c>
      <c r="K77" s="139"/>
      <c r="L77" s="197"/>
      <c r="M77" s="198"/>
      <c r="N77" s="198"/>
      <c r="O77" s="139"/>
      <c r="P77" s="139"/>
      <c r="Q77" s="176"/>
      <c r="R77" s="141">
        <v>22.5</v>
      </c>
      <c r="S77" s="176">
        <f t="shared" si="9"/>
        <v>2.88</v>
      </c>
      <c r="T77" s="160">
        <f t="shared" si="10"/>
        <v>11</v>
      </c>
      <c r="U77" s="160">
        <f t="shared" si="11"/>
        <v>31.68</v>
      </c>
      <c r="V77" s="282">
        <f t="shared" si="12"/>
        <v>134.784</v>
      </c>
      <c r="W77" s="176">
        <f t="shared" ref="W77:X77" si="72">C77/100</f>
        <v>1</v>
      </c>
      <c r="X77" s="176">
        <f t="shared" si="72"/>
        <v>2.08</v>
      </c>
      <c r="Y77" s="176">
        <f t="shared" si="14"/>
        <v>31.68</v>
      </c>
      <c r="Z77" s="283">
        <f t="shared" si="15"/>
        <v>65.8944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57.0</v>
      </c>
      <c r="B78" s="191" t="s">
        <v>76</v>
      </c>
      <c r="C78" s="191">
        <v>100.0</v>
      </c>
      <c r="D78" s="191">
        <v>208.0</v>
      </c>
      <c r="E78" s="191">
        <v>287.0</v>
      </c>
      <c r="F78" s="191">
        <f t="shared" si="5"/>
        <v>0</v>
      </c>
      <c r="G78" s="191">
        <f t="shared" si="6"/>
        <v>134.316</v>
      </c>
      <c r="H78" s="219">
        <f t="shared" si="7"/>
        <v>134.316</v>
      </c>
      <c r="I78" s="218">
        <v>1.0</v>
      </c>
      <c r="J78" s="194">
        <f t="shared" si="8"/>
        <v>134.316</v>
      </c>
      <c r="K78" s="139"/>
      <c r="L78" s="197"/>
      <c r="M78" s="198"/>
      <c r="N78" s="198"/>
      <c r="O78" s="139"/>
      <c r="P78" s="139"/>
      <c r="Q78" s="176" t="s">
        <v>179</v>
      </c>
      <c r="R78" s="141">
        <v>22.5</v>
      </c>
      <c r="S78" s="176">
        <f t="shared" si="9"/>
        <v>2.87</v>
      </c>
      <c r="T78" s="160">
        <f t="shared" si="10"/>
        <v>1</v>
      </c>
      <c r="U78" s="160">
        <f t="shared" si="11"/>
        <v>2.87</v>
      </c>
      <c r="V78" s="282">
        <f t="shared" si="12"/>
        <v>134.316</v>
      </c>
      <c r="W78" s="176">
        <f t="shared" ref="W78:X78" si="73">C78/100</f>
        <v>1</v>
      </c>
      <c r="X78" s="176">
        <f t="shared" si="73"/>
        <v>2.08</v>
      </c>
      <c r="Y78" s="176">
        <f t="shared" si="14"/>
        <v>2.87</v>
      </c>
      <c r="Z78" s="283">
        <f t="shared" si="15"/>
        <v>5.9696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58.0</v>
      </c>
      <c r="B79" s="191" t="s">
        <v>76</v>
      </c>
      <c r="C79" s="191">
        <v>100.0</v>
      </c>
      <c r="D79" s="191">
        <v>208.0</v>
      </c>
      <c r="E79" s="191">
        <v>287.0</v>
      </c>
      <c r="F79" s="191">
        <f t="shared" si="5"/>
        <v>0</v>
      </c>
      <c r="G79" s="191">
        <f t="shared" si="6"/>
        <v>134.316</v>
      </c>
      <c r="H79" s="219">
        <f t="shared" si="7"/>
        <v>134.316</v>
      </c>
      <c r="I79" s="218">
        <v>13.0</v>
      </c>
      <c r="J79" s="194">
        <f t="shared" si="8"/>
        <v>1746.108</v>
      </c>
      <c r="K79" s="139"/>
      <c r="L79" s="197"/>
      <c r="M79" s="198"/>
      <c r="N79" s="198"/>
      <c r="O79" s="139"/>
      <c r="P79" s="139"/>
      <c r="Q79" s="176"/>
      <c r="R79" s="141">
        <v>22.5</v>
      </c>
      <c r="S79" s="176">
        <f t="shared" si="9"/>
        <v>2.87</v>
      </c>
      <c r="T79" s="160">
        <f t="shared" si="10"/>
        <v>13</v>
      </c>
      <c r="U79" s="160">
        <f t="shared" si="11"/>
        <v>37.31</v>
      </c>
      <c r="V79" s="282">
        <f t="shared" si="12"/>
        <v>134.316</v>
      </c>
      <c r="W79" s="176">
        <f t="shared" ref="W79:X79" si="74">C79/100</f>
        <v>1</v>
      </c>
      <c r="X79" s="176">
        <f t="shared" si="74"/>
        <v>2.08</v>
      </c>
      <c r="Y79" s="176">
        <f t="shared" si="14"/>
        <v>37.31</v>
      </c>
      <c r="Z79" s="283">
        <f t="shared" si="15"/>
        <v>77.6048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59.0</v>
      </c>
      <c r="B80" s="191" t="s">
        <v>76</v>
      </c>
      <c r="C80" s="191">
        <v>86.0</v>
      </c>
      <c r="D80" s="191">
        <v>208.0</v>
      </c>
      <c r="E80" s="191">
        <v>268.0</v>
      </c>
      <c r="F80" s="191">
        <f t="shared" si="5"/>
        <v>0</v>
      </c>
      <c r="G80" s="191">
        <f t="shared" si="6"/>
        <v>107.86464</v>
      </c>
      <c r="H80" s="219">
        <f t="shared" si="7"/>
        <v>107.86464</v>
      </c>
      <c r="I80" s="218">
        <v>1.0</v>
      </c>
      <c r="J80" s="194">
        <f t="shared" si="8"/>
        <v>107.86464</v>
      </c>
      <c r="K80" s="139"/>
      <c r="L80" s="197"/>
      <c r="M80" s="198"/>
      <c r="N80" s="198"/>
      <c r="O80" s="139"/>
      <c r="P80" s="139"/>
      <c r="Q80" s="176"/>
      <c r="R80" s="141">
        <v>22.5</v>
      </c>
      <c r="S80" s="176">
        <f t="shared" si="9"/>
        <v>2.68</v>
      </c>
      <c r="T80" s="160">
        <f t="shared" si="10"/>
        <v>1</v>
      </c>
      <c r="U80" s="160">
        <f t="shared" si="11"/>
        <v>2.68</v>
      </c>
      <c r="V80" s="282">
        <f t="shared" si="12"/>
        <v>107.86464</v>
      </c>
      <c r="W80" s="176">
        <f t="shared" ref="W80:X80" si="75">C80/100</f>
        <v>0.86</v>
      </c>
      <c r="X80" s="176">
        <f t="shared" si="75"/>
        <v>2.08</v>
      </c>
      <c r="Y80" s="176">
        <f t="shared" si="14"/>
        <v>2.68</v>
      </c>
      <c r="Z80" s="283">
        <f t="shared" si="15"/>
        <v>4.793984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>
        <v>60.0</v>
      </c>
      <c r="B81" s="191" t="s">
        <v>76</v>
      </c>
      <c r="C81" s="191">
        <v>102.0</v>
      </c>
      <c r="D81" s="191">
        <v>208.0</v>
      </c>
      <c r="E81" s="191">
        <v>288.0</v>
      </c>
      <c r="F81" s="191">
        <f t="shared" si="5"/>
        <v>0</v>
      </c>
      <c r="G81" s="191">
        <f t="shared" si="6"/>
        <v>137.47968</v>
      </c>
      <c r="H81" s="219">
        <f t="shared" si="7"/>
        <v>137.47968</v>
      </c>
      <c r="I81" s="218">
        <v>2.0</v>
      </c>
      <c r="J81" s="194">
        <f t="shared" si="8"/>
        <v>274.95936</v>
      </c>
      <c r="K81" s="139"/>
      <c r="L81" s="197"/>
      <c r="M81" s="198"/>
      <c r="N81" s="198"/>
      <c r="O81" s="139"/>
      <c r="P81" s="139"/>
      <c r="Q81" s="176"/>
      <c r="R81" s="141">
        <v>22.5</v>
      </c>
      <c r="S81" s="176">
        <f t="shared" si="9"/>
        <v>2.88</v>
      </c>
      <c r="T81" s="160">
        <f t="shared" si="10"/>
        <v>2</v>
      </c>
      <c r="U81" s="160">
        <f t="shared" si="11"/>
        <v>5.76</v>
      </c>
      <c r="V81" s="282">
        <f t="shared" si="12"/>
        <v>137.47968</v>
      </c>
      <c r="W81" s="176">
        <f t="shared" ref="W81:X81" si="76">C81/100</f>
        <v>1.02</v>
      </c>
      <c r="X81" s="176">
        <f t="shared" si="76"/>
        <v>2.08</v>
      </c>
      <c r="Y81" s="176">
        <f t="shared" si="14"/>
        <v>5.76</v>
      </c>
      <c r="Z81" s="283">
        <f t="shared" si="15"/>
        <v>12.220416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60">
        <v>61.0</v>
      </c>
      <c r="B82" s="191" t="s">
        <v>76</v>
      </c>
      <c r="C82" s="191">
        <v>102.0</v>
      </c>
      <c r="D82" s="191">
        <v>208.0</v>
      </c>
      <c r="E82" s="191">
        <v>286.0</v>
      </c>
      <c r="F82" s="191">
        <f t="shared" si="5"/>
        <v>0</v>
      </c>
      <c r="G82" s="191">
        <f t="shared" si="6"/>
        <v>136.52496</v>
      </c>
      <c r="H82" s="219">
        <f t="shared" si="7"/>
        <v>136.52496</v>
      </c>
      <c r="I82" s="218">
        <v>1.0</v>
      </c>
      <c r="J82" s="194">
        <f t="shared" si="8"/>
        <v>136.52496</v>
      </c>
      <c r="K82" s="139"/>
      <c r="L82" s="197"/>
      <c r="M82" s="198"/>
      <c r="N82" s="198"/>
      <c r="O82" s="139"/>
      <c r="P82" s="139"/>
      <c r="Q82" s="176"/>
      <c r="R82" s="141">
        <v>22.5</v>
      </c>
      <c r="S82" s="176">
        <f t="shared" si="9"/>
        <v>2.86</v>
      </c>
      <c r="T82" s="160">
        <f t="shared" si="10"/>
        <v>1</v>
      </c>
      <c r="U82" s="160">
        <f t="shared" si="11"/>
        <v>2.86</v>
      </c>
      <c r="V82" s="282">
        <f t="shared" si="12"/>
        <v>136.52496</v>
      </c>
      <c r="W82" s="176">
        <f t="shared" ref="W82:X82" si="77">C82/100</f>
        <v>1.02</v>
      </c>
      <c r="X82" s="176">
        <f t="shared" si="77"/>
        <v>2.08</v>
      </c>
      <c r="Y82" s="176">
        <f t="shared" si="14"/>
        <v>2.86</v>
      </c>
      <c r="Z82" s="283">
        <f t="shared" si="15"/>
        <v>6.067776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customHeight="1">
      <c r="A83" s="160">
        <v>62.0</v>
      </c>
      <c r="B83" s="191" t="s">
        <v>76</v>
      </c>
      <c r="C83" s="191">
        <v>102.0</v>
      </c>
      <c r="D83" s="191">
        <v>208.0</v>
      </c>
      <c r="E83" s="191">
        <v>287.0</v>
      </c>
      <c r="F83" s="191">
        <f t="shared" si="5"/>
        <v>0</v>
      </c>
      <c r="G83" s="191">
        <f t="shared" si="6"/>
        <v>137.00232</v>
      </c>
      <c r="H83" s="219">
        <f t="shared" si="7"/>
        <v>137.00232</v>
      </c>
      <c r="I83" s="218">
        <v>2.0</v>
      </c>
      <c r="J83" s="194">
        <f t="shared" si="8"/>
        <v>274.00464</v>
      </c>
      <c r="K83" s="139"/>
      <c r="L83" s="197"/>
      <c r="M83" s="198"/>
      <c r="N83" s="198"/>
      <c r="O83" s="139"/>
      <c r="P83" s="139"/>
      <c r="Q83" s="176"/>
      <c r="R83" s="141">
        <v>22.5</v>
      </c>
      <c r="S83" s="176">
        <f t="shared" si="9"/>
        <v>2.87</v>
      </c>
      <c r="T83" s="160">
        <f t="shared" si="10"/>
        <v>2</v>
      </c>
      <c r="U83" s="160">
        <f t="shared" si="11"/>
        <v>5.74</v>
      </c>
      <c r="V83" s="282">
        <f t="shared" si="12"/>
        <v>137.00232</v>
      </c>
      <c r="W83" s="176">
        <f t="shared" ref="W83:X83" si="78">C83/100</f>
        <v>1.02</v>
      </c>
      <c r="X83" s="176">
        <f t="shared" si="78"/>
        <v>2.08</v>
      </c>
      <c r="Y83" s="176">
        <f t="shared" si="14"/>
        <v>5.74</v>
      </c>
      <c r="Z83" s="283">
        <f t="shared" si="15"/>
        <v>12.177984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customHeight="1">
      <c r="A84" s="160">
        <v>63.0</v>
      </c>
      <c r="B84" s="191" t="s">
        <v>76</v>
      </c>
      <c r="C84" s="191">
        <v>101.0</v>
      </c>
      <c r="D84" s="191">
        <v>208.0</v>
      </c>
      <c r="E84" s="191">
        <v>225.0</v>
      </c>
      <c r="F84" s="191">
        <f t="shared" si="5"/>
        <v>0</v>
      </c>
      <c r="G84" s="191">
        <f t="shared" si="6"/>
        <v>106.353</v>
      </c>
      <c r="H84" s="219">
        <f t="shared" si="7"/>
        <v>106.353</v>
      </c>
      <c r="I84" s="218">
        <v>1.0</v>
      </c>
      <c r="J84" s="194">
        <f t="shared" si="8"/>
        <v>106.353</v>
      </c>
      <c r="K84" s="139"/>
      <c r="L84" s="197"/>
      <c r="M84" s="198"/>
      <c r="N84" s="198"/>
      <c r="O84" s="139"/>
      <c r="P84" s="139"/>
      <c r="Q84" s="176"/>
      <c r="R84" s="141">
        <v>22.5</v>
      </c>
      <c r="S84" s="176">
        <f t="shared" si="9"/>
        <v>2.25</v>
      </c>
      <c r="T84" s="160">
        <f t="shared" si="10"/>
        <v>1</v>
      </c>
      <c r="U84" s="160">
        <f t="shared" si="11"/>
        <v>2.25</v>
      </c>
      <c r="V84" s="282">
        <f t="shared" si="12"/>
        <v>106.353</v>
      </c>
      <c r="W84" s="176">
        <f t="shared" ref="W84:X84" si="79">C84/100</f>
        <v>1.01</v>
      </c>
      <c r="X84" s="176">
        <f t="shared" si="79"/>
        <v>2.08</v>
      </c>
      <c r="Y84" s="176">
        <f t="shared" si="14"/>
        <v>2.25</v>
      </c>
      <c r="Z84" s="283">
        <f t="shared" si="15"/>
        <v>4.7268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customHeight="1">
      <c r="A85" s="160">
        <v>64.0</v>
      </c>
      <c r="B85" s="191" t="s">
        <v>76</v>
      </c>
      <c r="C85" s="191">
        <v>100.0</v>
      </c>
      <c r="D85" s="191">
        <v>208.0</v>
      </c>
      <c r="E85" s="191">
        <v>286.0</v>
      </c>
      <c r="F85" s="191">
        <f t="shared" si="5"/>
        <v>0</v>
      </c>
      <c r="G85" s="191">
        <f t="shared" si="6"/>
        <v>133.848</v>
      </c>
      <c r="H85" s="219">
        <f t="shared" si="7"/>
        <v>133.848</v>
      </c>
      <c r="I85" s="218">
        <v>1.0</v>
      </c>
      <c r="J85" s="194">
        <f t="shared" si="8"/>
        <v>133.848</v>
      </c>
      <c r="K85" s="139"/>
      <c r="L85" s="197"/>
      <c r="M85" s="198"/>
      <c r="N85" s="198"/>
      <c r="O85" s="139"/>
      <c r="P85" s="139"/>
      <c r="Q85" s="176"/>
      <c r="R85" s="141">
        <v>22.5</v>
      </c>
      <c r="S85" s="176">
        <f t="shared" si="9"/>
        <v>2.86</v>
      </c>
      <c r="T85" s="160">
        <f t="shared" si="10"/>
        <v>1</v>
      </c>
      <c r="U85" s="160">
        <f t="shared" si="11"/>
        <v>2.86</v>
      </c>
      <c r="V85" s="282">
        <f t="shared" si="12"/>
        <v>133.848</v>
      </c>
      <c r="W85" s="176">
        <f t="shared" ref="W85:X85" si="80">C85/100</f>
        <v>1</v>
      </c>
      <c r="X85" s="176">
        <f t="shared" si="80"/>
        <v>2.08</v>
      </c>
      <c r="Y85" s="176">
        <f t="shared" si="14"/>
        <v>2.86</v>
      </c>
      <c r="Z85" s="283">
        <f t="shared" si="15"/>
        <v>5.9488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customHeight="1">
      <c r="A86" s="160">
        <v>65.0</v>
      </c>
      <c r="B86" s="182" t="s">
        <v>64</v>
      </c>
      <c r="C86" s="183">
        <v>97.0</v>
      </c>
      <c r="D86" s="183">
        <v>163.0</v>
      </c>
      <c r="E86" s="183">
        <v>240.0</v>
      </c>
      <c r="F86" s="183">
        <f t="shared" si="5"/>
        <v>0.8</v>
      </c>
      <c r="G86" s="183">
        <f t="shared" si="6"/>
        <v>111.94188</v>
      </c>
      <c r="H86" s="184">
        <f t="shared" si="7"/>
        <v>89.553504</v>
      </c>
      <c r="I86" s="183">
        <v>1.0</v>
      </c>
      <c r="J86" s="194">
        <f t="shared" si="8"/>
        <v>89.553504</v>
      </c>
      <c r="K86" s="139"/>
      <c r="L86" s="197"/>
      <c r="M86" s="198"/>
      <c r="N86" s="198"/>
      <c r="O86" s="139"/>
      <c r="P86" s="139"/>
      <c r="Q86" s="176"/>
      <c r="R86" s="141">
        <v>29.5</v>
      </c>
      <c r="S86" s="176">
        <f t="shared" si="9"/>
        <v>2.4</v>
      </c>
      <c r="T86" s="160">
        <f t="shared" si="10"/>
        <v>1</v>
      </c>
      <c r="U86" s="160">
        <f t="shared" si="11"/>
        <v>2.4</v>
      </c>
      <c r="V86" s="282">
        <f t="shared" si="12"/>
        <v>111.94188</v>
      </c>
      <c r="W86" s="176">
        <f t="shared" ref="W86:X86" si="81">C86/100</f>
        <v>0.97</v>
      </c>
      <c r="X86" s="176">
        <f t="shared" si="81"/>
        <v>1.63</v>
      </c>
      <c r="Y86" s="176">
        <f t="shared" si="14"/>
        <v>2.4</v>
      </c>
      <c r="Z86" s="283">
        <f t="shared" si="15"/>
        <v>3.79464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customHeight="1">
      <c r="A87" s="160">
        <v>66.0</v>
      </c>
      <c r="B87" s="191" t="s">
        <v>55</v>
      </c>
      <c r="C87" s="191">
        <v>97.0</v>
      </c>
      <c r="D87" s="191">
        <v>163.0</v>
      </c>
      <c r="E87" s="191">
        <v>240.0</v>
      </c>
      <c r="F87" s="191">
        <f t="shared" si="5"/>
        <v>0</v>
      </c>
      <c r="G87" s="191">
        <f t="shared" si="6"/>
        <v>111.94188</v>
      </c>
      <c r="H87" s="219">
        <f t="shared" si="7"/>
        <v>111.94188</v>
      </c>
      <c r="I87" s="218">
        <v>1.0</v>
      </c>
      <c r="J87" s="194">
        <f t="shared" si="8"/>
        <v>111.94188</v>
      </c>
      <c r="K87" s="139"/>
      <c r="L87" s="197"/>
      <c r="M87" s="198"/>
      <c r="N87" s="198"/>
      <c r="O87" s="139"/>
      <c r="P87" s="139"/>
      <c r="Q87" s="176"/>
      <c r="R87" s="141">
        <v>29.5</v>
      </c>
      <c r="S87" s="176">
        <f t="shared" si="9"/>
        <v>2.4</v>
      </c>
      <c r="T87" s="160">
        <f t="shared" si="10"/>
        <v>1</v>
      </c>
      <c r="U87" s="160">
        <f t="shared" si="11"/>
        <v>2.4</v>
      </c>
      <c r="V87" s="282">
        <f t="shared" si="12"/>
        <v>111.94188</v>
      </c>
      <c r="W87" s="176">
        <f t="shared" ref="W87:X87" si="82">C87/100</f>
        <v>0.97</v>
      </c>
      <c r="X87" s="176">
        <f t="shared" si="82"/>
        <v>1.63</v>
      </c>
      <c r="Y87" s="176">
        <f t="shared" si="14"/>
        <v>2.4</v>
      </c>
      <c r="Z87" s="283">
        <f t="shared" si="15"/>
        <v>3.79464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customHeight="1">
      <c r="A88" s="160">
        <v>67.0</v>
      </c>
      <c r="B88" s="191" t="s">
        <v>55</v>
      </c>
      <c r="C88" s="191">
        <v>102.0</v>
      </c>
      <c r="D88" s="191">
        <v>163.0</v>
      </c>
      <c r="E88" s="191">
        <v>242.0</v>
      </c>
      <c r="F88" s="191">
        <f t="shared" si="5"/>
        <v>0</v>
      </c>
      <c r="G88" s="191">
        <f t="shared" si="6"/>
        <v>118.693014</v>
      </c>
      <c r="H88" s="219">
        <f t="shared" si="7"/>
        <v>118.693014</v>
      </c>
      <c r="I88" s="218">
        <v>1.0</v>
      </c>
      <c r="J88" s="194">
        <f t="shared" si="8"/>
        <v>118.693014</v>
      </c>
      <c r="K88" s="139"/>
      <c r="L88" s="197"/>
      <c r="M88" s="198"/>
      <c r="N88" s="198"/>
      <c r="O88" s="139"/>
      <c r="P88" s="139"/>
      <c r="Q88" s="176"/>
      <c r="R88" s="141">
        <v>29.5</v>
      </c>
      <c r="S88" s="176">
        <f t="shared" si="9"/>
        <v>2.42</v>
      </c>
      <c r="T88" s="160">
        <f t="shared" si="10"/>
        <v>1</v>
      </c>
      <c r="U88" s="160">
        <f t="shared" si="11"/>
        <v>2.42</v>
      </c>
      <c r="V88" s="282">
        <f t="shared" si="12"/>
        <v>118.693014</v>
      </c>
      <c r="W88" s="176">
        <f t="shared" ref="W88:X88" si="83">C88/100</f>
        <v>1.02</v>
      </c>
      <c r="X88" s="176">
        <f t="shared" si="83"/>
        <v>1.63</v>
      </c>
      <c r="Y88" s="176">
        <f t="shared" si="14"/>
        <v>2.42</v>
      </c>
      <c r="Z88" s="283">
        <f t="shared" si="15"/>
        <v>4.023492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60">
        <v>68.0</v>
      </c>
      <c r="B89" s="191" t="s">
        <v>55</v>
      </c>
      <c r="C89" s="191">
        <v>103.0</v>
      </c>
      <c r="D89" s="191">
        <v>163.0</v>
      </c>
      <c r="E89" s="191">
        <v>241.0</v>
      </c>
      <c r="F89" s="191">
        <f t="shared" si="5"/>
        <v>0</v>
      </c>
      <c r="G89" s="191">
        <f t="shared" si="6"/>
        <v>119.3613955</v>
      </c>
      <c r="H89" s="219">
        <f t="shared" si="7"/>
        <v>119.3613955</v>
      </c>
      <c r="I89" s="218">
        <v>1.0</v>
      </c>
      <c r="J89" s="194">
        <f t="shared" si="8"/>
        <v>119.3613955</v>
      </c>
      <c r="K89" s="139"/>
      <c r="L89" s="197"/>
      <c r="M89" s="198"/>
      <c r="N89" s="198"/>
      <c r="O89" s="139"/>
      <c r="P89" s="139"/>
      <c r="Q89" s="176"/>
      <c r="R89" s="141">
        <v>29.5</v>
      </c>
      <c r="S89" s="176">
        <f t="shared" si="9"/>
        <v>2.41</v>
      </c>
      <c r="T89" s="160">
        <f t="shared" si="10"/>
        <v>1</v>
      </c>
      <c r="U89" s="160">
        <f t="shared" si="11"/>
        <v>2.41</v>
      </c>
      <c r="V89" s="282">
        <f t="shared" si="12"/>
        <v>119.3613955</v>
      </c>
      <c r="W89" s="176">
        <f t="shared" ref="W89:X89" si="84">C89/100</f>
        <v>1.03</v>
      </c>
      <c r="X89" s="176">
        <f t="shared" si="84"/>
        <v>1.63</v>
      </c>
      <c r="Y89" s="176">
        <f t="shared" si="14"/>
        <v>2.41</v>
      </c>
      <c r="Z89" s="283">
        <f t="shared" si="15"/>
        <v>4.046149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customHeight="1">
      <c r="A90" s="160">
        <v>69.0</v>
      </c>
      <c r="B90" s="191" t="s">
        <v>55</v>
      </c>
      <c r="C90" s="191">
        <v>100.0</v>
      </c>
      <c r="D90" s="191">
        <v>163.0</v>
      </c>
      <c r="E90" s="191">
        <v>240.0</v>
      </c>
      <c r="F90" s="191">
        <f t="shared" si="5"/>
        <v>0</v>
      </c>
      <c r="G90" s="191">
        <f t="shared" si="6"/>
        <v>115.404</v>
      </c>
      <c r="H90" s="219">
        <f t="shared" si="7"/>
        <v>115.404</v>
      </c>
      <c r="I90" s="218">
        <v>1.0</v>
      </c>
      <c r="J90" s="194">
        <f t="shared" si="8"/>
        <v>115.404</v>
      </c>
      <c r="K90" s="139"/>
      <c r="L90" s="197"/>
      <c r="M90" s="198"/>
      <c r="N90" s="198"/>
      <c r="O90" s="139"/>
      <c r="P90" s="139"/>
      <c r="Q90" s="176"/>
      <c r="R90" s="141">
        <v>29.5</v>
      </c>
      <c r="S90" s="176">
        <f t="shared" si="9"/>
        <v>2.4</v>
      </c>
      <c r="T90" s="160">
        <f t="shared" si="10"/>
        <v>1</v>
      </c>
      <c r="U90" s="160">
        <f t="shared" si="11"/>
        <v>2.4</v>
      </c>
      <c r="V90" s="282">
        <f t="shared" si="12"/>
        <v>115.404</v>
      </c>
      <c r="W90" s="176">
        <f t="shared" ref="W90:X90" si="85">C90/100</f>
        <v>1</v>
      </c>
      <c r="X90" s="176">
        <f t="shared" si="85"/>
        <v>1.63</v>
      </c>
      <c r="Y90" s="176">
        <f t="shared" si="14"/>
        <v>2.4</v>
      </c>
      <c r="Z90" s="283">
        <f t="shared" si="15"/>
        <v>3.912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60">
        <v>70.0</v>
      </c>
      <c r="B91" s="191" t="s">
        <v>55</v>
      </c>
      <c r="C91" s="191">
        <v>99.0</v>
      </c>
      <c r="D91" s="191">
        <v>163.0</v>
      </c>
      <c r="E91" s="191">
        <v>241.0</v>
      </c>
      <c r="F91" s="191">
        <f t="shared" si="5"/>
        <v>0</v>
      </c>
      <c r="G91" s="191">
        <f t="shared" si="6"/>
        <v>114.7260015</v>
      </c>
      <c r="H91" s="219">
        <f t="shared" si="7"/>
        <v>114.7260015</v>
      </c>
      <c r="I91" s="218">
        <v>4.0</v>
      </c>
      <c r="J91" s="194">
        <f t="shared" si="8"/>
        <v>458.904006</v>
      </c>
      <c r="K91" s="139"/>
      <c r="L91" s="197"/>
      <c r="M91" s="198"/>
      <c r="N91" s="198"/>
      <c r="O91" s="139"/>
      <c r="P91" s="139"/>
      <c r="Q91" s="176"/>
      <c r="R91" s="141">
        <v>29.5</v>
      </c>
      <c r="S91" s="176">
        <f t="shared" si="9"/>
        <v>2.41</v>
      </c>
      <c r="T91" s="160">
        <f t="shared" si="10"/>
        <v>4</v>
      </c>
      <c r="U91" s="160">
        <f t="shared" si="11"/>
        <v>9.64</v>
      </c>
      <c r="V91" s="282">
        <f t="shared" si="12"/>
        <v>114.7260015</v>
      </c>
      <c r="W91" s="176">
        <f t="shared" ref="W91:X91" si="86">C91/100</f>
        <v>0.99</v>
      </c>
      <c r="X91" s="176">
        <f t="shared" si="86"/>
        <v>1.63</v>
      </c>
      <c r="Y91" s="176">
        <f t="shared" si="14"/>
        <v>9.64</v>
      </c>
      <c r="Z91" s="283">
        <f t="shared" si="15"/>
        <v>15.556068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60">
        <v>71.0</v>
      </c>
      <c r="B92" s="191" t="s">
        <v>55</v>
      </c>
      <c r="C92" s="191">
        <v>99.0</v>
      </c>
      <c r="D92" s="191">
        <v>163.0</v>
      </c>
      <c r="E92" s="191">
        <v>240.0</v>
      </c>
      <c r="F92" s="191">
        <f t="shared" si="5"/>
        <v>0</v>
      </c>
      <c r="G92" s="191">
        <f t="shared" si="6"/>
        <v>114.24996</v>
      </c>
      <c r="H92" s="219">
        <f t="shared" si="7"/>
        <v>114.24996</v>
      </c>
      <c r="I92" s="218">
        <v>1.0</v>
      </c>
      <c r="J92" s="194">
        <f t="shared" si="8"/>
        <v>114.24996</v>
      </c>
      <c r="K92" s="139"/>
      <c r="L92" s="197"/>
      <c r="M92" s="198"/>
      <c r="N92" s="198"/>
      <c r="O92" s="139"/>
      <c r="P92" s="139"/>
      <c r="Q92" s="176" t="s">
        <v>187</v>
      </c>
      <c r="R92" s="141">
        <v>29.5</v>
      </c>
      <c r="S92" s="176">
        <f t="shared" si="9"/>
        <v>2.4</v>
      </c>
      <c r="T92" s="160">
        <f t="shared" si="10"/>
        <v>1</v>
      </c>
      <c r="U92" s="160">
        <f t="shared" si="11"/>
        <v>2.4</v>
      </c>
      <c r="V92" s="282">
        <f t="shared" si="12"/>
        <v>114.24996</v>
      </c>
      <c r="W92" s="176">
        <f t="shared" ref="W92:X92" si="87">C92/100</f>
        <v>0.99</v>
      </c>
      <c r="X92" s="176">
        <f t="shared" si="87"/>
        <v>1.63</v>
      </c>
      <c r="Y92" s="176">
        <f t="shared" si="14"/>
        <v>2.4</v>
      </c>
      <c r="Z92" s="283">
        <f t="shared" si="15"/>
        <v>3.87288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60">
        <v>72.0</v>
      </c>
      <c r="B93" s="191" t="s">
        <v>55</v>
      </c>
      <c r="C93" s="191">
        <v>99.0</v>
      </c>
      <c r="D93" s="191">
        <v>163.0</v>
      </c>
      <c r="E93" s="191">
        <v>240.0</v>
      </c>
      <c r="F93" s="191">
        <f t="shared" si="5"/>
        <v>0</v>
      </c>
      <c r="G93" s="191">
        <f t="shared" si="6"/>
        <v>114.24996</v>
      </c>
      <c r="H93" s="219">
        <f t="shared" si="7"/>
        <v>114.24996</v>
      </c>
      <c r="I93" s="218">
        <v>1.0</v>
      </c>
      <c r="J93" s="194">
        <f t="shared" si="8"/>
        <v>114.24996</v>
      </c>
      <c r="K93" s="139"/>
      <c r="L93" s="197"/>
      <c r="M93" s="198"/>
      <c r="N93" s="198"/>
      <c r="O93" s="139"/>
      <c r="P93" s="139"/>
      <c r="Q93" s="176" t="s">
        <v>188</v>
      </c>
      <c r="R93" s="141">
        <v>29.5</v>
      </c>
      <c r="S93" s="187">
        <f t="shared" si="9"/>
        <v>2.4</v>
      </c>
      <c r="T93" s="181">
        <f t="shared" si="10"/>
        <v>1</v>
      </c>
      <c r="U93" s="181">
        <f t="shared" si="11"/>
        <v>2.4</v>
      </c>
      <c r="V93" s="278">
        <f t="shared" si="12"/>
        <v>114.24996</v>
      </c>
      <c r="W93" s="187">
        <f t="shared" ref="W93:X93" si="88">C93/100</f>
        <v>0.99</v>
      </c>
      <c r="X93" s="187">
        <f t="shared" si="88"/>
        <v>1.63</v>
      </c>
      <c r="Y93" s="187">
        <f t="shared" si="14"/>
        <v>2.4</v>
      </c>
      <c r="Z93" s="189">
        <f t="shared" si="15"/>
        <v>3.87288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customHeight="1">
      <c r="A94" s="160">
        <v>73.0</v>
      </c>
      <c r="B94" s="191" t="s">
        <v>55</v>
      </c>
      <c r="C94" s="191">
        <v>99.0</v>
      </c>
      <c r="D94" s="191">
        <v>163.0</v>
      </c>
      <c r="E94" s="191">
        <v>240.0</v>
      </c>
      <c r="F94" s="191">
        <f t="shared" si="5"/>
        <v>0</v>
      </c>
      <c r="G94" s="191">
        <f t="shared" si="6"/>
        <v>114.24996</v>
      </c>
      <c r="H94" s="219">
        <f t="shared" si="7"/>
        <v>114.24996</v>
      </c>
      <c r="I94" s="218">
        <v>14.0</v>
      </c>
      <c r="J94" s="194">
        <f t="shared" si="8"/>
        <v>1599.49944</v>
      </c>
      <c r="K94" s="139"/>
      <c r="L94" s="197"/>
      <c r="M94" s="198"/>
      <c r="N94" s="198"/>
      <c r="O94" s="139"/>
      <c r="P94" s="139"/>
      <c r="Q94" s="176"/>
      <c r="R94" s="141">
        <v>29.5</v>
      </c>
      <c r="S94" s="187">
        <f t="shared" si="9"/>
        <v>2.4</v>
      </c>
      <c r="T94" s="181">
        <f t="shared" si="10"/>
        <v>14</v>
      </c>
      <c r="U94" s="181">
        <f t="shared" si="11"/>
        <v>33.6</v>
      </c>
      <c r="V94" s="278">
        <f t="shared" si="12"/>
        <v>114.24996</v>
      </c>
      <c r="W94" s="187">
        <f t="shared" ref="W94:X94" si="89">C94/100</f>
        <v>0.99</v>
      </c>
      <c r="X94" s="187">
        <f t="shared" si="89"/>
        <v>1.63</v>
      </c>
      <c r="Y94" s="187">
        <f t="shared" si="14"/>
        <v>33.6</v>
      </c>
      <c r="Z94" s="189">
        <f t="shared" si="15"/>
        <v>54.22032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customHeight="1">
      <c r="A95" s="160">
        <v>74.0</v>
      </c>
      <c r="B95" s="191" t="s">
        <v>55</v>
      </c>
      <c r="C95" s="191">
        <v>99.0</v>
      </c>
      <c r="D95" s="191">
        <v>163.0</v>
      </c>
      <c r="E95" s="191">
        <v>242.0</v>
      </c>
      <c r="F95" s="191">
        <f t="shared" si="5"/>
        <v>0</v>
      </c>
      <c r="G95" s="191">
        <f t="shared" si="6"/>
        <v>115.202043</v>
      </c>
      <c r="H95" s="219">
        <f t="shared" si="7"/>
        <v>115.202043</v>
      </c>
      <c r="I95" s="218">
        <v>1.0</v>
      </c>
      <c r="J95" s="194">
        <f t="shared" si="8"/>
        <v>115.202043</v>
      </c>
      <c r="K95" s="139"/>
      <c r="L95" s="197"/>
      <c r="M95" s="198"/>
      <c r="N95" s="198"/>
      <c r="O95" s="139"/>
      <c r="P95" s="139"/>
      <c r="Q95" s="176"/>
      <c r="R95" s="141">
        <v>29.5</v>
      </c>
      <c r="S95" s="187">
        <f t="shared" si="9"/>
        <v>2.42</v>
      </c>
      <c r="T95" s="181">
        <f t="shared" si="10"/>
        <v>1</v>
      </c>
      <c r="U95" s="181">
        <f t="shared" si="11"/>
        <v>2.42</v>
      </c>
      <c r="V95" s="278">
        <f t="shared" si="12"/>
        <v>115.202043</v>
      </c>
      <c r="W95" s="187">
        <f t="shared" ref="W95:X95" si="90">C95/100</f>
        <v>0.99</v>
      </c>
      <c r="X95" s="187">
        <f t="shared" si="90"/>
        <v>1.63</v>
      </c>
      <c r="Y95" s="187">
        <f t="shared" si="14"/>
        <v>2.42</v>
      </c>
      <c r="Z95" s="189">
        <f t="shared" si="15"/>
        <v>3.905154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customHeight="1">
      <c r="A96" s="160">
        <v>75.0</v>
      </c>
      <c r="B96" s="191" t="s">
        <v>55</v>
      </c>
      <c r="C96" s="191">
        <v>74.0</v>
      </c>
      <c r="D96" s="191">
        <v>163.0</v>
      </c>
      <c r="E96" s="191">
        <v>220.0</v>
      </c>
      <c r="F96" s="191">
        <f t="shared" si="5"/>
        <v>0</v>
      </c>
      <c r="G96" s="191">
        <f t="shared" si="6"/>
        <v>78.28238</v>
      </c>
      <c r="H96" s="219">
        <f t="shared" si="7"/>
        <v>78.28238</v>
      </c>
      <c r="I96" s="218">
        <v>1.0</v>
      </c>
      <c r="J96" s="194">
        <f t="shared" si="8"/>
        <v>78.28238</v>
      </c>
      <c r="K96" s="139"/>
      <c r="L96" s="197"/>
      <c r="M96" s="198"/>
      <c r="N96" s="198"/>
      <c r="O96" s="139"/>
      <c r="P96" s="139"/>
      <c r="Q96" s="176"/>
      <c r="R96" s="141">
        <v>29.5</v>
      </c>
      <c r="S96" s="187">
        <f t="shared" si="9"/>
        <v>2.2</v>
      </c>
      <c r="T96" s="181">
        <f t="shared" si="10"/>
        <v>1</v>
      </c>
      <c r="U96" s="181">
        <f t="shared" si="11"/>
        <v>2.2</v>
      </c>
      <c r="V96" s="278">
        <f t="shared" si="12"/>
        <v>78.28238</v>
      </c>
      <c r="W96" s="187">
        <f t="shared" ref="W96:X96" si="91">C96/100</f>
        <v>0.74</v>
      </c>
      <c r="X96" s="187">
        <f t="shared" si="91"/>
        <v>1.63</v>
      </c>
      <c r="Y96" s="187">
        <f t="shared" si="14"/>
        <v>2.2</v>
      </c>
      <c r="Z96" s="189">
        <f t="shared" si="15"/>
        <v>2.65364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customHeight="1">
      <c r="A97" s="160">
        <v>76.0</v>
      </c>
      <c r="B97" s="191" t="s">
        <v>55</v>
      </c>
      <c r="C97" s="191">
        <v>100.0</v>
      </c>
      <c r="D97" s="191">
        <v>163.0</v>
      </c>
      <c r="E97" s="191">
        <v>240.0</v>
      </c>
      <c r="F97" s="191">
        <f t="shared" si="5"/>
        <v>0</v>
      </c>
      <c r="G97" s="191">
        <f t="shared" si="6"/>
        <v>115.404</v>
      </c>
      <c r="H97" s="219">
        <f t="shared" si="7"/>
        <v>115.404</v>
      </c>
      <c r="I97" s="218">
        <v>1.0</v>
      </c>
      <c r="J97" s="194">
        <f t="shared" si="8"/>
        <v>115.404</v>
      </c>
      <c r="K97" s="139"/>
      <c r="L97" s="197"/>
      <c r="M97" s="198"/>
      <c r="N97" s="198"/>
      <c r="O97" s="139"/>
      <c r="P97" s="139"/>
      <c r="Q97" s="176" t="s">
        <v>182</v>
      </c>
      <c r="R97" s="141">
        <v>29.5</v>
      </c>
      <c r="S97" s="187">
        <f t="shared" si="9"/>
        <v>2.4</v>
      </c>
      <c r="T97" s="181">
        <f t="shared" si="10"/>
        <v>1</v>
      </c>
      <c r="U97" s="181">
        <f t="shared" si="11"/>
        <v>2.4</v>
      </c>
      <c r="V97" s="278">
        <f t="shared" si="12"/>
        <v>115.404</v>
      </c>
      <c r="W97" s="187">
        <f t="shared" ref="W97:X97" si="92">C97/100</f>
        <v>1</v>
      </c>
      <c r="X97" s="187">
        <f t="shared" si="92"/>
        <v>1.63</v>
      </c>
      <c r="Y97" s="187">
        <f t="shared" si="14"/>
        <v>2.4</v>
      </c>
      <c r="Z97" s="189">
        <f t="shared" si="15"/>
        <v>3.912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customHeight="1">
      <c r="A98" s="160">
        <v>77.0</v>
      </c>
      <c r="B98" s="191" t="s">
        <v>55</v>
      </c>
      <c r="C98" s="191">
        <v>100.0</v>
      </c>
      <c r="D98" s="191">
        <v>163.0</v>
      </c>
      <c r="E98" s="191">
        <v>240.0</v>
      </c>
      <c r="F98" s="191">
        <f t="shared" si="5"/>
        <v>0</v>
      </c>
      <c r="G98" s="191">
        <f t="shared" si="6"/>
        <v>115.404</v>
      </c>
      <c r="H98" s="219">
        <f t="shared" si="7"/>
        <v>115.404</v>
      </c>
      <c r="I98" s="218">
        <v>1.0</v>
      </c>
      <c r="J98" s="194">
        <f t="shared" si="8"/>
        <v>115.404</v>
      </c>
      <c r="K98" s="139"/>
      <c r="L98" s="197"/>
      <c r="M98" s="198"/>
      <c r="N98" s="198"/>
      <c r="O98" s="139"/>
      <c r="P98" s="139"/>
      <c r="Q98" s="176" t="s">
        <v>188</v>
      </c>
      <c r="R98" s="141">
        <v>29.5</v>
      </c>
      <c r="S98" s="187">
        <f t="shared" si="9"/>
        <v>2.4</v>
      </c>
      <c r="T98" s="181">
        <f t="shared" si="10"/>
        <v>1</v>
      </c>
      <c r="U98" s="181">
        <f t="shared" si="11"/>
        <v>2.4</v>
      </c>
      <c r="V98" s="278">
        <f t="shared" si="12"/>
        <v>115.404</v>
      </c>
      <c r="W98" s="187">
        <f t="shared" ref="W98:X98" si="93">C98/100</f>
        <v>1</v>
      </c>
      <c r="X98" s="187">
        <f t="shared" si="93"/>
        <v>1.63</v>
      </c>
      <c r="Y98" s="187">
        <f t="shared" si="14"/>
        <v>2.4</v>
      </c>
      <c r="Z98" s="189">
        <f t="shared" si="15"/>
        <v>3.912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customHeight="1">
      <c r="A99" s="160">
        <v>78.0</v>
      </c>
      <c r="B99" s="191" t="s">
        <v>55</v>
      </c>
      <c r="C99" s="191">
        <v>100.0</v>
      </c>
      <c r="D99" s="191">
        <v>163.0</v>
      </c>
      <c r="E99" s="191">
        <v>240.0</v>
      </c>
      <c r="F99" s="191">
        <f t="shared" si="5"/>
        <v>0</v>
      </c>
      <c r="G99" s="191">
        <f t="shared" si="6"/>
        <v>115.404</v>
      </c>
      <c r="H99" s="219">
        <f t="shared" si="7"/>
        <v>115.404</v>
      </c>
      <c r="I99" s="218">
        <v>3.0</v>
      </c>
      <c r="J99" s="194">
        <f t="shared" si="8"/>
        <v>346.212</v>
      </c>
      <c r="K99" s="139"/>
      <c r="L99" s="197"/>
      <c r="M99" s="198"/>
      <c r="N99" s="198"/>
      <c r="O99" s="139"/>
      <c r="P99" s="139"/>
      <c r="Q99" s="176"/>
      <c r="R99" s="141">
        <v>29.5</v>
      </c>
      <c r="S99" s="187">
        <f t="shared" si="9"/>
        <v>2.4</v>
      </c>
      <c r="T99" s="181">
        <f t="shared" si="10"/>
        <v>3</v>
      </c>
      <c r="U99" s="181">
        <f t="shared" si="11"/>
        <v>7.2</v>
      </c>
      <c r="V99" s="278">
        <f t="shared" si="12"/>
        <v>115.404</v>
      </c>
      <c r="W99" s="187">
        <f t="shared" ref="W99:X99" si="94">C99/100</f>
        <v>1</v>
      </c>
      <c r="X99" s="187">
        <f t="shared" si="94"/>
        <v>1.63</v>
      </c>
      <c r="Y99" s="187">
        <f t="shared" si="14"/>
        <v>7.2</v>
      </c>
      <c r="Z99" s="189">
        <f t="shared" si="15"/>
        <v>11.736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customHeight="1">
      <c r="A100" s="160">
        <v>79.0</v>
      </c>
      <c r="B100" s="191" t="s">
        <v>55</v>
      </c>
      <c r="C100" s="191">
        <v>102.0</v>
      </c>
      <c r="D100" s="191">
        <v>163.0</v>
      </c>
      <c r="E100" s="191">
        <v>240.0</v>
      </c>
      <c r="F100" s="191">
        <f t="shared" si="5"/>
        <v>0</v>
      </c>
      <c r="G100" s="191">
        <f t="shared" si="6"/>
        <v>117.71208</v>
      </c>
      <c r="H100" s="219">
        <f t="shared" si="7"/>
        <v>117.71208</v>
      </c>
      <c r="I100" s="218">
        <v>3.0</v>
      </c>
      <c r="J100" s="194">
        <f t="shared" si="8"/>
        <v>353.13624</v>
      </c>
      <c r="K100" s="139"/>
      <c r="L100" s="197"/>
      <c r="M100" s="198"/>
      <c r="N100" s="198"/>
      <c r="O100" s="139"/>
      <c r="P100" s="139"/>
      <c r="Q100" s="176"/>
      <c r="R100" s="141">
        <v>29.5</v>
      </c>
      <c r="S100" s="187">
        <f t="shared" si="9"/>
        <v>2.4</v>
      </c>
      <c r="T100" s="181">
        <f t="shared" si="10"/>
        <v>3</v>
      </c>
      <c r="U100" s="181">
        <f t="shared" si="11"/>
        <v>7.2</v>
      </c>
      <c r="V100" s="278">
        <f t="shared" si="12"/>
        <v>117.71208</v>
      </c>
      <c r="W100" s="187">
        <f t="shared" ref="W100:X100" si="95">C100/100</f>
        <v>1.02</v>
      </c>
      <c r="X100" s="187">
        <f t="shared" si="95"/>
        <v>1.63</v>
      </c>
      <c r="Y100" s="187">
        <f t="shared" si="14"/>
        <v>7.2</v>
      </c>
      <c r="Z100" s="189">
        <f t="shared" si="15"/>
        <v>11.97072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customHeight="1">
      <c r="A101" s="160"/>
      <c r="B101" s="176"/>
      <c r="C101" s="176"/>
      <c r="D101" s="176"/>
      <c r="E101" s="176"/>
      <c r="F101" s="176"/>
      <c r="G101" s="176"/>
      <c r="H101" s="179"/>
      <c r="I101" s="160"/>
      <c r="J101" s="203">
        <f>+Q138</f>
        <v>148.8</v>
      </c>
      <c r="K101" s="139"/>
      <c r="L101" s="139"/>
      <c r="M101" s="139"/>
      <c r="N101" s="139"/>
      <c r="O101" s="139"/>
      <c r="P101" s="139"/>
      <c r="Q101" s="139"/>
      <c r="R101" s="204"/>
      <c r="S101" s="187">
        <f t="shared" si="9"/>
        <v>0</v>
      </c>
      <c r="T101" s="181" t="str">
        <f t="shared" si="10"/>
        <v/>
      </c>
      <c r="U101" s="181">
        <f t="shared" si="11"/>
        <v>0</v>
      </c>
      <c r="V101" s="186"/>
      <c r="W101" s="187">
        <f t="shared" ref="W101:X101" si="96">C101/100</f>
        <v>0</v>
      </c>
      <c r="X101" s="187">
        <f t="shared" si="96"/>
        <v>0</v>
      </c>
      <c r="Y101" s="187">
        <f t="shared" si="14"/>
        <v>0</v>
      </c>
      <c r="Z101" s="18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customHeight="1">
      <c r="A102" s="160"/>
      <c r="B102" s="205"/>
      <c r="C102" s="205"/>
      <c r="D102" s="205"/>
      <c r="E102" s="205"/>
      <c r="F102" s="205"/>
      <c r="G102" s="205"/>
      <c r="H102" s="206"/>
      <c r="I102" s="207">
        <f>SUM(I22:I100)</f>
        <v>189</v>
      </c>
      <c r="J102" s="208">
        <f>SUM(J22:J101)</f>
        <v>28252.88352</v>
      </c>
      <c r="K102" s="209"/>
      <c r="L102" s="209"/>
      <c r="M102" s="209"/>
      <c r="N102" s="209"/>
      <c r="O102" s="209"/>
      <c r="P102" s="209"/>
      <c r="Q102" s="209"/>
      <c r="R102" s="141"/>
      <c r="S102" s="209">
        <f>SUMIFS($T$22:$T$100,$S$22:$S$100,"&gt;=3")</f>
        <v>3</v>
      </c>
      <c r="T102" s="209">
        <f t="shared" ref="T102:U102" si="97">SUM(T22:T100)</f>
        <v>189</v>
      </c>
      <c r="U102" s="209">
        <f t="shared" si="97"/>
        <v>529.24</v>
      </c>
      <c r="V102" s="209"/>
      <c r="W102" s="209"/>
      <c r="X102" s="209"/>
      <c r="Y102" s="209"/>
      <c r="Z102" s="210">
        <f>SUM(Z22:Z101)</f>
        <v>1020.080054</v>
      </c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AS102" s="209"/>
      <c r="AT102" s="209"/>
    </row>
    <row r="103" ht="29.2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186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9.2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204"/>
      <c r="S104" s="139"/>
      <c r="T104" s="139" t="s">
        <v>48</v>
      </c>
      <c r="U104" s="139" t="s">
        <v>72</v>
      </c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9.2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39"/>
      <c r="R105" s="141"/>
      <c r="S105" s="139" t="s">
        <v>31</v>
      </c>
      <c r="T105" s="211">
        <f>SUMIFS($J$22:$J$100,$S$22:$S$100,"&gt;=3")</f>
        <v>5280.795</v>
      </c>
      <c r="U105" s="212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9.25" customHeight="1">
      <c r="A106" s="139" t="s">
        <v>32</v>
      </c>
      <c r="B106" s="139"/>
      <c r="C106" s="139"/>
      <c r="D106" s="139" t="s">
        <v>33</v>
      </c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39"/>
      <c r="R106" s="141"/>
      <c r="S106" s="139" t="s">
        <v>34</v>
      </c>
      <c r="T106" s="213">
        <f>J102-T105</f>
        <v>22972.08852</v>
      </c>
      <c r="U106" s="212">
        <f>+SUMIFS($U$22:$U$100,$S$22:$S$100,"&gt;=3")</f>
        <v>90</v>
      </c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9.25" customHeight="1">
      <c r="A107" s="139"/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39"/>
      <c r="R107" s="204"/>
      <c r="S107" s="139"/>
      <c r="T107" s="214">
        <f>+I102</f>
        <v>189</v>
      </c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39.0" customHeight="1">
      <c r="A108" s="176"/>
      <c r="B108" s="160" t="s">
        <v>12</v>
      </c>
      <c r="C108" s="177" t="s">
        <v>73</v>
      </c>
      <c r="D108" s="52"/>
      <c r="E108" s="53"/>
      <c r="F108" s="178"/>
      <c r="G108" s="178"/>
      <c r="H108" s="179" t="s">
        <v>14</v>
      </c>
      <c r="I108" s="160" t="s">
        <v>15</v>
      </c>
      <c r="J108" s="160" t="s">
        <v>16</v>
      </c>
      <c r="K108" s="139"/>
      <c r="L108" s="139"/>
      <c r="M108" s="139"/>
      <c r="N108" s="139"/>
      <c r="O108" s="139"/>
      <c r="P108" s="139"/>
      <c r="Q108" s="139"/>
      <c r="R108" s="141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customHeight="1">
      <c r="A109" s="154">
        <v>1.0</v>
      </c>
      <c r="B109" s="215" t="s">
        <v>64</v>
      </c>
      <c r="C109" s="215">
        <v>91.0</v>
      </c>
      <c r="D109" s="215">
        <v>203.0</v>
      </c>
      <c r="E109" s="215">
        <v>232.0</v>
      </c>
      <c r="F109" s="215">
        <f t="shared" ref="F109:F115" si="98">1-VALUE(IF(RIGHT(B109, 1)="%", RIGHT(B109, 3), 0))</f>
        <v>0.2</v>
      </c>
      <c r="G109" s="215">
        <f t="shared" ref="G109:G115" si="99">+Q109*C109/100*D109/100*E109/100</f>
        <v>0</v>
      </c>
      <c r="H109" s="216">
        <f t="shared" ref="H109:H115" si="100">IF(F109=0, G109, F109*G109)</f>
        <v>0</v>
      </c>
      <c r="I109" s="215">
        <v>1.0</v>
      </c>
      <c r="J109" s="217"/>
      <c r="K109" s="139"/>
      <c r="L109" s="176">
        <f t="shared" ref="L109:L110" si="101">D109*25.4/1000</f>
        <v>5.1562</v>
      </c>
      <c r="M109" s="160">
        <f t="shared" ref="M109:M110" si="102">+I109</f>
        <v>1</v>
      </c>
      <c r="N109" s="160">
        <f t="shared" ref="N109:N110" si="103">M109*L109</f>
        <v>5.1562</v>
      </c>
      <c r="O109" s="139"/>
      <c r="P109" s="139"/>
      <c r="Q109" s="139"/>
      <c r="R109" s="141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customHeight="1">
      <c r="A110" s="154">
        <v>2.0</v>
      </c>
      <c r="B110" s="218" t="s">
        <v>65</v>
      </c>
      <c r="C110" s="218">
        <v>102.0</v>
      </c>
      <c r="D110" s="218">
        <v>195.0</v>
      </c>
      <c r="E110" s="218">
        <v>251.0</v>
      </c>
      <c r="F110" s="218">
        <f t="shared" si="98"/>
        <v>0.2</v>
      </c>
      <c r="G110" s="218">
        <f t="shared" si="99"/>
        <v>0</v>
      </c>
      <c r="H110" s="219">
        <f t="shared" si="100"/>
        <v>0</v>
      </c>
      <c r="I110" s="218">
        <v>1.0</v>
      </c>
      <c r="J110" s="217">
        <f t="shared" ref="J110:J115" si="104">+I110*H110</f>
        <v>0</v>
      </c>
      <c r="K110" s="139"/>
      <c r="L110" s="176">
        <f t="shared" si="101"/>
        <v>4.953</v>
      </c>
      <c r="M110" s="160">
        <f t="shared" si="102"/>
        <v>1</v>
      </c>
      <c r="N110" s="160">
        <f t="shared" si="103"/>
        <v>4.953</v>
      </c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customHeight="1">
      <c r="A111" s="154"/>
      <c r="B111" s="218" t="s">
        <v>71</v>
      </c>
      <c r="C111" s="218">
        <v>84.0</v>
      </c>
      <c r="D111" s="218">
        <v>210.0</v>
      </c>
      <c r="E111" s="218">
        <v>205.0</v>
      </c>
      <c r="F111" s="218">
        <f t="shared" si="98"/>
        <v>0.2</v>
      </c>
      <c r="G111" s="218">
        <f t="shared" si="99"/>
        <v>0</v>
      </c>
      <c r="H111" s="219">
        <f t="shared" si="100"/>
        <v>0</v>
      </c>
      <c r="I111" s="218">
        <v>1.0</v>
      </c>
      <c r="J111" s="217">
        <f t="shared" si="104"/>
        <v>0</v>
      </c>
      <c r="K111" s="139"/>
      <c r="L111" s="176"/>
      <c r="M111" s="160"/>
      <c r="N111" s="160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customHeight="1">
      <c r="A112" s="154">
        <v>3.0</v>
      </c>
      <c r="B112" s="218" t="s">
        <v>181</v>
      </c>
      <c r="C112" s="218">
        <v>89.0</v>
      </c>
      <c r="D112" s="218">
        <v>205.0</v>
      </c>
      <c r="E112" s="218">
        <v>200.0</v>
      </c>
      <c r="F112" s="218">
        <f t="shared" si="98"/>
        <v>0.2</v>
      </c>
      <c r="G112" s="218">
        <f t="shared" si="99"/>
        <v>0</v>
      </c>
      <c r="H112" s="219">
        <f t="shared" si="100"/>
        <v>0</v>
      </c>
      <c r="I112" s="218">
        <v>1.0</v>
      </c>
      <c r="J112" s="194">
        <f t="shared" si="104"/>
        <v>0</v>
      </c>
      <c r="K112" s="139"/>
      <c r="L112" s="176">
        <f t="shared" ref="L112:L115" si="105">D112*25.4/1000</f>
        <v>5.207</v>
      </c>
      <c r="M112" s="160">
        <f t="shared" ref="M112:M114" si="106">+I112</f>
        <v>1</v>
      </c>
      <c r="N112" s="160">
        <f t="shared" ref="N112:N114" si="107">M112*L112</f>
        <v>5.207</v>
      </c>
      <c r="O112" s="139"/>
      <c r="P112" s="139"/>
      <c r="Q112" s="139"/>
      <c r="R112" s="139"/>
      <c r="S112" s="220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customHeight="1">
      <c r="A113" s="154">
        <v>4.0</v>
      </c>
      <c r="B113" s="218" t="s">
        <v>87</v>
      </c>
      <c r="C113" s="218">
        <v>70.0</v>
      </c>
      <c r="D113" s="218">
        <v>206.0</v>
      </c>
      <c r="E113" s="218">
        <v>207.0</v>
      </c>
      <c r="F113" s="218">
        <f t="shared" si="98"/>
        <v>0.2</v>
      </c>
      <c r="G113" s="218">
        <f t="shared" si="99"/>
        <v>0</v>
      </c>
      <c r="H113" s="219">
        <f t="shared" si="100"/>
        <v>0</v>
      </c>
      <c r="I113" s="218">
        <v>1.0</v>
      </c>
      <c r="J113" s="194">
        <f t="shared" si="104"/>
        <v>0</v>
      </c>
      <c r="K113" s="139"/>
      <c r="L113" s="176">
        <f t="shared" si="105"/>
        <v>5.2324</v>
      </c>
      <c r="M113" s="160">
        <f t="shared" si="106"/>
        <v>1</v>
      </c>
      <c r="N113" s="160">
        <f t="shared" si="107"/>
        <v>5.2324</v>
      </c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customHeight="1">
      <c r="A114" s="154">
        <v>5.0</v>
      </c>
      <c r="B114" s="218" t="s">
        <v>79</v>
      </c>
      <c r="C114" s="218">
        <v>85.0</v>
      </c>
      <c r="D114" s="218">
        <v>208.0</v>
      </c>
      <c r="E114" s="218">
        <v>287.0</v>
      </c>
      <c r="F114" s="218">
        <f t="shared" si="98"/>
        <v>0.2</v>
      </c>
      <c r="G114" s="218">
        <f t="shared" si="99"/>
        <v>0</v>
      </c>
      <c r="H114" s="219">
        <f t="shared" si="100"/>
        <v>0</v>
      </c>
      <c r="I114" s="218">
        <v>1.0</v>
      </c>
      <c r="J114" s="194">
        <f t="shared" si="104"/>
        <v>0</v>
      </c>
      <c r="K114" s="139"/>
      <c r="L114" s="176">
        <f t="shared" si="105"/>
        <v>5.2832</v>
      </c>
      <c r="M114" s="160">
        <f t="shared" si="106"/>
        <v>1</v>
      </c>
      <c r="N114" s="160">
        <f t="shared" si="107"/>
        <v>5.2832</v>
      </c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customHeight="1">
      <c r="A115" s="154">
        <v>6.0</v>
      </c>
      <c r="B115" s="218" t="s">
        <v>64</v>
      </c>
      <c r="C115" s="218">
        <v>97.0</v>
      </c>
      <c r="D115" s="218">
        <v>163.0</v>
      </c>
      <c r="E115" s="218">
        <v>240.0</v>
      </c>
      <c r="F115" s="218">
        <f t="shared" si="98"/>
        <v>0.2</v>
      </c>
      <c r="G115" s="218">
        <f t="shared" si="99"/>
        <v>0</v>
      </c>
      <c r="H115" s="219">
        <f t="shared" si="100"/>
        <v>0</v>
      </c>
      <c r="I115" s="218">
        <v>1.0</v>
      </c>
      <c r="J115" s="194">
        <f t="shared" si="104"/>
        <v>0</v>
      </c>
      <c r="K115" s="139"/>
      <c r="L115" s="139">
        <f t="shared" si="105"/>
        <v>4.1402</v>
      </c>
      <c r="M115" s="221"/>
      <c r="N115" s="221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4.75" customHeight="1">
      <c r="A116" s="160"/>
      <c r="B116" s="197"/>
      <c r="C116" s="197"/>
      <c r="D116" s="197"/>
      <c r="E116" s="197"/>
      <c r="F116" s="197"/>
      <c r="G116" s="197"/>
      <c r="H116" s="269" t="s">
        <v>38</v>
      </c>
      <c r="I116" s="197"/>
      <c r="J116" s="226">
        <f>SUM(J109:J115)</f>
        <v>0</v>
      </c>
      <c r="K116" s="139"/>
      <c r="L116" s="139"/>
      <c r="M116" s="139"/>
      <c r="N116" s="139"/>
      <c r="O116" s="139"/>
      <c r="P116" s="139"/>
      <c r="Q116" s="139"/>
      <c r="R116" s="141"/>
      <c r="S116" s="227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18.75" customHeight="1">
      <c r="A117" s="174"/>
      <c r="B117" s="144"/>
      <c r="C117" s="144"/>
      <c r="D117" s="144"/>
      <c r="E117" s="144"/>
      <c r="F117" s="144"/>
      <c r="G117" s="144"/>
      <c r="H117" s="145"/>
      <c r="I117" s="144"/>
      <c r="J117" s="175"/>
      <c r="K117" s="139"/>
      <c r="L117" s="139"/>
      <c r="M117" s="139"/>
      <c r="N117" s="139"/>
      <c r="O117" s="139"/>
      <c r="P117" s="139"/>
      <c r="Q117" s="139"/>
      <c r="R117" s="141"/>
      <c r="S117" s="227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18.75" customHeight="1">
      <c r="A118" s="139"/>
      <c r="B118" s="139"/>
      <c r="C118" s="139"/>
      <c r="D118" s="139"/>
      <c r="E118" s="139"/>
      <c r="F118" s="139"/>
      <c r="G118" s="139"/>
      <c r="H118" s="140"/>
      <c r="I118" s="139"/>
      <c r="J118" s="139"/>
      <c r="K118" s="139"/>
      <c r="L118" s="139"/>
      <c r="M118" s="139"/>
      <c r="N118" s="139"/>
      <c r="O118" s="139"/>
      <c r="P118" s="139"/>
      <c r="Q118" s="139"/>
      <c r="R118" s="141"/>
      <c r="S118" s="227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18.75" customHeight="1">
      <c r="A119" s="139"/>
      <c r="B119" s="139"/>
      <c r="C119" s="139"/>
      <c r="D119" s="139"/>
      <c r="E119" s="139"/>
      <c r="F119" s="139"/>
      <c r="G119" s="139"/>
      <c r="H119" s="140"/>
      <c r="I119" s="139"/>
      <c r="J119" s="139"/>
      <c r="K119" s="139"/>
      <c r="L119" s="139"/>
      <c r="M119" s="139"/>
      <c r="N119" s="139"/>
      <c r="O119" s="139"/>
      <c r="P119" s="139"/>
      <c r="Q119" s="139"/>
      <c r="R119" s="227"/>
      <c r="S119" s="227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18.75" customHeight="1">
      <c r="A120" s="139" t="s">
        <v>39</v>
      </c>
      <c r="B120" s="139"/>
      <c r="C120" s="139"/>
      <c r="D120" s="139"/>
      <c r="E120" s="139"/>
      <c r="F120" s="139"/>
      <c r="G120" s="139"/>
      <c r="H120" s="140"/>
      <c r="I120" s="139"/>
      <c r="J120" s="139"/>
      <c r="K120" s="139"/>
      <c r="L120" s="139"/>
      <c r="M120" s="139"/>
      <c r="N120" s="139"/>
      <c r="O120" s="139"/>
      <c r="P120" s="139"/>
      <c r="Q120" s="139"/>
      <c r="R120" s="227"/>
      <c r="S120" s="227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18.75" customHeight="1">
      <c r="A121" s="139"/>
      <c r="B121" s="139"/>
      <c r="C121" s="139"/>
      <c r="D121" s="139"/>
      <c r="E121" s="139"/>
      <c r="F121" s="139"/>
      <c r="G121" s="139"/>
      <c r="H121" s="140"/>
      <c r="I121" s="139"/>
      <c r="J121" s="139"/>
      <c r="K121" s="139"/>
      <c r="L121" s="139"/>
      <c r="M121" s="139"/>
      <c r="N121" s="139"/>
      <c r="O121" s="139"/>
      <c r="P121" s="139"/>
      <c r="Q121" s="139"/>
      <c r="R121" s="227"/>
      <c r="S121" s="227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42.0" customHeight="1">
      <c r="A122" s="176"/>
      <c r="B122" s="160" t="s">
        <v>12</v>
      </c>
      <c r="C122" s="177" t="s">
        <v>74</v>
      </c>
      <c r="D122" s="52"/>
      <c r="E122" s="53"/>
      <c r="F122" s="228"/>
      <c r="G122" s="228"/>
      <c r="H122" s="179" t="s">
        <v>14</v>
      </c>
      <c r="I122" s="224" t="s">
        <v>15</v>
      </c>
      <c r="J122" s="160" t="s">
        <v>16</v>
      </c>
      <c r="K122" s="139"/>
      <c r="L122" s="139"/>
      <c r="M122" s="139"/>
      <c r="N122" s="139"/>
      <c r="O122" s="139"/>
      <c r="P122" s="139"/>
      <c r="Q122" s="139"/>
      <c r="R122" s="227"/>
      <c r="S122" s="227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4.75" customHeight="1">
      <c r="A123" s="160">
        <v>1.0</v>
      </c>
      <c r="B123" s="229" t="s">
        <v>55</v>
      </c>
      <c r="C123" s="181"/>
      <c r="D123" s="181"/>
      <c r="E123" s="181"/>
      <c r="F123" s="181"/>
      <c r="G123" s="181"/>
      <c r="H123" s="232">
        <v>32.0</v>
      </c>
      <c r="I123" s="181">
        <v>1.0</v>
      </c>
      <c r="J123" s="194">
        <f t="shared" ref="J123:J136" si="108">+I123*H123</f>
        <v>32</v>
      </c>
      <c r="K123" s="176"/>
      <c r="L123" s="176"/>
      <c r="M123" s="176"/>
      <c r="N123" s="176"/>
      <c r="O123" s="176"/>
      <c r="P123" s="176"/>
      <c r="Q123" s="284"/>
      <c r="R123" s="227"/>
      <c r="S123" s="227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4.75" customHeight="1">
      <c r="A124" s="160">
        <v>2.0</v>
      </c>
      <c r="B124" s="215" t="s">
        <v>55</v>
      </c>
      <c r="C124" s="181"/>
      <c r="D124" s="181"/>
      <c r="E124" s="181"/>
      <c r="F124" s="181"/>
      <c r="G124" s="181"/>
      <c r="H124" s="232">
        <v>17.0</v>
      </c>
      <c r="I124" s="181">
        <v>1.0</v>
      </c>
      <c r="J124" s="194">
        <f t="shared" si="108"/>
        <v>17</v>
      </c>
      <c r="K124" s="176"/>
      <c r="L124" s="176"/>
      <c r="M124" s="176"/>
      <c r="N124" s="176"/>
      <c r="O124" s="176"/>
      <c r="P124" s="176"/>
      <c r="Q124" s="284"/>
      <c r="R124" s="227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4.75" customHeight="1">
      <c r="A125" s="160">
        <v>3.0</v>
      </c>
      <c r="B125" s="233" t="s">
        <v>56</v>
      </c>
      <c r="C125" s="181"/>
      <c r="D125" s="181"/>
      <c r="E125" s="181"/>
      <c r="F125" s="181"/>
      <c r="G125" s="181"/>
      <c r="H125" s="232">
        <v>41.0</v>
      </c>
      <c r="I125" s="181">
        <v>1.0</v>
      </c>
      <c r="J125" s="194">
        <f t="shared" si="108"/>
        <v>41</v>
      </c>
      <c r="K125" s="176"/>
      <c r="L125" s="176"/>
      <c r="M125" s="176"/>
      <c r="N125" s="176"/>
      <c r="O125" s="176"/>
      <c r="P125" s="176"/>
      <c r="Q125" s="284"/>
      <c r="R125" s="227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4.75" customHeight="1">
      <c r="A126" s="160">
        <v>4.0</v>
      </c>
      <c r="B126" s="234" t="s">
        <v>56</v>
      </c>
      <c r="C126" s="181"/>
      <c r="D126" s="181"/>
      <c r="E126" s="181"/>
      <c r="F126" s="181"/>
      <c r="G126" s="181"/>
      <c r="H126" s="232">
        <v>18.0</v>
      </c>
      <c r="I126" s="181">
        <v>1.0</v>
      </c>
      <c r="J126" s="194">
        <f t="shared" si="108"/>
        <v>18</v>
      </c>
      <c r="K126" s="176"/>
      <c r="L126" s="176"/>
      <c r="M126" s="176"/>
      <c r="N126" s="176"/>
      <c r="O126" s="176"/>
      <c r="P126" s="176"/>
      <c r="Q126" s="284"/>
      <c r="R126" s="227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4.75" customHeight="1">
      <c r="A127" s="160">
        <v>5.0</v>
      </c>
      <c r="B127" s="182" t="s">
        <v>61</v>
      </c>
      <c r="C127" s="181"/>
      <c r="D127" s="181"/>
      <c r="E127" s="181"/>
      <c r="F127" s="181"/>
      <c r="G127" s="181"/>
      <c r="H127" s="232">
        <v>36.0</v>
      </c>
      <c r="I127" s="181">
        <v>1.0</v>
      </c>
      <c r="J127" s="194">
        <f t="shared" si="108"/>
        <v>36</v>
      </c>
      <c r="K127" s="176"/>
      <c r="L127" s="176"/>
      <c r="M127" s="176"/>
      <c r="N127" s="176"/>
      <c r="O127" s="176"/>
      <c r="P127" s="176"/>
      <c r="Q127" s="284"/>
      <c r="R127" s="227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4.75" customHeight="1">
      <c r="A128" s="160">
        <v>6.0</v>
      </c>
      <c r="B128" s="191" t="s">
        <v>61</v>
      </c>
      <c r="C128" s="181"/>
      <c r="D128" s="181"/>
      <c r="E128" s="181"/>
      <c r="F128" s="181"/>
      <c r="G128" s="181"/>
      <c r="H128" s="232">
        <v>19.0</v>
      </c>
      <c r="I128" s="181">
        <v>1.0</v>
      </c>
      <c r="J128" s="194">
        <f t="shared" si="108"/>
        <v>19</v>
      </c>
      <c r="K128" s="176"/>
      <c r="L128" s="176"/>
      <c r="M128" s="176"/>
      <c r="N128" s="176"/>
      <c r="O128" s="176"/>
      <c r="P128" s="176"/>
      <c r="Q128" s="284"/>
      <c r="R128" s="227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4.75" customHeight="1">
      <c r="A129" s="160">
        <v>7.0</v>
      </c>
      <c r="B129" s="182" t="s">
        <v>174</v>
      </c>
      <c r="C129" s="181"/>
      <c r="D129" s="181"/>
      <c r="E129" s="181"/>
      <c r="F129" s="181"/>
      <c r="G129" s="181"/>
      <c r="H129" s="232">
        <v>30.0</v>
      </c>
      <c r="I129" s="181">
        <v>1.0</v>
      </c>
      <c r="J129" s="194">
        <f t="shared" si="108"/>
        <v>30</v>
      </c>
      <c r="K129" s="176"/>
      <c r="L129" s="176"/>
      <c r="M129" s="176"/>
      <c r="N129" s="176"/>
      <c r="O129" s="176"/>
      <c r="P129" s="176"/>
      <c r="Q129" s="284"/>
      <c r="R129" s="227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4.75" customHeight="1">
      <c r="A130" s="160">
        <v>8.0</v>
      </c>
      <c r="B130" s="218" t="s">
        <v>174</v>
      </c>
      <c r="C130" s="181"/>
      <c r="D130" s="181"/>
      <c r="E130" s="181"/>
      <c r="F130" s="181"/>
      <c r="G130" s="181"/>
      <c r="H130" s="232">
        <v>21.0</v>
      </c>
      <c r="I130" s="181">
        <v>1.0</v>
      </c>
      <c r="J130" s="194">
        <f t="shared" si="108"/>
        <v>21</v>
      </c>
      <c r="K130" s="176"/>
      <c r="L130" s="176"/>
      <c r="M130" s="176"/>
      <c r="N130" s="176"/>
      <c r="O130" s="176"/>
      <c r="P130" s="176"/>
      <c r="Q130" s="284"/>
      <c r="R130" s="227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4.75" customHeight="1">
      <c r="A131" s="160">
        <v>9.0</v>
      </c>
      <c r="B131" s="182" t="s">
        <v>82</v>
      </c>
      <c r="C131" s="181"/>
      <c r="D131" s="181"/>
      <c r="E131" s="181"/>
      <c r="F131" s="181"/>
      <c r="G131" s="181"/>
      <c r="H131" s="232">
        <v>33.0</v>
      </c>
      <c r="I131" s="181">
        <v>1.0</v>
      </c>
      <c r="J131" s="194">
        <f t="shared" si="108"/>
        <v>33</v>
      </c>
      <c r="K131" s="176"/>
      <c r="L131" s="176"/>
      <c r="M131" s="176"/>
      <c r="N131" s="176"/>
      <c r="O131" s="176"/>
      <c r="P131" s="176"/>
      <c r="Q131" s="284"/>
      <c r="R131" s="227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4.75" customHeight="1">
      <c r="A132" s="160">
        <v>10.0</v>
      </c>
      <c r="B132" s="218" t="s">
        <v>82</v>
      </c>
      <c r="C132" s="181"/>
      <c r="D132" s="181"/>
      <c r="E132" s="181"/>
      <c r="F132" s="181"/>
      <c r="G132" s="181"/>
      <c r="H132" s="232">
        <v>17.0</v>
      </c>
      <c r="I132" s="181">
        <v>1.0</v>
      </c>
      <c r="J132" s="194">
        <f t="shared" si="108"/>
        <v>17</v>
      </c>
      <c r="K132" s="176"/>
      <c r="L132" s="176"/>
      <c r="M132" s="176"/>
      <c r="N132" s="176"/>
      <c r="O132" s="176"/>
      <c r="P132" s="176"/>
      <c r="Q132" s="284"/>
      <c r="R132" s="227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4.75" customHeight="1">
      <c r="A133" s="160">
        <v>11.0</v>
      </c>
      <c r="B133" s="182" t="s">
        <v>76</v>
      </c>
      <c r="C133" s="181"/>
      <c r="D133" s="181"/>
      <c r="E133" s="181"/>
      <c r="F133" s="181"/>
      <c r="G133" s="181"/>
      <c r="H133" s="232">
        <v>33.0</v>
      </c>
      <c r="I133" s="181">
        <v>1.0</v>
      </c>
      <c r="J133" s="194">
        <f t="shared" si="108"/>
        <v>33</v>
      </c>
      <c r="K133" s="176"/>
      <c r="L133" s="176"/>
      <c r="M133" s="176"/>
      <c r="N133" s="176"/>
      <c r="O133" s="176"/>
      <c r="P133" s="176"/>
      <c r="Q133" s="284"/>
      <c r="R133" s="227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4.75" customHeight="1">
      <c r="A134" s="160">
        <v>12.0</v>
      </c>
      <c r="B134" s="218" t="s">
        <v>76</v>
      </c>
      <c r="C134" s="181"/>
      <c r="D134" s="181"/>
      <c r="E134" s="181"/>
      <c r="F134" s="181"/>
      <c r="G134" s="181"/>
      <c r="H134" s="232">
        <v>20.0</v>
      </c>
      <c r="I134" s="181">
        <v>1.0</v>
      </c>
      <c r="J134" s="194">
        <f t="shared" si="108"/>
        <v>20</v>
      </c>
      <c r="K134" s="176"/>
      <c r="L134" s="176"/>
      <c r="M134" s="176"/>
      <c r="N134" s="176"/>
      <c r="O134" s="176"/>
      <c r="P134" s="176"/>
      <c r="Q134" s="284"/>
      <c r="R134" s="227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4.75" customHeight="1">
      <c r="A135" s="160">
        <v>13.0</v>
      </c>
      <c r="B135" s="182" t="s">
        <v>55</v>
      </c>
      <c r="C135" s="181"/>
      <c r="D135" s="181"/>
      <c r="E135" s="181"/>
      <c r="F135" s="181"/>
      <c r="G135" s="181"/>
      <c r="H135" s="232">
        <v>30.0</v>
      </c>
      <c r="I135" s="181">
        <v>1.0</v>
      </c>
      <c r="J135" s="194">
        <f t="shared" si="108"/>
        <v>30</v>
      </c>
      <c r="K135" s="176"/>
      <c r="L135" s="176"/>
      <c r="M135" s="176"/>
      <c r="N135" s="176"/>
      <c r="O135" s="176"/>
      <c r="P135" s="176"/>
      <c r="Q135" s="284"/>
      <c r="R135" s="227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4.75" customHeight="1">
      <c r="A136" s="160">
        <v>14.0</v>
      </c>
      <c r="B136" s="218" t="s">
        <v>55</v>
      </c>
      <c r="C136" s="181"/>
      <c r="D136" s="181"/>
      <c r="E136" s="181"/>
      <c r="F136" s="181"/>
      <c r="G136" s="181"/>
      <c r="H136" s="232">
        <v>25.0</v>
      </c>
      <c r="I136" s="181">
        <v>1.0</v>
      </c>
      <c r="J136" s="194">
        <f t="shared" si="108"/>
        <v>25</v>
      </c>
      <c r="K136" s="176"/>
      <c r="L136" s="176"/>
      <c r="M136" s="176"/>
      <c r="N136" s="176"/>
      <c r="O136" s="176"/>
      <c r="P136" s="176"/>
      <c r="Q136" s="284"/>
      <c r="R136" s="227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18.75" customHeight="1">
      <c r="A137" s="139"/>
      <c r="B137" s="139"/>
      <c r="C137" s="139"/>
      <c r="D137" s="139"/>
      <c r="E137" s="139"/>
      <c r="F137" s="139"/>
      <c r="G137" s="139"/>
      <c r="H137" s="140" t="s">
        <v>38</v>
      </c>
      <c r="I137" s="139"/>
      <c r="J137" s="235">
        <f>SUM(J123:J136)</f>
        <v>372</v>
      </c>
      <c r="K137" s="236"/>
      <c r="L137" s="236"/>
      <c r="M137" s="236"/>
      <c r="N137" s="236"/>
      <c r="O137" s="236"/>
      <c r="P137" s="236"/>
      <c r="Q137" s="236"/>
      <c r="R137" s="139"/>
      <c r="S137" s="227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18.75" customHeight="1">
      <c r="A138" s="144"/>
      <c r="B138" s="144"/>
      <c r="C138" s="144"/>
      <c r="D138" s="144"/>
      <c r="E138" s="144"/>
      <c r="F138" s="144"/>
      <c r="G138" s="144"/>
      <c r="H138" s="145"/>
      <c r="I138" s="173"/>
      <c r="J138" s="205">
        <f>+J137*60%</f>
        <v>223.2</v>
      </c>
      <c r="K138" s="205"/>
      <c r="L138" s="205"/>
      <c r="M138" s="205"/>
      <c r="N138" s="205"/>
      <c r="O138" s="205"/>
      <c r="P138" s="205"/>
      <c r="Q138" s="205">
        <f>+J137*40%</f>
        <v>148.8</v>
      </c>
      <c r="R138" s="139"/>
      <c r="S138" s="227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18.75" customHeight="1">
      <c r="A139" s="139"/>
      <c r="B139" s="139"/>
      <c r="C139" s="139"/>
      <c r="D139" s="139"/>
      <c r="E139" s="139"/>
      <c r="F139" s="139"/>
      <c r="G139" s="139"/>
      <c r="H139" s="140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227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18.75" customHeight="1">
      <c r="A140" s="139"/>
      <c r="B140" s="139"/>
      <c r="C140" s="139"/>
      <c r="D140" s="139"/>
      <c r="E140" s="139"/>
      <c r="F140" s="139"/>
      <c r="G140" s="139"/>
      <c r="H140" s="140"/>
      <c r="I140" s="139"/>
      <c r="J140" s="139"/>
      <c r="K140" s="139"/>
      <c r="L140" s="139"/>
      <c r="M140" s="139"/>
      <c r="N140" s="139"/>
      <c r="O140" s="139"/>
      <c r="P140" s="139"/>
      <c r="Q140" s="139"/>
      <c r="R140" s="139"/>
      <c r="S140" s="227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19.5" customHeight="1">
      <c r="A141" s="238" t="s">
        <v>41</v>
      </c>
      <c r="B141" s="139"/>
      <c r="C141" s="139"/>
      <c r="D141" s="139"/>
      <c r="E141" s="139"/>
      <c r="F141" s="139"/>
      <c r="G141" s="139"/>
      <c r="H141" s="140"/>
      <c r="I141" s="139"/>
      <c r="J141" s="139"/>
      <c r="K141" s="139"/>
      <c r="L141" s="139"/>
      <c r="M141" s="139"/>
      <c r="N141" s="139"/>
      <c r="O141" s="139"/>
      <c r="P141" s="139"/>
      <c r="Q141" s="139"/>
      <c r="R141" s="139"/>
      <c r="S141" s="227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57.0" customHeight="1">
      <c r="A142" s="239"/>
      <c r="B142" s="240" t="s">
        <v>42</v>
      </c>
      <c r="C142" s="240" t="s">
        <v>43</v>
      </c>
      <c r="D142" s="240" t="s">
        <v>44</v>
      </c>
      <c r="E142" s="240" t="s">
        <v>45</v>
      </c>
      <c r="F142" s="240"/>
      <c r="G142" s="240"/>
      <c r="H142" s="241" t="s">
        <v>46</v>
      </c>
      <c r="I142" s="242" t="s">
        <v>47</v>
      </c>
      <c r="J142" s="139"/>
      <c r="K142" s="139"/>
      <c r="L142" s="139"/>
      <c r="M142" s="139"/>
      <c r="N142" s="139"/>
      <c r="O142" s="139"/>
      <c r="P142" s="139"/>
      <c r="Q142" s="139"/>
      <c r="R142" s="141"/>
      <c r="S142" s="227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18.75" customHeight="1">
      <c r="A143" s="243" t="s">
        <v>48</v>
      </c>
      <c r="B143" s="244">
        <f>+E15</f>
        <v>31925.2777</v>
      </c>
      <c r="C143" s="245">
        <f>+J102</f>
        <v>28252.88352</v>
      </c>
      <c r="D143" s="245">
        <f>+J116</f>
        <v>0</v>
      </c>
      <c r="E143" s="246">
        <f>J138</f>
        <v>223.2</v>
      </c>
      <c r="F143" s="246"/>
      <c r="G143" s="246"/>
      <c r="H143" s="247">
        <f>+I15</f>
        <v>1256.161311</v>
      </c>
      <c r="I143" s="248">
        <f>+B143-C143-D143-E143-H143</f>
        <v>2193.032869</v>
      </c>
      <c r="J143" s="139"/>
      <c r="K143" s="139"/>
      <c r="L143" s="139"/>
      <c r="M143" s="139"/>
      <c r="N143" s="139"/>
      <c r="O143" s="139"/>
      <c r="P143" s="139"/>
      <c r="Q143" s="139"/>
      <c r="R143" s="141"/>
      <c r="S143" s="227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19.5" customHeight="1">
      <c r="A144" s="249" t="s">
        <v>49</v>
      </c>
      <c r="B144" s="250"/>
      <c r="C144" s="251">
        <f>+C143/B143</f>
        <v>0.8849690764</v>
      </c>
      <c r="D144" s="251">
        <f>+D143/B143</f>
        <v>0</v>
      </c>
      <c r="E144" s="251">
        <f>+E143/B143</f>
        <v>0.006991325247</v>
      </c>
      <c r="F144" s="251"/>
      <c r="G144" s="251"/>
      <c r="H144" s="252">
        <f>+H143/B143</f>
        <v>0.03934691886</v>
      </c>
      <c r="I144" s="253">
        <f>+I143/B143</f>
        <v>0.0686926795</v>
      </c>
      <c r="J144" s="139"/>
      <c r="K144" s="139"/>
      <c r="L144" s="139"/>
      <c r="M144" s="139"/>
      <c r="N144" s="139"/>
      <c r="O144" s="139"/>
      <c r="P144" s="139"/>
      <c r="Q144" s="139"/>
      <c r="R144" s="141"/>
      <c r="S144" s="227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19.5" customHeight="1">
      <c r="A145" s="163"/>
      <c r="B145" s="221"/>
      <c r="C145" s="254"/>
      <c r="D145" s="254"/>
      <c r="E145" s="254"/>
      <c r="F145" s="254"/>
      <c r="G145" s="254"/>
      <c r="H145" s="255"/>
      <c r="I145" s="256"/>
      <c r="J145" s="139"/>
      <c r="K145" s="139"/>
      <c r="L145" s="139"/>
      <c r="M145" s="139"/>
      <c r="N145" s="139"/>
      <c r="O145" s="139"/>
      <c r="P145" s="139"/>
      <c r="Q145" s="139"/>
      <c r="R145" s="141"/>
      <c r="S145" s="227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18.75" customHeight="1">
      <c r="A146" s="257"/>
      <c r="B146" s="258"/>
      <c r="C146" s="258"/>
      <c r="D146" s="258" t="s">
        <v>50</v>
      </c>
      <c r="E146" s="258" t="s">
        <v>48</v>
      </c>
      <c r="F146" s="258"/>
      <c r="G146" s="258"/>
      <c r="H146" s="259">
        <f>+D143+E143+H143+I143</f>
        <v>3672.39418</v>
      </c>
      <c r="I146" s="260"/>
      <c r="J146" s="139"/>
      <c r="K146" s="139"/>
      <c r="L146" s="139"/>
      <c r="M146" s="139"/>
      <c r="N146" s="139"/>
      <c r="O146" s="139"/>
      <c r="P146" s="139"/>
      <c r="Q146" s="139"/>
      <c r="R146" s="141"/>
      <c r="S146" s="140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18.75" customHeight="1">
      <c r="A147" s="261"/>
      <c r="B147" s="139"/>
      <c r="C147" s="139"/>
      <c r="D147" s="139"/>
      <c r="E147" s="139" t="s">
        <v>49</v>
      </c>
      <c r="F147" s="139"/>
      <c r="G147" s="139"/>
      <c r="H147" s="255">
        <f>+H146/B143</f>
        <v>0.1150309236</v>
      </c>
      <c r="I147" s="262"/>
      <c r="J147" s="139"/>
      <c r="K147" s="139"/>
      <c r="L147" s="139"/>
      <c r="M147" s="139"/>
      <c r="N147" s="139"/>
      <c r="O147" s="139"/>
      <c r="P147" s="139"/>
      <c r="Q147" s="139"/>
      <c r="R147" s="141"/>
      <c r="S147" s="140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18.75" customHeight="1">
      <c r="A148" s="261"/>
      <c r="B148" s="139"/>
      <c r="C148" s="139" t="s">
        <v>51</v>
      </c>
      <c r="D148" s="139"/>
      <c r="E148" s="139"/>
      <c r="F148" s="139"/>
      <c r="G148" s="139"/>
      <c r="H148" s="140"/>
      <c r="I148" s="262"/>
      <c r="J148" s="139"/>
      <c r="K148" s="139"/>
      <c r="L148" s="139"/>
      <c r="M148" s="139"/>
      <c r="N148" s="139"/>
      <c r="O148" s="139"/>
      <c r="P148" s="139"/>
      <c r="Q148" s="139"/>
      <c r="R148" s="141"/>
      <c r="S148" s="140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18.75" customHeight="1">
      <c r="A149" s="261"/>
      <c r="B149" s="139"/>
      <c r="C149" s="139"/>
      <c r="D149" s="139" t="s">
        <v>52</v>
      </c>
      <c r="E149" s="139"/>
      <c r="F149" s="139"/>
      <c r="G149" s="139"/>
      <c r="H149" s="140">
        <f>+H148*(H146-H143)</f>
        <v>0</v>
      </c>
      <c r="I149" s="262"/>
      <c r="J149" s="139"/>
      <c r="K149" s="139"/>
      <c r="L149" s="139"/>
      <c r="M149" s="139"/>
      <c r="N149" s="139"/>
      <c r="O149" s="139"/>
      <c r="P149" s="139"/>
      <c r="Q149" s="139"/>
      <c r="R149" s="141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19.5" customHeight="1">
      <c r="A150" s="263"/>
      <c r="B150" s="264"/>
      <c r="C150" s="264"/>
      <c r="D150" s="264"/>
      <c r="E150" s="264"/>
      <c r="F150" s="264"/>
      <c r="G150" s="264"/>
      <c r="H150" s="265"/>
      <c r="I150" s="266"/>
      <c r="J150" s="139"/>
      <c r="K150" s="139"/>
      <c r="L150" s="139"/>
      <c r="M150" s="139"/>
      <c r="N150" s="139"/>
      <c r="O150" s="139"/>
      <c r="P150" s="139"/>
      <c r="Q150" s="139"/>
      <c r="R150" s="141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18.75" customHeight="1">
      <c r="A151" s="139"/>
      <c r="B151" s="139"/>
      <c r="C151" s="139"/>
      <c r="D151" s="139"/>
      <c r="E151" s="139"/>
      <c r="F151" s="139"/>
      <c r="G151" s="139"/>
      <c r="H151" s="140"/>
      <c r="I151" s="139"/>
      <c r="J151" s="139"/>
      <c r="K151" s="139"/>
      <c r="L151" s="139"/>
      <c r="M151" s="139"/>
      <c r="N151" s="139"/>
      <c r="O151" s="139"/>
      <c r="P151" s="139"/>
      <c r="Q151" s="139"/>
      <c r="R151" s="141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18.75" customHeight="1">
      <c r="A152" s="139"/>
      <c r="B152" s="139"/>
      <c r="C152" s="139"/>
      <c r="D152" s="139"/>
      <c r="E152" s="139"/>
      <c r="F152" s="139"/>
      <c r="G152" s="139"/>
      <c r="H152" s="140"/>
      <c r="I152" s="139"/>
      <c r="J152" s="139"/>
      <c r="K152" s="139"/>
      <c r="L152" s="139"/>
      <c r="M152" s="139"/>
      <c r="N152" s="139"/>
      <c r="O152" s="139"/>
      <c r="P152" s="139"/>
      <c r="Q152" s="139"/>
      <c r="R152" s="141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18.75" customHeight="1">
      <c r="A153" s="139"/>
      <c r="B153" s="139"/>
      <c r="C153" s="139"/>
      <c r="D153" s="139"/>
      <c r="E153" s="139"/>
      <c r="F153" s="139"/>
      <c r="G153" s="139"/>
      <c r="H153" s="140"/>
      <c r="I153" s="139"/>
      <c r="J153" s="139"/>
      <c r="K153" s="139"/>
      <c r="L153" s="139"/>
      <c r="M153" s="139"/>
      <c r="N153" s="139"/>
      <c r="O153" s="139"/>
      <c r="P153" s="139"/>
      <c r="Q153" s="139"/>
      <c r="R153" s="141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7"/>
      <c r="R154" s="268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7"/>
      <c r="R155" s="268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7"/>
      <c r="R156" s="268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7"/>
      <c r="R157" s="268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7"/>
      <c r="R158" s="26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7"/>
      <c r="R159" s="26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7"/>
      <c r="R160" s="26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7"/>
      <c r="R161" s="26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7"/>
      <c r="R162" s="26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7"/>
      <c r="R163" s="26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7"/>
      <c r="R164" s="26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7"/>
      <c r="R165" s="26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7"/>
      <c r="R166" s="26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7"/>
      <c r="R167" s="26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7"/>
      <c r="R168" s="26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7"/>
      <c r="R169" s="26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7"/>
      <c r="R170" s="26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7"/>
      <c r="R171" s="26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7"/>
      <c r="R172" s="26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7"/>
      <c r="R173" s="26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7"/>
      <c r="R174" s="26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7"/>
      <c r="R175" s="26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7"/>
      <c r="R176" s="26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7"/>
      <c r="R177" s="26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7"/>
      <c r="R178" s="26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7"/>
      <c r="R179" s="26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7"/>
      <c r="R180" s="26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7"/>
      <c r="R181" s="26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7"/>
      <c r="R182" s="26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7"/>
      <c r="R183" s="26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7"/>
      <c r="R184" s="26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7"/>
      <c r="R185" s="26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7"/>
      <c r="R186" s="26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7"/>
      <c r="R187" s="26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7"/>
      <c r="R188" s="26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7"/>
      <c r="R189" s="26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7"/>
      <c r="R190" s="26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7"/>
      <c r="R191" s="26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7"/>
      <c r="R192" s="26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7"/>
      <c r="R193" s="26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7"/>
      <c r="R194" s="26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7"/>
      <c r="R252" s="26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7"/>
      <c r="R253" s="26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7"/>
      <c r="R254" s="26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7"/>
      <c r="R255" s="26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7"/>
      <c r="R256" s="26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7"/>
      <c r="R257" s="26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7"/>
      <c r="R258" s="26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7"/>
      <c r="R259" s="26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7"/>
      <c r="R260" s="26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7"/>
      <c r="R261" s="26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7"/>
      <c r="R262" s="26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7"/>
      <c r="R263" s="26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7"/>
      <c r="R264" s="26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7"/>
      <c r="R265" s="26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7"/>
      <c r="R266" s="26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7"/>
      <c r="R267" s="26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7"/>
      <c r="R268" s="26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7"/>
      <c r="R269" s="26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7"/>
      <c r="R270" s="26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7"/>
      <c r="R271" s="26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7"/>
      <c r="R272" s="26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7"/>
      <c r="R273" s="26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7"/>
      <c r="R274" s="26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7"/>
      <c r="R275" s="26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7"/>
      <c r="R276" s="26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7"/>
      <c r="R277" s="26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7"/>
      <c r="R278" s="26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7"/>
      <c r="R279" s="26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7"/>
      <c r="R280" s="26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7"/>
      <c r="R281" s="26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7"/>
      <c r="R282" s="26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7"/>
      <c r="R283" s="26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7"/>
      <c r="R284" s="26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7"/>
      <c r="R285" s="26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7"/>
      <c r="R286" s="26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7"/>
      <c r="R287" s="26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7"/>
      <c r="R288" s="26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7"/>
      <c r="R289" s="26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7"/>
      <c r="R290" s="26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7"/>
      <c r="R291" s="26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7"/>
      <c r="R292" s="26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7"/>
      <c r="R293" s="26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7"/>
      <c r="R294" s="26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7"/>
      <c r="R295" s="26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7"/>
      <c r="R296" s="26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7"/>
      <c r="R297" s="26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7"/>
      <c r="R298" s="26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7"/>
      <c r="R299" s="26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7"/>
      <c r="R300" s="26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7"/>
      <c r="R301" s="26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7"/>
      <c r="R302" s="26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7"/>
      <c r="R303" s="268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7"/>
      <c r="R304" s="268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7"/>
      <c r="R305" s="268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7"/>
      <c r="R306" s="268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7"/>
      <c r="R307" s="268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7"/>
      <c r="R308" s="268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7"/>
      <c r="R309" s="268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7"/>
      <c r="R310" s="268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7"/>
      <c r="R311" s="268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7"/>
      <c r="R312" s="268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7"/>
      <c r="R313" s="268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7"/>
      <c r="R314" s="268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7"/>
      <c r="R315" s="268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7"/>
      <c r="R316" s="268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7"/>
      <c r="R317" s="268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7"/>
      <c r="R318" s="268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7"/>
      <c r="R319" s="268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7"/>
      <c r="R320" s="268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7"/>
      <c r="R321" s="268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7"/>
      <c r="R322" s="268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7"/>
      <c r="R323" s="268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7"/>
      <c r="R324" s="268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7"/>
      <c r="R325" s="268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7"/>
      <c r="R326" s="268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7"/>
      <c r="R327" s="268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7"/>
      <c r="R328" s="268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7"/>
      <c r="R329" s="268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7"/>
      <c r="R330" s="268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7"/>
      <c r="R331" s="268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7"/>
      <c r="R332" s="268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7"/>
      <c r="R333" s="268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7"/>
      <c r="R334" s="268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7"/>
      <c r="R335" s="268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7"/>
      <c r="R336" s="268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7"/>
      <c r="R337" s="268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7"/>
      <c r="R338" s="268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7"/>
      <c r="R339" s="268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7"/>
      <c r="R340" s="268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7"/>
      <c r="R341" s="268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7"/>
      <c r="R342" s="268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7"/>
      <c r="R343" s="268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7"/>
      <c r="R344" s="268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7"/>
      <c r="R345" s="268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7"/>
      <c r="R346" s="268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7"/>
      <c r="R347" s="268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7"/>
      <c r="R348" s="268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7"/>
      <c r="R349" s="268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08:E108"/>
    <mergeCell ref="C122:E122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 t="s">
        <v>189</v>
      </c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190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58</v>
      </c>
      <c r="C8" s="154">
        <v>29.5</v>
      </c>
      <c r="D8" s="155">
        <v>0.088</v>
      </c>
      <c r="E8" s="156">
        <f>186.283*28.478</f>
        <v>5304.967274</v>
      </c>
      <c r="F8" s="156"/>
      <c r="G8" s="156"/>
      <c r="H8" s="157">
        <v>28478.0</v>
      </c>
      <c r="I8" s="158">
        <f t="shared" ref="I8:I14" si="1">+D8*E8</f>
        <v>466.8371201</v>
      </c>
      <c r="J8" s="159">
        <f t="shared" ref="J8:J14" si="2">E8-I8</f>
        <v>4838.130154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158</v>
      </c>
      <c r="C9" s="154">
        <v>22.5</v>
      </c>
      <c r="D9" s="155">
        <v>0.083</v>
      </c>
      <c r="E9" s="156">
        <f>237.143*15.6</f>
        <v>3699.4308</v>
      </c>
      <c r="F9" s="156"/>
      <c r="G9" s="156"/>
      <c r="H9" s="157">
        <v>15.6</v>
      </c>
      <c r="I9" s="158">
        <f t="shared" si="1"/>
        <v>307.0527564</v>
      </c>
      <c r="J9" s="159">
        <f t="shared" si="2"/>
        <v>3392.378044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83</v>
      </c>
      <c r="C10" s="154">
        <v>20.5</v>
      </c>
      <c r="D10" s="155">
        <v>0.0899</v>
      </c>
      <c r="E10" s="156">
        <f>211.643*18</f>
        <v>3809.574</v>
      </c>
      <c r="F10" s="156"/>
      <c r="G10" s="156"/>
      <c r="H10" s="157">
        <v>18.0</v>
      </c>
      <c r="I10" s="158">
        <f t="shared" si="1"/>
        <v>342.4807026</v>
      </c>
      <c r="J10" s="159">
        <f t="shared" si="2"/>
        <v>3467.093297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55</v>
      </c>
      <c r="C11" s="154">
        <v>29.5</v>
      </c>
      <c r="D11" s="161">
        <v>0.0155</v>
      </c>
      <c r="E11" s="162">
        <f>254.185*10.2</f>
        <v>2592.687</v>
      </c>
      <c r="F11" s="162"/>
      <c r="G11" s="162"/>
      <c r="H11" s="157">
        <v>10.2</v>
      </c>
      <c r="I11" s="158">
        <f t="shared" si="1"/>
        <v>40.1866485</v>
      </c>
      <c r="J11" s="159">
        <f t="shared" si="2"/>
        <v>2552.500352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55</v>
      </c>
      <c r="C12" s="160">
        <v>29.5</v>
      </c>
      <c r="D12" s="161">
        <v>0.0155</v>
      </c>
      <c r="E12" s="162">
        <f>254.235*63.9</f>
        <v>16245.6165</v>
      </c>
      <c r="F12" s="162"/>
      <c r="G12" s="162"/>
      <c r="H12" s="157">
        <v>63.9</v>
      </c>
      <c r="I12" s="158">
        <f t="shared" si="1"/>
        <v>251.8070558</v>
      </c>
      <c r="J12" s="159">
        <f t="shared" si="2"/>
        <v>15993.80944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26.25" customHeight="1">
      <c r="A13" s="153">
        <v>6.0</v>
      </c>
      <c r="B13" s="160" t="s">
        <v>84</v>
      </c>
      <c r="C13" s="160">
        <v>31.5</v>
      </c>
      <c r="D13" s="161">
        <v>0.0146</v>
      </c>
      <c r="E13" s="162">
        <f>240.955*20.8</f>
        <v>5011.864</v>
      </c>
      <c r="F13" s="162"/>
      <c r="G13" s="162"/>
      <c r="H13" s="157">
        <v>20.8</v>
      </c>
      <c r="I13" s="158">
        <f t="shared" si="1"/>
        <v>73.1732144</v>
      </c>
      <c r="J13" s="159">
        <f t="shared" si="2"/>
        <v>4938.690786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26.25" customHeight="1">
      <c r="A14" s="153">
        <v>7.0</v>
      </c>
      <c r="B14" s="160" t="s">
        <v>85</v>
      </c>
      <c r="C14" s="160">
        <v>26.5</v>
      </c>
      <c r="D14" s="161">
        <v>0.0559</v>
      </c>
      <c r="E14" s="162">
        <f>267.196*3.9</f>
        <v>1042.0644</v>
      </c>
      <c r="F14" s="162"/>
      <c r="G14" s="162"/>
      <c r="H14" s="157">
        <v>3.9</v>
      </c>
      <c r="I14" s="158">
        <f t="shared" si="1"/>
        <v>58.25139996</v>
      </c>
      <c r="J14" s="159">
        <f t="shared" si="2"/>
        <v>983.813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63"/>
      <c r="B15" s="164"/>
      <c r="C15" s="165"/>
      <c r="D15" s="166"/>
      <c r="E15" s="167">
        <f>SUM(E8:E14)</f>
        <v>37706.20397</v>
      </c>
      <c r="F15" s="168"/>
      <c r="G15" s="168"/>
      <c r="H15" s="169"/>
      <c r="I15" s="170">
        <f t="shared" ref="I15:J15" si="3">SUM(I8:I14)</f>
        <v>1539.788898</v>
      </c>
      <c r="J15" s="171">
        <f t="shared" si="3"/>
        <v>36166.41508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72"/>
      <c r="B16" s="144"/>
      <c r="C16" s="144"/>
      <c r="D16" s="173"/>
      <c r="E16" s="174"/>
      <c r="F16" s="151"/>
      <c r="G16" s="151"/>
      <c r="H16" s="147"/>
      <c r="I16" s="175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18.75" customHeight="1">
      <c r="A19" s="139" t="s">
        <v>11</v>
      </c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40.5" customHeight="1">
      <c r="A21" s="176"/>
      <c r="B21" s="160" t="s">
        <v>12</v>
      </c>
      <c r="C21" s="177" t="s">
        <v>62</v>
      </c>
      <c r="D21" s="52"/>
      <c r="E21" s="53"/>
      <c r="F21" s="178"/>
      <c r="G21" s="178"/>
      <c r="H21" s="179" t="s">
        <v>14</v>
      </c>
      <c r="I21" s="160" t="s">
        <v>15</v>
      </c>
      <c r="J21" s="160" t="s">
        <v>16</v>
      </c>
      <c r="K21" s="139"/>
      <c r="L21" s="160" t="s">
        <v>17</v>
      </c>
      <c r="M21" s="160" t="s">
        <v>15</v>
      </c>
      <c r="N21" s="176" t="s">
        <v>18</v>
      </c>
      <c r="O21" s="139"/>
      <c r="P21" s="139"/>
      <c r="Q21" s="176" t="s">
        <v>129</v>
      </c>
      <c r="R21" s="180"/>
      <c r="S21" s="160" t="s">
        <v>17</v>
      </c>
      <c r="T21" s="160" t="s">
        <v>15</v>
      </c>
      <c r="U21" s="176" t="s">
        <v>18</v>
      </c>
      <c r="V21" s="139"/>
      <c r="W21" s="176" t="s">
        <v>19</v>
      </c>
      <c r="X21" s="176" t="s">
        <v>20</v>
      </c>
      <c r="Y21" s="176" t="s">
        <v>21</v>
      </c>
      <c r="Z21" s="176" t="s">
        <v>191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1.0</v>
      </c>
      <c r="B22" s="300" t="s">
        <v>68</v>
      </c>
      <c r="C22" s="183">
        <v>70.0</v>
      </c>
      <c r="D22" s="183">
        <v>167.0</v>
      </c>
      <c r="E22" s="183">
        <v>233.0</v>
      </c>
      <c r="F22" s="183">
        <f t="shared" ref="F22:F104" si="5">VALUE(IF(RIGHT(B22, 1)="%", RIGHT(B22, 3), 0))</f>
        <v>0.8</v>
      </c>
      <c r="G22" s="183">
        <f t="shared" ref="G22:G104" si="6">+R22*C22/100*D22/100*E22/100</f>
        <v>80.351215</v>
      </c>
      <c r="H22" s="184">
        <f t="shared" ref="H22:H104" si="7">IF(F22=0, G22, F22*G22)</f>
        <v>64.280972</v>
      </c>
      <c r="I22" s="183">
        <v>1.0</v>
      </c>
      <c r="J22" s="185">
        <f t="shared" ref="J22:J104" si="8">+I22*H22</f>
        <v>64.280972</v>
      </c>
      <c r="K22" s="139"/>
      <c r="L22" s="176">
        <f>D22*25.4/1000</f>
        <v>4.2418</v>
      </c>
      <c r="M22" s="160">
        <f>+I22</f>
        <v>1</v>
      </c>
      <c r="N22" s="160">
        <f>M22*L22</f>
        <v>4.2418</v>
      </c>
      <c r="O22" s="139"/>
      <c r="P22" s="139"/>
      <c r="Q22" s="176"/>
      <c r="R22" s="281">
        <v>29.5</v>
      </c>
      <c r="S22" s="176">
        <f t="shared" ref="S22:S105" si="9">E22/100</f>
        <v>2.33</v>
      </c>
      <c r="T22" s="160">
        <f t="shared" ref="T22:T105" si="10">I22</f>
        <v>1</v>
      </c>
      <c r="U22" s="160">
        <f t="shared" ref="U22:U105" si="11">T22*S22</f>
        <v>2.33</v>
      </c>
      <c r="V22" s="282">
        <f t="shared" ref="V22:V104" si="12">R22*C22/100*D22/100*E22/100</f>
        <v>80.351215</v>
      </c>
      <c r="W22" s="176">
        <f t="shared" ref="W22:X22" si="4">C22/100</f>
        <v>0.7</v>
      </c>
      <c r="X22" s="176">
        <f t="shared" si="4"/>
        <v>1.67</v>
      </c>
      <c r="Y22" s="176">
        <f t="shared" ref="Y22:Y105" si="14">U22</f>
        <v>2.33</v>
      </c>
      <c r="Z22" s="283">
        <f t="shared" ref="Z22:Z105" si="15">W22*X22*Y22</f>
        <v>2.72377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2.0</v>
      </c>
      <c r="B23" s="154" t="s">
        <v>58</v>
      </c>
      <c r="C23" s="191">
        <v>94.0</v>
      </c>
      <c r="D23" s="191">
        <v>167.0</v>
      </c>
      <c r="E23" s="191">
        <v>153.0</v>
      </c>
      <c r="F23" s="191">
        <f t="shared" si="5"/>
        <v>0</v>
      </c>
      <c r="G23" s="191">
        <f t="shared" si="6"/>
        <v>70.852923</v>
      </c>
      <c r="H23" s="192">
        <f t="shared" si="7"/>
        <v>70.852923</v>
      </c>
      <c r="I23" s="191">
        <v>1.0</v>
      </c>
      <c r="J23" s="194">
        <f t="shared" si="8"/>
        <v>70.852923</v>
      </c>
      <c r="K23" s="139"/>
      <c r="L23" s="176"/>
      <c r="M23" s="160"/>
      <c r="N23" s="160"/>
      <c r="O23" s="139"/>
      <c r="P23" s="139"/>
      <c r="Q23" s="176">
        <v>73.0</v>
      </c>
      <c r="R23" s="281">
        <v>29.5</v>
      </c>
      <c r="S23" s="176">
        <f t="shared" si="9"/>
        <v>1.53</v>
      </c>
      <c r="T23" s="160">
        <f t="shared" si="10"/>
        <v>1</v>
      </c>
      <c r="U23" s="160">
        <f t="shared" si="11"/>
        <v>1.53</v>
      </c>
      <c r="V23" s="282">
        <f t="shared" si="12"/>
        <v>70.852923</v>
      </c>
      <c r="W23" s="176">
        <f t="shared" ref="W23:X23" si="13">C23/100</f>
        <v>0.94</v>
      </c>
      <c r="X23" s="176">
        <f t="shared" si="13"/>
        <v>1.67</v>
      </c>
      <c r="Y23" s="176">
        <f t="shared" si="14"/>
        <v>1.53</v>
      </c>
      <c r="Z23" s="283">
        <f t="shared" si="15"/>
        <v>2.401794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3.0</v>
      </c>
      <c r="B24" s="154" t="s">
        <v>58</v>
      </c>
      <c r="C24" s="191">
        <v>94.0</v>
      </c>
      <c r="D24" s="191">
        <v>167.0</v>
      </c>
      <c r="E24" s="191">
        <v>153.0</v>
      </c>
      <c r="F24" s="191">
        <f t="shared" si="5"/>
        <v>0</v>
      </c>
      <c r="G24" s="191">
        <f t="shared" si="6"/>
        <v>70.852923</v>
      </c>
      <c r="H24" s="192">
        <f t="shared" si="7"/>
        <v>70.852923</v>
      </c>
      <c r="I24" s="191">
        <v>1.0</v>
      </c>
      <c r="J24" s="194">
        <f t="shared" si="8"/>
        <v>70.852923</v>
      </c>
      <c r="K24" s="139"/>
      <c r="L24" s="176">
        <f t="shared" ref="L24:L46" si="17">D24*25.4/1000</f>
        <v>4.2418</v>
      </c>
      <c r="M24" s="160">
        <f t="shared" ref="M24:M104" si="18">+I24</f>
        <v>1</v>
      </c>
      <c r="N24" s="160">
        <f t="shared" ref="N24:N46" si="19">M24*L24</f>
        <v>4.2418</v>
      </c>
      <c r="O24" s="139"/>
      <c r="P24" s="139"/>
      <c r="Q24" s="176">
        <v>73.0</v>
      </c>
      <c r="R24" s="281">
        <v>29.5</v>
      </c>
      <c r="S24" s="176">
        <f t="shared" si="9"/>
        <v>1.53</v>
      </c>
      <c r="T24" s="160">
        <f t="shared" si="10"/>
        <v>1</v>
      </c>
      <c r="U24" s="160">
        <f t="shared" si="11"/>
        <v>1.53</v>
      </c>
      <c r="V24" s="282">
        <f t="shared" si="12"/>
        <v>70.852923</v>
      </c>
      <c r="W24" s="176">
        <f t="shared" ref="W24:X24" si="16">C24/100</f>
        <v>0.94</v>
      </c>
      <c r="X24" s="176">
        <f t="shared" si="16"/>
        <v>1.67</v>
      </c>
      <c r="Y24" s="176">
        <f t="shared" si="14"/>
        <v>1.53</v>
      </c>
      <c r="Z24" s="283">
        <f t="shared" si="15"/>
        <v>2.401794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4.0</v>
      </c>
      <c r="B25" s="154" t="s">
        <v>58</v>
      </c>
      <c r="C25" s="191">
        <v>94.0</v>
      </c>
      <c r="D25" s="191">
        <v>167.0</v>
      </c>
      <c r="E25" s="191">
        <v>153.0</v>
      </c>
      <c r="F25" s="191">
        <f t="shared" si="5"/>
        <v>0</v>
      </c>
      <c r="G25" s="191">
        <f t="shared" si="6"/>
        <v>70.852923</v>
      </c>
      <c r="H25" s="192">
        <f t="shared" si="7"/>
        <v>70.852923</v>
      </c>
      <c r="I25" s="191">
        <v>1.0</v>
      </c>
      <c r="J25" s="194">
        <f t="shared" si="8"/>
        <v>70.852923</v>
      </c>
      <c r="K25" s="139"/>
      <c r="L25" s="176">
        <f t="shared" si="17"/>
        <v>4.2418</v>
      </c>
      <c r="M25" s="160">
        <f t="shared" si="18"/>
        <v>1</v>
      </c>
      <c r="N25" s="160">
        <f t="shared" si="19"/>
        <v>4.2418</v>
      </c>
      <c r="O25" s="139"/>
      <c r="P25" s="139"/>
      <c r="Q25" s="176">
        <v>73.0</v>
      </c>
      <c r="R25" s="281">
        <v>29.5</v>
      </c>
      <c r="S25" s="176">
        <f t="shared" si="9"/>
        <v>1.53</v>
      </c>
      <c r="T25" s="160">
        <f t="shared" si="10"/>
        <v>1</v>
      </c>
      <c r="U25" s="160">
        <f t="shared" si="11"/>
        <v>1.53</v>
      </c>
      <c r="V25" s="282">
        <f t="shared" si="12"/>
        <v>70.852923</v>
      </c>
      <c r="W25" s="176">
        <f t="shared" ref="W25:X25" si="20">C25/100</f>
        <v>0.94</v>
      </c>
      <c r="X25" s="176">
        <f t="shared" si="20"/>
        <v>1.67</v>
      </c>
      <c r="Y25" s="176">
        <f t="shared" si="14"/>
        <v>1.53</v>
      </c>
      <c r="Z25" s="283">
        <f t="shared" si="15"/>
        <v>2.401794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5.0</v>
      </c>
      <c r="B26" s="154" t="s">
        <v>58</v>
      </c>
      <c r="C26" s="191">
        <v>94.0</v>
      </c>
      <c r="D26" s="191">
        <v>167.0</v>
      </c>
      <c r="E26" s="191">
        <v>153.0</v>
      </c>
      <c r="F26" s="191">
        <f t="shared" si="5"/>
        <v>0</v>
      </c>
      <c r="G26" s="191">
        <f t="shared" si="6"/>
        <v>70.852923</v>
      </c>
      <c r="H26" s="192">
        <f t="shared" si="7"/>
        <v>70.852923</v>
      </c>
      <c r="I26" s="191">
        <v>1.0</v>
      </c>
      <c r="J26" s="194">
        <f t="shared" si="8"/>
        <v>70.852923</v>
      </c>
      <c r="K26" s="139"/>
      <c r="L26" s="176">
        <f t="shared" si="17"/>
        <v>4.2418</v>
      </c>
      <c r="M26" s="160">
        <f t="shared" si="18"/>
        <v>1</v>
      </c>
      <c r="N26" s="160">
        <f t="shared" si="19"/>
        <v>4.2418</v>
      </c>
      <c r="O26" s="139"/>
      <c r="P26" s="139"/>
      <c r="Q26" s="176">
        <v>73.0</v>
      </c>
      <c r="R26" s="281">
        <v>29.5</v>
      </c>
      <c r="S26" s="176">
        <f t="shared" si="9"/>
        <v>1.53</v>
      </c>
      <c r="T26" s="160">
        <f t="shared" si="10"/>
        <v>1</v>
      </c>
      <c r="U26" s="160">
        <f t="shared" si="11"/>
        <v>1.53</v>
      </c>
      <c r="V26" s="282">
        <f t="shared" si="12"/>
        <v>70.852923</v>
      </c>
      <c r="W26" s="176">
        <f t="shared" ref="W26:X26" si="21">C26/100</f>
        <v>0.94</v>
      </c>
      <c r="X26" s="176">
        <f t="shared" si="21"/>
        <v>1.67</v>
      </c>
      <c r="Y26" s="176">
        <f t="shared" si="14"/>
        <v>1.53</v>
      </c>
      <c r="Z26" s="283">
        <f t="shared" si="15"/>
        <v>2.401794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6.0</v>
      </c>
      <c r="B27" s="154" t="s">
        <v>58</v>
      </c>
      <c r="C27" s="191">
        <v>94.0</v>
      </c>
      <c r="D27" s="191">
        <v>167.0</v>
      </c>
      <c r="E27" s="191">
        <v>153.0</v>
      </c>
      <c r="F27" s="191">
        <f t="shared" si="5"/>
        <v>0</v>
      </c>
      <c r="G27" s="191">
        <f t="shared" si="6"/>
        <v>70.852923</v>
      </c>
      <c r="H27" s="192">
        <f t="shared" si="7"/>
        <v>70.852923</v>
      </c>
      <c r="I27" s="191">
        <v>7.0</v>
      </c>
      <c r="J27" s="194">
        <f t="shared" si="8"/>
        <v>495.970461</v>
      </c>
      <c r="K27" s="139"/>
      <c r="L27" s="176">
        <f t="shared" si="17"/>
        <v>4.2418</v>
      </c>
      <c r="M27" s="160">
        <f t="shared" si="18"/>
        <v>7</v>
      </c>
      <c r="N27" s="160">
        <f t="shared" si="19"/>
        <v>29.6926</v>
      </c>
      <c r="O27" s="139"/>
      <c r="P27" s="139"/>
      <c r="Q27" s="176"/>
      <c r="R27" s="281">
        <v>29.5</v>
      </c>
      <c r="S27" s="176">
        <f t="shared" si="9"/>
        <v>1.53</v>
      </c>
      <c r="T27" s="160">
        <f t="shared" si="10"/>
        <v>7</v>
      </c>
      <c r="U27" s="160">
        <f t="shared" si="11"/>
        <v>10.71</v>
      </c>
      <c r="V27" s="282">
        <f t="shared" si="12"/>
        <v>70.852923</v>
      </c>
      <c r="W27" s="176">
        <f t="shared" ref="W27:X27" si="22">C27/100</f>
        <v>0.94</v>
      </c>
      <c r="X27" s="176">
        <f t="shared" si="22"/>
        <v>1.67</v>
      </c>
      <c r="Y27" s="176">
        <f t="shared" si="14"/>
        <v>10.71</v>
      </c>
      <c r="Z27" s="283">
        <f t="shared" si="15"/>
        <v>16.812558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7.0</v>
      </c>
      <c r="B28" s="154" t="s">
        <v>58</v>
      </c>
      <c r="C28" s="191">
        <v>94.0</v>
      </c>
      <c r="D28" s="191">
        <v>167.0</v>
      </c>
      <c r="E28" s="191">
        <v>152.0</v>
      </c>
      <c r="F28" s="191">
        <f t="shared" si="5"/>
        <v>0</v>
      </c>
      <c r="G28" s="191">
        <f t="shared" si="6"/>
        <v>70.389832</v>
      </c>
      <c r="H28" s="192">
        <f t="shared" si="7"/>
        <v>70.389832</v>
      </c>
      <c r="I28" s="191">
        <v>3.0</v>
      </c>
      <c r="J28" s="194">
        <f t="shared" si="8"/>
        <v>211.169496</v>
      </c>
      <c r="K28" s="139"/>
      <c r="L28" s="176">
        <f t="shared" si="17"/>
        <v>4.2418</v>
      </c>
      <c r="M28" s="160">
        <f t="shared" si="18"/>
        <v>3</v>
      </c>
      <c r="N28" s="160">
        <f t="shared" si="19"/>
        <v>12.7254</v>
      </c>
      <c r="O28" s="139"/>
      <c r="P28" s="139"/>
      <c r="Q28" s="176"/>
      <c r="R28" s="281">
        <v>29.5</v>
      </c>
      <c r="S28" s="176">
        <f t="shared" si="9"/>
        <v>1.52</v>
      </c>
      <c r="T28" s="160">
        <f t="shared" si="10"/>
        <v>3</v>
      </c>
      <c r="U28" s="160">
        <f t="shared" si="11"/>
        <v>4.56</v>
      </c>
      <c r="V28" s="282">
        <f t="shared" si="12"/>
        <v>70.389832</v>
      </c>
      <c r="W28" s="176">
        <f t="shared" ref="W28:X28" si="23">C28/100</f>
        <v>0.94</v>
      </c>
      <c r="X28" s="176">
        <f t="shared" si="23"/>
        <v>1.67</v>
      </c>
      <c r="Y28" s="176">
        <f t="shared" si="14"/>
        <v>4.56</v>
      </c>
      <c r="Z28" s="283">
        <f t="shared" si="15"/>
        <v>7.158288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8.0</v>
      </c>
      <c r="B29" s="154" t="s">
        <v>58</v>
      </c>
      <c r="C29" s="191">
        <v>93.0</v>
      </c>
      <c r="D29" s="191">
        <v>167.0</v>
      </c>
      <c r="E29" s="191">
        <v>153.0</v>
      </c>
      <c r="F29" s="191">
        <f t="shared" si="5"/>
        <v>0</v>
      </c>
      <c r="G29" s="191">
        <f t="shared" si="6"/>
        <v>70.0991685</v>
      </c>
      <c r="H29" s="192">
        <f t="shared" si="7"/>
        <v>70.0991685</v>
      </c>
      <c r="I29" s="191">
        <v>9.0</v>
      </c>
      <c r="J29" s="194">
        <f t="shared" si="8"/>
        <v>630.8925165</v>
      </c>
      <c r="K29" s="139"/>
      <c r="L29" s="176">
        <f t="shared" si="17"/>
        <v>4.2418</v>
      </c>
      <c r="M29" s="160">
        <f t="shared" si="18"/>
        <v>9</v>
      </c>
      <c r="N29" s="160">
        <f t="shared" si="19"/>
        <v>38.1762</v>
      </c>
      <c r="O29" s="139"/>
      <c r="P29" s="139"/>
      <c r="Q29" s="176"/>
      <c r="R29" s="281">
        <v>29.5</v>
      </c>
      <c r="S29" s="176">
        <f t="shared" si="9"/>
        <v>1.53</v>
      </c>
      <c r="T29" s="160">
        <f t="shared" si="10"/>
        <v>9</v>
      </c>
      <c r="U29" s="160">
        <f t="shared" si="11"/>
        <v>13.77</v>
      </c>
      <c r="V29" s="282">
        <f t="shared" si="12"/>
        <v>70.0991685</v>
      </c>
      <c r="W29" s="176">
        <f t="shared" ref="W29:X29" si="24">C29/100</f>
        <v>0.93</v>
      </c>
      <c r="X29" s="176">
        <f t="shared" si="24"/>
        <v>1.67</v>
      </c>
      <c r="Y29" s="176">
        <f t="shared" si="14"/>
        <v>13.77</v>
      </c>
      <c r="Z29" s="283">
        <f t="shared" si="15"/>
        <v>21.386187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9.0</v>
      </c>
      <c r="B30" s="154" t="s">
        <v>58</v>
      </c>
      <c r="C30" s="191">
        <v>93.0</v>
      </c>
      <c r="D30" s="191">
        <v>167.0</v>
      </c>
      <c r="E30" s="191">
        <v>152.0</v>
      </c>
      <c r="F30" s="191">
        <f t="shared" si="5"/>
        <v>0</v>
      </c>
      <c r="G30" s="191">
        <f t="shared" si="6"/>
        <v>69.641004</v>
      </c>
      <c r="H30" s="192">
        <f t="shared" si="7"/>
        <v>69.641004</v>
      </c>
      <c r="I30" s="191">
        <v>4.0</v>
      </c>
      <c r="J30" s="194">
        <f t="shared" si="8"/>
        <v>278.564016</v>
      </c>
      <c r="K30" s="139"/>
      <c r="L30" s="176">
        <f t="shared" si="17"/>
        <v>4.2418</v>
      </c>
      <c r="M30" s="160">
        <f t="shared" si="18"/>
        <v>4</v>
      </c>
      <c r="N30" s="160">
        <f t="shared" si="19"/>
        <v>16.9672</v>
      </c>
      <c r="O30" s="139"/>
      <c r="P30" s="139"/>
      <c r="Q30" s="176"/>
      <c r="R30" s="281">
        <v>29.5</v>
      </c>
      <c r="S30" s="176">
        <f t="shared" si="9"/>
        <v>1.52</v>
      </c>
      <c r="T30" s="160">
        <f t="shared" si="10"/>
        <v>4</v>
      </c>
      <c r="U30" s="160">
        <f t="shared" si="11"/>
        <v>6.08</v>
      </c>
      <c r="V30" s="282">
        <f t="shared" si="12"/>
        <v>69.641004</v>
      </c>
      <c r="W30" s="176">
        <f t="shared" ref="W30:X30" si="25">C30/100</f>
        <v>0.93</v>
      </c>
      <c r="X30" s="176">
        <f t="shared" si="25"/>
        <v>1.67</v>
      </c>
      <c r="Y30" s="176">
        <f t="shared" si="14"/>
        <v>6.08</v>
      </c>
      <c r="Z30" s="283">
        <f t="shared" si="15"/>
        <v>9.442848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10.0</v>
      </c>
      <c r="B31" s="154" t="s">
        <v>58</v>
      </c>
      <c r="C31" s="191">
        <v>94.0</v>
      </c>
      <c r="D31" s="191">
        <v>167.0</v>
      </c>
      <c r="E31" s="191">
        <v>169.0</v>
      </c>
      <c r="F31" s="191">
        <f t="shared" si="5"/>
        <v>0</v>
      </c>
      <c r="G31" s="191">
        <f t="shared" si="6"/>
        <v>78.262379</v>
      </c>
      <c r="H31" s="192">
        <f t="shared" si="7"/>
        <v>78.262379</v>
      </c>
      <c r="I31" s="191">
        <v>1.0</v>
      </c>
      <c r="J31" s="194">
        <f t="shared" si="8"/>
        <v>78.262379</v>
      </c>
      <c r="K31" s="139"/>
      <c r="L31" s="176">
        <f t="shared" si="17"/>
        <v>4.2418</v>
      </c>
      <c r="M31" s="160">
        <f t="shared" si="18"/>
        <v>1</v>
      </c>
      <c r="N31" s="160">
        <f t="shared" si="19"/>
        <v>4.2418</v>
      </c>
      <c r="O31" s="139"/>
      <c r="P31" s="139"/>
      <c r="Q31" s="176">
        <v>80.0</v>
      </c>
      <c r="R31" s="281">
        <v>29.5</v>
      </c>
      <c r="S31" s="176">
        <f t="shared" si="9"/>
        <v>1.69</v>
      </c>
      <c r="T31" s="160">
        <f t="shared" si="10"/>
        <v>1</v>
      </c>
      <c r="U31" s="160">
        <f t="shared" si="11"/>
        <v>1.69</v>
      </c>
      <c r="V31" s="282">
        <f t="shared" si="12"/>
        <v>78.262379</v>
      </c>
      <c r="W31" s="176">
        <f t="shared" ref="W31:X31" si="26">C31/100</f>
        <v>0.94</v>
      </c>
      <c r="X31" s="176">
        <f t="shared" si="26"/>
        <v>1.67</v>
      </c>
      <c r="Y31" s="176">
        <f t="shared" si="14"/>
        <v>1.69</v>
      </c>
      <c r="Z31" s="283">
        <f t="shared" si="15"/>
        <v>2.652962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11.0</v>
      </c>
      <c r="B32" s="154" t="s">
        <v>58</v>
      </c>
      <c r="C32" s="191">
        <v>94.0</v>
      </c>
      <c r="D32" s="191">
        <v>167.0</v>
      </c>
      <c r="E32" s="191">
        <v>169.0</v>
      </c>
      <c r="F32" s="191">
        <f t="shared" si="5"/>
        <v>0</v>
      </c>
      <c r="G32" s="191">
        <f t="shared" si="6"/>
        <v>78.262379</v>
      </c>
      <c r="H32" s="192">
        <f t="shared" si="7"/>
        <v>78.262379</v>
      </c>
      <c r="I32" s="191">
        <v>8.0</v>
      </c>
      <c r="J32" s="194">
        <f t="shared" si="8"/>
        <v>626.099032</v>
      </c>
      <c r="K32" s="139"/>
      <c r="L32" s="176">
        <f t="shared" si="17"/>
        <v>4.2418</v>
      </c>
      <c r="M32" s="160">
        <f t="shared" si="18"/>
        <v>8</v>
      </c>
      <c r="N32" s="160">
        <f t="shared" si="19"/>
        <v>33.9344</v>
      </c>
      <c r="O32" s="139"/>
      <c r="P32" s="139"/>
      <c r="Q32" s="176"/>
      <c r="R32" s="281">
        <v>29.5</v>
      </c>
      <c r="S32" s="176">
        <f t="shared" si="9"/>
        <v>1.69</v>
      </c>
      <c r="T32" s="160">
        <f t="shared" si="10"/>
        <v>8</v>
      </c>
      <c r="U32" s="160">
        <f t="shared" si="11"/>
        <v>13.52</v>
      </c>
      <c r="V32" s="282">
        <f t="shared" si="12"/>
        <v>78.262379</v>
      </c>
      <c r="W32" s="176">
        <f t="shared" ref="W32:X32" si="27">C32/100</f>
        <v>0.94</v>
      </c>
      <c r="X32" s="176">
        <f t="shared" si="27"/>
        <v>1.67</v>
      </c>
      <c r="Y32" s="176">
        <f t="shared" si="14"/>
        <v>13.52</v>
      </c>
      <c r="Z32" s="283">
        <f t="shared" si="15"/>
        <v>21.223696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12.0</v>
      </c>
      <c r="B33" s="154" t="s">
        <v>58</v>
      </c>
      <c r="C33" s="191">
        <v>93.0</v>
      </c>
      <c r="D33" s="191">
        <v>167.0</v>
      </c>
      <c r="E33" s="191">
        <v>169.0</v>
      </c>
      <c r="F33" s="191">
        <f t="shared" si="5"/>
        <v>0</v>
      </c>
      <c r="G33" s="191">
        <f t="shared" si="6"/>
        <v>77.4298005</v>
      </c>
      <c r="H33" s="192">
        <f t="shared" si="7"/>
        <v>77.4298005</v>
      </c>
      <c r="I33" s="191">
        <v>14.0</v>
      </c>
      <c r="J33" s="194">
        <f t="shared" si="8"/>
        <v>1084.017207</v>
      </c>
      <c r="K33" s="139"/>
      <c r="L33" s="176">
        <f t="shared" si="17"/>
        <v>4.2418</v>
      </c>
      <c r="M33" s="160">
        <f t="shared" si="18"/>
        <v>14</v>
      </c>
      <c r="N33" s="160">
        <f t="shared" si="19"/>
        <v>59.3852</v>
      </c>
      <c r="O33" s="139"/>
      <c r="P33" s="139"/>
      <c r="Q33" s="176"/>
      <c r="R33" s="281">
        <v>29.5</v>
      </c>
      <c r="S33" s="176">
        <f t="shared" si="9"/>
        <v>1.69</v>
      </c>
      <c r="T33" s="160">
        <f t="shared" si="10"/>
        <v>14</v>
      </c>
      <c r="U33" s="160">
        <f t="shared" si="11"/>
        <v>23.66</v>
      </c>
      <c r="V33" s="282">
        <f t="shared" si="12"/>
        <v>77.4298005</v>
      </c>
      <c r="W33" s="176">
        <f t="shared" ref="W33:X33" si="28">C33/100</f>
        <v>0.93</v>
      </c>
      <c r="X33" s="176">
        <f t="shared" si="28"/>
        <v>1.67</v>
      </c>
      <c r="Y33" s="176">
        <f t="shared" si="14"/>
        <v>23.66</v>
      </c>
      <c r="Z33" s="283">
        <f t="shared" si="15"/>
        <v>36.746346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13.0</v>
      </c>
      <c r="B34" s="154" t="s">
        <v>58</v>
      </c>
      <c r="C34" s="191">
        <v>95.0</v>
      </c>
      <c r="D34" s="191">
        <v>167.0</v>
      </c>
      <c r="E34" s="191">
        <v>169.0</v>
      </c>
      <c r="F34" s="191">
        <f t="shared" si="5"/>
        <v>0</v>
      </c>
      <c r="G34" s="191">
        <f t="shared" si="6"/>
        <v>79.0949575</v>
      </c>
      <c r="H34" s="192">
        <f t="shared" si="7"/>
        <v>79.0949575</v>
      </c>
      <c r="I34" s="191">
        <v>3.0</v>
      </c>
      <c r="J34" s="194">
        <f t="shared" si="8"/>
        <v>237.2848725</v>
      </c>
      <c r="K34" s="139"/>
      <c r="L34" s="176">
        <f t="shared" si="17"/>
        <v>4.2418</v>
      </c>
      <c r="M34" s="160">
        <f t="shared" si="18"/>
        <v>3</v>
      </c>
      <c r="N34" s="160">
        <f t="shared" si="19"/>
        <v>12.7254</v>
      </c>
      <c r="O34" s="139"/>
      <c r="P34" s="139"/>
      <c r="Q34" s="176"/>
      <c r="R34" s="281">
        <v>29.5</v>
      </c>
      <c r="S34" s="176">
        <f t="shared" si="9"/>
        <v>1.69</v>
      </c>
      <c r="T34" s="160">
        <f t="shared" si="10"/>
        <v>3</v>
      </c>
      <c r="U34" s="160">
        <f t="shared" si="11"/>
        <v>5.07</v>
      </c>
      <c r="V34" s="282">
        <f t="shared" si="12"/>
        <v>79.0949575</v>
      </c>
      <c r="W34" s="176">
        <f t="shared" ref="W34:X34" si="29">C34/100</f>
        <v>0.95</v>
      </c>
      <c r="X34" s="176">
        <f t="shared" si="29"/>
        <v>1.67</v>
      </c>
      <c r="Y34" s="176">
        <f t="shared" si="14"/>
        <v>5.07</v>
      </c>
      <c r="Z34" s="283">
        <f t="shared" si="15"/>
        <v>8.043555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14.0</v>
      </c>
      <c r="B35" s="154" t="s">
        <v>58</v>
      </c>
      <c r="C35" s="191">
        <v>97.0</v>
      </c>
      <c r="D35" s="191">
        <v>167.0</v>
      </c>
      <c r="E35" s="191">
        <v>169.0</v>
      </c>
      <c r="F35" s="191">
        <f t="shared" si="5"/>
        <v>0</v>
      </c>
      <c r="G35" s="191">
        <f t="shared" si="6"/>
        <v>80.7601145</v>
      </c>
      <c r="H35" s="192">
        <f t="shared" si="7"/>
        <v>80.7601145</v>
      </c>
      <c r="I35" s="191">
        <v>2.0</v>
      </c>
      <c r="J35" s="194">
        <f t="shared" si="8"/>
        <v>161.520229</v>
      </c>
      <c r="K35" s="139"/>
      <c r="L35" s="176">
        <f t="shared" si="17"/>
        <v>4.2418</v>
      </c>
      <c r="M35" s="160">
        <f t="shared" si="18"/>
        <v>2</v>
      </c>
      <c r="N35" s="160">
        <f t="shared" si="19"/>
        <v>8.4836</v>
      </c>
      <c r="O35" s="139"/>
      <c r="P35" s="139"/>
      <c r="Q35" s="176"/>
      <c r="R35" s="281">
        <v>29.5</v>
      </c>
      <c r="S35" s="176">
        <f t="shared" si="9"/>
        <v>1.69</v>
      </c>
      <c r="T35" s="160">
        <f t="shared" si="10"/>
        <v>2</v>
      </c>
      <c r="U35" s="160">
        <f t="shared" si="11"/>
        <v>3.38</v>
      </c>
      <c r="V35" s="282">
        <f t="shared" si="12"/>
        <v>80.7601145</v>
      </c>
      <c r="W35" s="176">
        <f t="shared" ref="W35:X35" si="30">C35/100</f>
        <v>0.97</v>
      </c>
      <c r="X35" s="176">
        <f t="shared" si="30"/>
        <v>1.67</v>
      </c>
      <c r="Y35" s="176">
        <f t="shared" si="14"/>
        <v>3.38</v>
      </c>
      <c r="Z35" s="283">
        <f t="shared" si="15"/>
        <v>5.475262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15.0</v>
      </c>
      <c r="B36" s="154" t="s">
        <v>58</v>
      </c>
      <c r="C36" s="191">
        <v>89.0</v>
      </c>
      <c r="D36" s="191">
        <v>167.0</v>
      </c>
      <c r="E36" s="191">
        <v>169.0</v>
      </c>
      <c r="F36" s="191">
        <f t="shared" si="5"/>
        <v>0</v>
      </c>
      <c r="G36" s="191">
        <f t="shared" si="6"/>
        <v>74.0994865</v>
      </c>
      <c r="H36" s="192">
        <f t="shared" si="7"/>
        <v>74.0994865</v>
      </c>
      <c r="I36" s="191">
        <v>1.0</v>
      </c>
      <c r="J36" s="194">
        <f t="shared" si="8"/>
        <v>74.0994865</v>
      </c>
      <c r="K36" s="139"/>
      <c r="L36" s="176">
        <f t="shared" si="17"/>
        <v>4.2418</v>
      </c>
      <c r="M36" s="160">
        <f t="shared" si="18"/>
        <v>1</v>
      </c>
      <c r="N36" s="160">
        <f t="shared" si="19"/>
        <v>4.2418</v>
      </c>
      <c r="O36" s="139"/>
      <c r="P36" s="139"/>
      <c r="Q36" s="176"/>
      <c r="R36" s="281">
        <v>29.5</v>
      </c>
      <c r="S36" s="176">
        <f t="shared" si="9"/>
        <v>1.69</v>
      </c>
      <c r="T36" s="160">
        <f t="shared" si="10"/>
        <v>1</v>
      </c>
      <c r="U36" s="160">
        <f t="shared" si="11"/>
        <v>1.69</v>
      </c>
      <c r="V36" s="282">
        <f t="shared" si="12"/>
        <v>74.0994865</v>
      </c>
      <c r="W36" s="176">
        <f t="shared" ref="W36:X36" si="31">C36/100</f>
        <v>0.89</v>
      </c>
      <c r="X36" s="176">
        <f t="shared" si="31"/>
        <v>1.67</v>
      </c>
      <c r="Y36" s="176">
        <f t="shared" si="14"/>
        <v>1.69</v>
      </c>
      <c r="Z36" s="283">
        <f t="shared" si="15"/>
        <v>2.511847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16.0</v>
      </c>
      <c r="B37" s="154" t="s">
        <v>58</v>
      </c>
      <c r="C37" s="191">
        <v>87.0</v>
      </c>
      <c r="D37" s="191">
        <v>167.0</v>
      </c>
      <c r="E37" s="191">
        <v>169.0</v>
      </c>
      <c r="F37" s="191">
        <f t="shared" si="5"/>
        <v>0</v>
      </c>
      <c r="G37" s="191">
        <f t="shared" si="6"/>
        <v>72.4343295</v>
      </c>
      <c r="H37" s="192">
        <f t="shared" si="7"/>
        <v>72.4343295</v>
      </c>
      <c r="I37" s="191">
        <v>1.0</v>
      </c>
      <c r="J37" s="194">
        <f t="shared" si="8"/>
        <v>72.4343295</v>
      </c>
      <c r="K37" s="139"/>
      <c r="L37" s="176">
        <f t="shared" si="17"/>
        <v>4.2418</v>
      </c>
      <c r="M37" s="160">
        <f t="shared" si="18"/>
        <v>1</v>
      </c>
      <c r="N37" s="160">
        <f t="shared" si="19"/>
        <v>4.2418</v>
      </c>
      <c r="O37" s="139"/>
      <c r="P37" s="139"/>
      <c r="Q37" s="176"/>
      <c r="R37" s="281">
        <v>29.5</v>
      </c>
      <c r="S37" s="176">
        <f t="shared" si="9"/>
        <v>1.69</v>
      </c>
      <c r="T37" s="160">
        <f t="shared" si="10"/>
        <v>1</v>
      </c>
      <c r="U37" s="160">
        <f t="shared" si="11"/>
        <v>1.69</v>
      </c>
      <c r="V37" s="282">
        <f t="shared" si="12"/>
        <v>72.4343295</v>
      </c>
      <c r="W37" s="176">
        <f t="shared" ref="W37:X37" si="32">C37/100</f>
        <v>0.87</v>
      </c>
      <c r="X37" s="176">
        <f t="shared" si="32"/>
        <v>1.67</v>
      </c>
      <c r="Y37" s="176">
        <f t="shared" si="14"/>
        <v>1.69</v>
      </c>
      <c r="Z37" s="283">
        <f t="shared" si="15"/>
        <v>2.455401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17.0</v>
      </c>
      <c r="B38" s="154" t="s">
        <v>58</v>
      </c>
      <c r="C38" s="191">
        <v>91.0</v>
      </c>
      <c r="D38" s="191">
        <v>167.0</v>
      </c>
      <c r="E38" s="191">
        <v>153.0</v>
      </c>
      <c r="F38" s="191">
        <f t="shared" si="5"/>
        <v>0</v>
      </c>
      <c r="G38" s="191">
        <f t="shared" si="6"/>
        <v>68.5916595</v>
      </c>
      <c r="H38" s="192">
        <f t="shared" si="7"/>
        <v>68.5916595</v>
      </c>
      <c r="I38" s="191">
        <v>1.0</v>
      </c>
      <c r="J38" s="194">
        <f t="shared" si="8"/>
        <v>68.5916595</v>
      </c>
      <c r="K38" s="139"/>
      <c r="L38" s="176">
        <f t="shared" si="17"/>
        <v>4.2418</v>
      </c>
      <c r="M38" s="160">
        <f t="shared" si="18"/>
        <v>1</v>
      </c>
      <c r="N38" s="160">
        <f t="shared" si="19"/>
        <v>4.2418</v>
      </c>
      <c r="O38" s="139"/>
      <c r="P38" s="139"/>
      <c r="Q38" s="176"/>
      <c r="R38" s="281">
        <v>29.5</v>
      </c>
      <c r="S38" s="176">
        <f t="shared" si="9"/>
        <v>1.53</v>
      </c>
      <c r="T38" s="160">
        <f t="shared" si="10"/>
        <v>1</v>
      </c>
      <c r="U38" s="160">
        <f t="shared" si="11"/>
        <v>1.53</v>
      </c>
      <c r="V38" s="282">
        <f t="shared" si="12"/>
        <v>68.5916595</v>
      </c>
      <c r="W38" s="176">
        <f t="shared" ref="W38:X38" si="33">C38/100</f>
        <v>0.91</v>
      </c>
      <c r="X38" s="176">
        <f t="shared" si="33"/>
        <v>1.67</v>
      </c>
      <c r="Y38" s="176">
        <f t="shared" si="14"/>
        <v>1.53</v>
      </c>
      <c r="Z38" s="283">
        <f t="shared" si="15"/>
        <v>2.325141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18.0</v>
      </c>
      <c r="B39" s="154" t="s">
        <v>58</v>
      </c>
      <c r="C39" s="191">
        <v>85.0</v>
      </c>
      <c r="D39" s="191">
        <v>167.0</v>
      </c>
      <c r="E39" s="191">
        <v>178.0</v>
      </c>
      <c r="F39" s="191">
        <f t="shared" si="5"/>
        <v>0</v>
      </c>
      <c r="G39" s="191">
        <f t="shared" si="6"/>
        <v>74.537945</v>
      </c>
      <c r="H39" s="192">
        <f t="shared" si="7"/>
        <v>74.537945</v>
      </c>
      <c r="I39" s="191">
        <v>1.0</v>
      </c>
      <c r="J39" s="194">
        <f t="shared" si="8"/>
        <v>74.537945</v>
      </c>
      <c r="K39" s="139"/>
      <c r="L39" s="176">
        <f t="shared" si="17"/>
        <v>4.2418</v>
      </c>
      <c r="M39" s="160">
        <f t="shared" si="18"/>
        <v>1</v>
      </c>
      <c r="N39" s="160">
        <f t="shared" si="19"/>
        <v>4.2418</v>
      </c>
      <c r="O39" s="139"/>
      <c r="P39" s="139"/>
      <c r="Q39" s="176"/>
      <c r="R39" s="281">
        <v>29.5</v>
      </c>
      <c r="S39" s="176">
        <f t="shared" si="9"/>
        <v>1.78</v>
      </c>
      <c r="T39" s="160">
        <f t="shared" si="10"/>
        <v>1</v>
      </c>
      <c r="U39" s="160">
        <f t="shared" si="11"/>
        <v>1.78</v>
      </c>
      <c r="V39" s="282">
        <f t="shared" si="12"/>
        <v>74.537945</v>
      </c>
      <c r="W39" s="176">
        <f t="shared" ref="W39:X39" si="34">C39/100</f>
        <v>0.85</v>
      </c>
      <c r="X39" s="176">
        <f t="shared" si="34"/>
        <v>1.67</v>
      </c>
      <c r="Y39" s="176">
        <f t="shared" si="14"/>
        <v>1.78</v>
      </c>
      <c r="Z39" s="283">
        <f t="shared" si="15"/>
        <v>2.52671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19.0</v>
      </c>
      <c r="B40" s="300" t="s">
        <v>166</v>
      </c>
      <c r="C40" s="183">
        <v>90.0</v>
      </c>
      <c r="D40" s="183">
        <v>206.0</v>
      </c>
      <c r="E40" s="183">
        <v>275.0</v>
      </c>
      <c r="F40" s="183">
        <f t="shared" si="5"/>
        <v>0.8</v>
      </c>
      <c r="G40" s="183">
        <f t="shared" si="6"/>
        <v>114.71625</v>
      </c>
      <c r="H40" s="184">
        <f t="shared" si="7"/>
        <v>91.773</v>
      </c>
      <c r="I40" s="183">
        <v>1.0</v>
      </c>
      <c r="J40" s="185">
        <f t="shared" si="8"/>
        <v>91.773</v>
      </c>
      <c r="K40" s="139"/>
      <c r="L40" s="176">
        <f t="shared" si="17"/>
        <v>5.2324</v>
      </c>
      <c r="M40" s="160">
        <f t="shared" si="18"/>
        <v>1</v>
      </c>
      <c r="N40" s="160">
        <f t="shared" si="19"/>
        <v>5.2324</v>
      </c>
      <c r="O40" s="139"/>
      <c r="P40" s="139"/>
      <c r="Q40" s="176">
        <v>138.0</v>
      </c>
      <c r="R40" s="281">
        <v>22.5</v>
      </c>
      <c r="S40" s="176">
        <f t="shared" si="9"/>
        <v>2.75</v>
      </c>
      <c r="T40" s="160">
        <f t="shared" si="10"/>
        <v>1</v>
      </c>
      <c r="U40" s="160">
        <f t="shared" si="11"/>
        <v>2.75</v>
      </c>
      <c r="V40" s="282">
        <f t="shared" si="12"/>
        <v>114.71625</v>
      </c>
      <c r="W40" s="176">
        <f t="shared" ref="W40:X40" si="35">C40/100</f>
        <v>0.9</v>
      </c>
      <c r="X40" s="176">
        <f t="shared" si="35"/>
        <v>2.06</v>
      </c>
      <c r="Y40" s="176">
        <f t="shared" si="14"/>
        <v>2.75</v>
      </c>
      <c r="Z40" s="283">
        <f t="shared" si="15"/>
        <v>5.0985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20.0</v>
      </c>
      <c r="B41" s="191" t="s">
        <v>158</v>
      </c>
      <c r="C41" s="191">
        <v>94.0</v>
      </c>
      <c r="D41" s="191">
        <v>206.0</v>
      </c>
      <c r="E41" s="191">
        <v>312.0</v>
      </c>
      <c r="F41" s="191">
        <f t="shared" si="5"/>
        <v>0</v>
      </c>
      <c r="G41" s="191">
        <f t="shared" si="6"/>
        <v>135.93528</v>
      </c>
      <c r="H41" s="192">
        <f t="shared" si="7"/>
        <v>135.93528</v>
      </c>
      <c r="I41" s="191">
        <v>1.0</v>
      </c>
      <c r="J41" s="194">
        <f t="shared" si="8"/>
        <v>135.93528</v>
      </c>
      <c r="K41" s="139"/>
      <c r="L41" s="176">
        <f t="shared" si="17"/>
        <v>5.2324</v>
      </c>
      <c r="M41" s="160">
        <f t="shared" si="18"/>
        <v>1</v>
      </c>
      <c r="N41" s="160">
        <f t="shared" si="19"/>
        <v>5.2324</v>
      </c>
      <c r="O41" s="139"/>
      <c r="P41" s="139"/>
      <c r="Q41" s="176"/>
      <c r="R41" s="281">
        <v>22.5</v>
      </c>
      <c r="S41" s="176">
        <f t="shared" si="9"/>
        <v>3.12</v>
      </c>
      <c r="T41" s="160">
        <f t="shared" si="10"/>
        <v>1</v>
      </c>
      <c r="U41" s="160">
        <f t="shared" si="11"/>
        <v>3.12</v>
      </c>
      <c r="V41" s="282">
        <f t="shared" si="12"/>
        <v>135.93528</v>
      </c>
      <c r="W41" s="176">
        <f t="shared" ref="W41:X41" si="36">C41/100</f>
        <v>0.94</v>
      </c>
      <c r="X41" s="176">
        <f t="shared" si="36"/>
        <v>2.06</v>
      </c>
      <c r="Y41" s="176">
        <f t="shared" si="14"/>
        <v>3.12</v>
      </c>
      <c r="Z41" s="283">
        <f t="shared" si="15"/>
        <v>6.041568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21.0</v>
      </c>
      <c r="B42" s="191" t="s">
        <v>158</v>
      </c>
      <c r="C42" s="191">
        <v>103.0</v>
      </c>
      <c r="D42" s="191">
        <v>206.0</v>
      </c>
      <c r="E42" s="191">
        <v>275.0</v>
      </c>
      <c r="F42" s="191">
        <f t="shared" si="5"/>
        <v>0</v>
      </c>
      <c r="G42" s="191">
        <f t="shared" si="6"/>
        <v>131.286375</v>
      </c>
      <c r="H42" s="192">
        <f t="shared" si="7"/>
        <v>131.286375</v>
      </c>
      <c r="I42" s="191">
        <v>1.0</v>
      </c>
      <c r="J42" s="194">
        <f t="shared" si="8"/>
        <v>131.286375</v>
      </c>
      <c r="K42" s="139"/>
      <c r="L42" s="176">
        <f t="shared" si="17"/>
        <v>5.2324</v>
      </c>
      <c r="M42" s="160">
        <f t="shared" si="18"/>
        <v>1</v>
      </c>
      <c r="N42" s="160">
        <f t="shared" si="19"/>
        <v>5.2324</v>
      </c>
      <c r="O42" s="139"/>
      <c r="P42" s="139"/>
      <c r="Q42" s="176"/>
      <c r="R42" s="281">
        <v>22.5</v>
      </c>
      <c r="S42" s="176">
        <f t="shared" si="9"/>
        <v>2.75</v>
      </c>
      <c r="T42" s="160">
        <f t="shared" si="10"/>
        <v>1</v>
      </c>
      <c r="U42" s="160">
        <f t="shared" si="11"/>
        <v>2.75</v>
      </c>
      <c r="V42" s="282">
        <f t="shared" si="12"/>
        <v>131.286375</v>
      </c>
      <c r="W42" s="176">
        <f t="shared" ref="W42:X42" si="37">C42/100</f>
        <v>1.03</v>
      </c>
      <c r="X42" s="176">
        <f t="shared" si="37"/>
        <v>2.06</v>
      </c>
      <c r="Y42" s="176">
        <f t="shared" si="14"/>
        <v>2.75</v>
      </c>
      <c r="Z42" s="283">
        <f t="shared" si="15"/>
        <v>5.83495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22.0</v>
      </c>
      <c r="B43" s="191" t="s">
        <v>158</v>
      </c>
      <c r="C43" s="191">
        <v>109.0</v>
      </c>
      <c r="D43" s="191">
        <v>206.0</v>
      </c>
      <c r="E43" s="191">
        <v>274.0</v>
      </c>
      <c r="F43" s="191">
        <f t="shared" si="5"/>
        <v>0</v>
      </c>
      <c r="G43" s="191">
        <f t="shared" si="6"/>
        <v>138.42891</v>
      </c>
      <c r="H43" s="192">
        <f t="shared" si="7"/>
        <v>138.42891</v>
      </c>
      <c r="I43" s="191">
        <v>1.0</v>
      </c>
      <c r="J43" s="194">
        <f t="shared" si="8"/>
        <v>138.42891</v>
      </c>
      <c r="K43" s="139"/>
      <c r="L43" s="176">
        <f t="shared" si="17"/>
        <v>5.2324</v>
      </c>
      <c r="M43" s="160">
        <f t="shared" si="18"/>
        <v>1</v>
      </c>
      <c r="N43" s="160">
        <f t="shared" si="19"/>
        <v>5.2324</v>
      </c>
      <c r="O43" s="139"/>
      <c r="P43" s="139"/>
      <c r="Q43" s="176"/>
      <c r="R43" s="281">
        <v>22.5</v>
      </c>
      <c r="S43" s="176">
        <f t="shared" si="9"/>
        <v>2.74</v>
      </c>
      <c r="T43" s="160">
        <f t="shared" si="10"/>
        <v>1</v>
      </c>
      <c r="U43" s="160">
        <f t="shared" si="11"/>
        <v>2.74</v>
      </c>
      <c r="V43" s="282">
        <f t="shared" si="12"/>
        <v>138.42891</v>
      </c>
      <c r="W43" s="176">
        <f t="shared" ref="W43:X43" si="38">C43/100</f>
        <v>1.09</v>
      </c>
      <c r="X43" s="176">
        <f t="shared" si="38"/>
        <v>2.06</v>
      </c>
      <c r="Y43" s="176">
        <f t="shared" si="14"/>
        <v>2.74</v>
      </c>
      <c r="Z43" s="283">
        <f t="shared" si="15"/>
        <v>6.152396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23.0</v>
      </c>
      <c r="B44" s="191" t="s">
        <v>158</v>
      </c>
      <c r="C44" s="191">
        <v>104.0</v>
      </c>
      <c r="D44" s="191">
        <v>206.0</v>
      </c>
      <c r="E44" s="191">
        <v>274.0</v>
      </c>
      <c r="F44" s="191">
        <f t="shared" si="5"/>
        <v>0</v>
      </c>
      <c r="G44" s="191">
        <f t="shared" si="6"/>
        <v>132.07896</v>
      </c>
      <c r="H44" s="192">
        <f t="shared" si="7"/>
        <v>132.07896</v>
      </c>
      <c r="I44" s="191">
        <v>1.0</v>
      </c>
      <c r="J44" s="194">
        <f t="shared" si="8"/>
        <v>132.07896</v>
      </c>
      <c r="K44" s="139"/>
      <c r="L44" s="176">
        <f t="shared" si="17"/>
        <v>5.2324</v>
      </c>
      <c r="M44" s="160">
        <f t="shared" si="18"/>
        <v>1</v>
      </c>
      <c r="N44" s="160">
        <f t="shared" si="19"/>
        <v>5.2324</v>
      </c>
      <c r="O44" s="139"/>
      <c r="P44" s="139"/>
      <c r="Q44" s="176"/>
      <c r="R44" s="281">
        <v>22.5</v>
      </c>
      <c r="S44" s="176">
        <f t="shared" si="9"/>
        <v>2.74</v>
      </c>
      <c r="T44" s="160">
        <f t="shared" si="10"/>
        <v>1</v>
      </c>
      <c r="U44" s="160">
        <f t="shared" si="11"/>
        <v>2.74</v>
      </c>
      <c r="V44" s="282">
        <f t="shared" si="12"/>
        <v>132.07896</v>
      </c>
      <c r="W44" s="176">
        <f t="shared" ref="W44:X44" si="39">C44/100</f>
        <v>1.04</v>
      </c>
      <c r="X44" s="176">
        <f t="shared" si="39"/>
        <v>2.06</v>
      </c>
      <c r="Y44" s="176">
        <f t="shared" si="14"/>
        <v>2.74</v>
      </c>
      <c r="Z44" s="283">
        <f t="shared" si="15"/>
        <v>5.870176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24.0</v>
      </c>
      <c r="B45" s="191" t="s">
        <v>158</v>
      </c>
      <c r="C45" s="191">
        <v>105.0</v>
      </c>
      <c r="D45" s="191">
        <v>206.0</v>
      </c>
      <c r="E45" s="191">
        <v>275.0</v>
      </c>
      <c r="F45" s="191">
        <f t="shared" si="5"/>
        <v>0</v>
      </c>
      <c r="G45" s="191">
        <f t="shared" si="6"/>
        <v>133.835625</v>
      </c>
      <c r="H45" s="192">
        <f t="shared" si="7"/>
        <v>133.835625</v>
      </c>
      <c r="I45" s="191">
        <v>3.0</v>
      </c>
      <c r="J45" s="194">
        <f t="shared" si="8"/>
        <v>401.506875</v>
      </c>
      <c r="K45" s="139"/>
      <c r="L45" s="176">
        <f t="shared" si="17"/>
        <v>5.2324</v>
      </c>
      <c r="M45" s="160">
        <f t="shared" si="18"/>
        <v>3</v>
      </c>
      <c r="N45" s="160">
        <f t="shared" si="19"/>
        <v>15.6972</v>
      </c>
      <c r="O45" s="139"/>
      <c r="P45" s="139"/>
      <c r="Q45" s="176"/>
      <c r="R45" s="281">
        <v>22.5</v>
      </c>
      <c r="S45" s="176">
        <f t="shared" si="9"/>
        <v>2.75</v>
      </c>
      <c r="T45" s="160">
        <f t="shared" si="10"/>
        <v>3</v>
      </c>
      <c r="U45" s="160">
        <f t="shared" si="11"/>
        <v>8.25</v>
      </c>
      <c r="V45" s="282">
        <f t="shared" si="12"/>
        <v>133.835625</v>
      </c>
      <c r="W45" s="176">
        <f t="shared" ref="W45:X45" si="40">C45/100</f>
        <v>1.05</v>
      </c>
      <c r="X45" s="176">
        <f t="shared" si="40"/>
        <v>2.06</v>
      </c>
      <c r="Y45" s="176">
        <f t="shared" si="14"/>
        <v>8.25</v>
      </c>
      <c r="Z45" s="283">
        <f t="shared" si="15"/>
        <v>17.84475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25.0</v>
      </c>
      <c r="B46" s="191" t="s">
        <v>158</v>
      </c>
      <c r="C46" s="191">
        <v>102.0</v>
      </c>
      <c r="D46" s="191">
        <v>206.0</v>
      </c>
      <c r="E46" s="191">
        <v>274.0</v>
      </c>
      <c r="F46" s="191">
        <f t="shared" si="5"/>
        <v>0</v>
      </c>
      <c r="G46" s="191">
        <f t="shared" si="6"/>
        <v>129.53898</v>
      </c>
      <c r="H46" s="192">
        <f t="shared" si="7"/>
        <v>129.53898</v>
      </c>
      <c r="I46" s="191">
        <v>1.0</v>
      </c>
      <c r="J46" s="194">
        <f t="shared" si="8"/>
        <v>129.53898</v>
      </c>
      <c r="K46" s="139"/>
      <c r="L46" s="176">
        <f t="shared" si="17"/>
        <v>5.2324</v>
      </c>
      <c r="M46" s="160">
        <f t="shared" si="18"/>
        <v>1</v>
      </c>
      <c r="N46" s="160">
        <f t="shared" si="19"/>
        <v>5.2324</v>
      </c>
      <c r="O46" s="139"/>
      <c r="P46" s="139"/>
      <c r="Q46" s="176">
        <v>129.0</v>
      </c>
      <c r="R46" s="281">
        <v>22.5</v>
      </c>
      <c r="S46" s="176">
        <f t="shared" si="9"/>
        <v>2.74</v>
      </c>
      <c r="T46" s="160">
        <f t="shared" si="10"/>
        <v>1</v>
      </c>
      <c r="U46" s="160">
        <f t="shared" si="11"/>
        <v>2.74</v>
      </c>
      <c r="V46" s="282">
        <f t="shared" si="12"/>
        <v>129.53898</v>
      </c>
      <c r="W46" s="176">
        <f t="shared" ref="W46:X46" si="41">C46/100</f>
        <v>1.02</v>
      </c>
      <c r="X46" s="176">
        <f t="shared" si="41"/>
        <v>2.06</v>
      </c>
      <c r="Y46" s="176">
        <f t="shared" si="14"/>
        <v>2.74</v>
      </c>
      <c r="Z46" s="283">
        <f t="shared" si="15"/>
        <v>5.757288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26.0</v>
      </c>
      <c r="B47" s="191" t="s">
        <v>158</v>
      </c>
      <c r="C47" s="191">
        <v>102.0</v>
      </c>
      <c r="D47" s="191">
        <v>206.0</v>
      </c>
      <c r="E47" s="191">
        <v>274.0</v>
      </c>
      <c r="F47" s="191">
        <f t="shared" si="5"/>
        <v>0</v>
      </c>
      <c r="G47" s="191">
        <f t="shared" si="6"/>
        <v>129.53898</v>
      </c>
      <c r="H47" s="192">
        <f t="shared" si="7"/>
        <v>129.53898</v>
      </c>
      <c r="I47" s="191">
        <v>1.0</v>
      </c>
      <c r="J47" s="194">
        <f t="shared" si="8"/>
        <v>129.53898</v>
      </c>
      <c r="K47" s="139"/>
      <c r="L47" s="197"/>
      <c r="M47" s="198">
        <f t="shared" si="18"/>
        <v>1</v>
      </c>
      <c r="N47" s="198"/>
      <c r="O47" s="139"/>
      <c r="P47" s="139"/>
      <c r="Q47" s="176"/>
      <c r="R47" s="281">
        <v>22.5</v>
      </c>
      <c r="S47" s="176">
        <f t="shared" si="9"/>
        <v>2.74</v>
      </c>
      <c r="T47" s="160">
        <f t="shared" si="10"/>
        <v>1</v>
      </c>
      <c r="U47" s="160">
        <f t="shared" si="11"/>
        <v>2.74</v>
      </c>
      <c r="V47" s="282">
        <f t="shared" si="12"/>
        <v>129.53898</v>
      </c>
      <c r="W47" s="176">
        <f t="shared" ref="W47:X47" si="42">C47/100</f>
        <v>1.02</v>
      </c>
      <c r="X47" s="176">
        <f t="shared" si="42"/>
        <v>2.06</v>
      </c>
      <c r="Y47" s="176">
        <f t="shared" si="14"/>
        <v>2.74</v>
      </c>
      <c r="Z47" s="283">
        <f t="shared" si="15"/>
        <v>5.757288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27.0</v>
      </c>
      <c r="B48" s="191" t="s">
        <v>158</v>
      </c>
      <c r="C48" s="191">
        <v>108.0</v>
      </c>
      <c r="D48" s="191">
        <v>206.0</v>
      </c>
      <c r="E48" s="191">
        <v>275.0</v>
      </c>
      <c r="F48" s="191">
        <f t="shared" si="5"/>
        <v>0</v>
      </c>
      <c r="G48" s="191">
        <f t="shared" si="6"/>
        <v>137.6595</v>
      </c>
      <c r="H48" s="192">
        <f t="shared" si="7"/>
        <v>137.6595</v>
      </c>
      <c r="I48" s="191">
        <v>1.0</v>
      </c>
      <c r="J48" s="194">
        <f t="shared" si="8"/>
        <v>137.6595</v>
      </c>
      <c r="K48" s="139"/>
      <c r="L48" s="197"/>
      <c r="M48" s="198">
        <f t="shared" si="18"/>
        <v>1</v>
      </c>
      <c r="N48" s="198"/>
      <c r="O48" s="139"/>
      <c r="P48" s="139"/>
      <c r="Q48" s="176">
        <v>141.0</v>
      </c>
      <c r="R48" s="281">
        <v>22.5</v>
      </c>
      <c r="S48" s="176">
        <f t="shared" si="9"/>
        <v>2.75</v>
      </c>
      <c r="T48" s="160">
        <f t="shared" si="10"/>
        <v>1</v>
      </c>
      <c r="U48" s="160">
        <f t="shared" si="11"/>
        <v>2.75</v>
      </c>
      <c r="V48" s="282">
        <f t="shared" si="12"/>
        <v>137.6595</v>
      </c>
      <c r="W48" s="176">
        <f t="shared" ref="W48:X48" si="43">C48/100</f>
        <v>1.08</v>
      </c>
      <c r="X48" s="176">
        <f t="shared" si="43"/>
        <v>2.06</v>
      </c>
      <c r="Y48" s="176">
        <f t="shared" si="14"/>
        <v>2.75</v>
      </c>
      <c r="Z48" s="283">
        <f t="shared" si="15"/>
        <v>6.1182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28.0</v>
      </c>
      <c r="B49" s="191" t="s">
        <v>158</v>
      </c>
      <c r="C49" s="191">
        <v>108.0</v>
      </c>
      <c r="D49" s="191">
        <v>206.0</v>
      </c>
      <c r="E49" s="191">
        <v>275.0</v>
      </c>
      <c r="F49" s="191">
        <f t="shared" si="5"/>
        <v>0</v>
      </c>
      <c r="G49" s="191">
        <f t="shared" si="6"/>
        <v>137.6595</v>
      </c>
      <c r="H49" s="192">
        <f t="shared" si="7"/>
        <v>137.6595</v>
      </c>
      <c r="I49" s="191">
        <v>2.0</v>
      </c>
      <c r="J49" s="194">
        <f t="shared" si="8"/>
        <v>275.319</v>
      </c>
      <c r="K49" s="139"/>
      <c r="L49" s="197"/>
      <c r="M49" s="198">
        <f t="shared" si="18"/>
        <v>2</v>
      </c>
      <c r="N49" s="198"/>
      <c r="O49" s="139"/>
      <c r="P49" s="139"/>
      <c r="Q49" s="176"/>
      <c r="R49" s="281">
        <v>22.5</v>
      </c>
      <c r="S49" s="176">
        <f t="shared" si="9"/>
        <v>2.75</v>
      </c>
      <c r="T49" s="160">
        <f t="shared" si="10"/>
        <v>2</v>
      </c>
      <c r="U49" s="160">
        <f t="shared" si="11"/>
        <v>5.5</v>
      </c>
      <c r="V49" s="282">
        <f t="shared" si="12"/>
        <v>137.6595</v>
      </c>
      <c r="W49" s="176">
        <f t="shared" ref="W49:X49" si="44">C49/100</f>
        <v>1.08</v>
      </c>
      <c r="X49" s="176">
        <f t="shared" si="44"/>
        <v>2.06</v>
      </c>
      <c r="Y49" s="176">
        <f t="shared" si="14"/>
        <v>5.5</v>
      </c>
      <c r="Z49" s="283">
        <f t="shared" si="15"/>
        <v>12.2364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29.0</v>
      </c>
      <c r="B50" s="191" t="s">
        <v>158</v>
      </c>
      <c r="C50" s="191">
        <v>102.0</v>
      </c>
      <c r="D50" s="191">
        <v>206.0</v>
      </c>
      <c r="E50" s="191">
        <v>275.0</v>
      </c>
      <c r="F50" s="191">
        <f t="shared" si="5"/>
        <v>0</v>
      </c>
      <c r="G50" s="191">
        <f t="shared" si="6"/>
        <v>130.01175</v>
      </c>
      <c r="H50" s="192">
        <f t="shared" si="7"/>
        <v>130.01175</v>
      </c>
      <c r="I50" s="191">
        <v>7.0</v>
      </c>
      <c r="J50" s="194">
        <f t="shared" si="8"/>
        <v>910.08225</v>
      </c>
      <c r="K50" s="139"/>
      <c r="L50" s="197"/>
      <c r="M50" s="198">
        <f t="shared" si="18"/>
        <v>7</v>
      </c>
      <c r="N50" s="198"/>
      <c r="O50" s="139"/>
      <c r="P50" s="139"/>
      <c r="Q50" s="176"/>
      <c r="R50" s="281">
        <v>22.5</v>
      </c>
      <c r="S50" s="176">
        <f t="shared" si="9"/>
        <v>2.75</v>
      </c>
      <c r="T50" s="160">
        <f t="shared" si="10"/>
        <v>7</v>
      </c>
      <c r="U50" s="160">
        <f t="shared" si="11"/>
        <v>19.25</v>
      </c>
      <c r="V50" s="282">
        <f t="shared" si="12"/>
        <v>130.01175</v>
      </c>
      <c r="W50" s="176">
        <f t="shared" ref="W50:X50" si="45">C50/100</f>
        <v>1.02</v>
      </c>
      <c r="X50" s="176">
        <f t="shared" si="45"/>
        <v>2.06</v>
      </c>
      <c r="Y50" s="176">
        <f t="shared" si="14"/>
        <v>19.25</v>
      </c>
      <c r="Z50" s="283">
        <f t="shared" si="15"/>
        <v>40.4481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30.0</v>
      </c>
      <c r="B51" s="191" t="s">
        <v>158</v>
      </c>
      <c r="C51" s="191">
        <v>106.0</v>
      </c>
      <c r="D51" s="191">
        <v>206.0</v>
      </c>
      <c r="E51" s="191">
        <v>275.0</v>
      </c>
      <c r="F51" s="191">
        <f t="shared" si="5"/>
        <v>0</v>
      </c>
      <c r="G51" s="191">
        <f t="shared" si="6"/>
        <v>135.11025</v>
      </c>
      <c r="H51" s="192">
        <f t="shared" si="7"/>
        <v>135.11025</v>
      </c>
      <c r="I51" s="191">
        <v>1.0</v>
      </c>
      <c r="J51" s="194">
        <f t="shared" si="8"/>
        <v>135.11025</v>
      </c>
      <c r="K51" s="139"/>
      <c r="L51" s="197"/>
      <c r="M51" s="198">
        <f t="shared" si="18"/>
        <v>1</v>
      </c>
      <c r="N51" s="198"/>
      <c r="O51" s="139"/>
      <c r="P51" s="139"/>
      <c r="Q51" s="176">
        <v>141.0</v>
      </c>
      <c r="R51" s="281">
        <v>22.5</v>
      </c>
      <c r="S51" s="176">
        <f t="shared" si="9"/>
        <v>2.75</v>
      </c>
      <c r="T51" s="160">
        <f t="shared" si="10"/>
        <v>1</v>
      </c>
      <c r="U51" s="160">
        <f t="shared" si="11"/>
        <v>2.75</v>
      </c>
      <c r="V51" s="282">
        <f t="shared" si="12"/>
        <v>135.11025</v>
      </c>
      <c r="W51" s="176">
        <f t="shared" ref="W51:X51" si="46">C51/100</f>
        <v>1.06</v>
      </c>
      <c r="X51" s="176">
        <f t="shared" si="46"/>
        <v>2.06</v>
      </c>
      <c r="Y51" s="176">
        <f t="shared" si="14"/>
        <v>2.75</v>
      </c>
      <c r="Z51" s="283">
        <f t="shared" si="15"/>
        <v>6.0049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31.0</v>
      </c>
      <c r="B52" s="191" t="s">
        <v>158</v>
      </c>
      <c r="C52" s="191">
        <v>106.0</v>
      </c>
      <c r="D52" s="191">
        <v>206.0</v>
      </c>
      <c r="E52" s="191">
        <v>275.0</v>
      </c>
      <c r="F52" s="191">
        <f t="shared" si="5"/>
        <v>0</v>
      </c>
      <c r="G52" s="191">
        <f t="shared" si="6"/>
        <v>135.11025</v>
      </c>
      <c r="H52" s="192">
        <f t="shared" si="7"/>
        <v>135.11025</v>
      </c>
      <c r="I52" s="191">
        <v>1.0</v>
      </c>
      <c r="J52" s="194">
        <f t="shared" si="8"/>
        <v>135.11025</v>
      </c>
      <c r="K52" s="139"/>
      <c r="L52" s="197"/>
      <c r="M52" s="198">
        <f t="shared" si="18"/>
        <v>1</v>
      </c>
      <c r="N52" s="198"/>
      <c r="O52" s="139"/>
      <c r="P52" s="139"/>
      <c r="Q52" s="176">
        <v>136.0</v>
      </c>
      <c r="R52" s="281">
        <v>22.5</v>
      </c>
      <c r="S52" s="176">
        <f t="shared" si="9"/>
        <v>2.75</v>
      </c>
      <c r="T52" s="160">
        <f t="shared" si="10"/>
        <v>1</v>
      </c>
      <c r="U52" s="160">
        <f t="shared" si="11"/>
        <v>2.75</v>
      </c>
      <c r="V52" s="282">
        <f t="shared" si="12"/>
        <v>135.11025</v>
      </c>
      <c r="W52" s="176">
        <f t="shared" ref="W52:X52" si="47">C52/100</f>
        <v>1.06</v>
      </c>
      <c r="X52" s="176">
        <f t="shared" si="47"/>
        <v>2.06</v>
      </c>
      <c r="Y52" s="176">
        <f t="shared" si="14"/>
        <v>2.75</v>
      </c>
      <c r="Z52" s="283">
        <f t="shared" si="15"/>
        <v>6.0049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32.0</v>
      </c>
      <c r="B53" s="191" t="s">
        <v>158</v>
      </c>
      <c r="C53" s="191">
        <v>104.0</v>
      </c>
      <c r="D53" s="191">
        <v>206.0</v>
      </c>
      <c r="E53" s="191">
        <v>275.0</v>
      </c>
      <c r="F53" s="191">
        <f t="shared" si="5"/>
        <v>0</v>
      </c>
      <c r="G53" s="191">
        <f t="shared" si="6"/>
        <v>132.561</v>
      </c>
      <c r="H53" s="192">
        <f t="shared" si="7"/>
        <v>132.561</v>
      </c>
      <c r="I53" s="191">
        <v>1.0</v>
      </c>
      <c r="J53" s="194">
        <f t="shared" si="8"/>
        <v>132.561</v>
      </c>
      <c r="K53" s="139"/>
      <c r="L53" s="197"/>
      <c r="M53" s="198">
        <f t="shared" si="18"/>
        <v>1</v>
      </c>
      <c r="N53" s="198"/>
      <c r="O53" s="139"/>
      <c r="P53" s="139"/>
      <c r="Q53" s="176"/>
      <c r="R53" s="281">
        <v>22.5</v>
      </c>
      <c r="S53" s="176">
        <f t="shared" si="9"/>
        <v>2.75</v>
      </c>
      <c r="T53" s="160">
        <f t="shared" si="10"/>
        <v>1</v>
      </c>
      <c r="U53" s="160">
        <f t="shared" si="11"/>
        <v>2.75</v>
      </c>
      <c r="V53" s="282">
        <f t="shared" si="12"/>
        <v>132.561</v>
      </c>
      <c r="W53" s="176">
        <f t="shared" ref="W53:X53" si="48">C53/100</f>
        <v>1.04</v>
      </c>
      <c r="X53" s="176">
        <f t="shared" si="48"/>
        <v>2.06</v>
      </c>
      <c r="Y53" s="176">
        <f t="shared" si="14"/>
        <v>2.75</v>
      </c>
      <c r="Z53" s="283">
        <f t="shared" si="15"/>
        <v>5.8916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33.0</v>
      </c>
      <c r="B54" s="300" t="s">
        <v>114</v>
      </c>
      <c r="C54" s="183">
        <v>80.0</v>
      </c>
      <c r="D54" s="183">
        <v>205.0</v>
      </c>
      <c r="E54" s="183">
        <v>210.0</v>
      </c>
      <c r="F54" s="183">
        <f t="shared" si="5"/>
        <v>0.8</v>
      </c>
      <c r="G54" s="183">
        <f t="shared" si="6"/>
        <v>70.602</v>
      </c>
      <c r="H54" s="184">
        <f t="shared" si="7"/>
        <v>56.4816</v>
      </c>
      <c r="I54" s="183">
        <v>1.0</v>
      </c>
      <c r="J54" s="185">
        <f t="shared" si="8"/>
        <v>56.4816</v>
      </c>
      <c r="K54" s="286"/>
      <c r="L54" s="292"/>
      <c r="M54" s="293">
        <f t="shared" si="18"/>
        <v>1</v>
      </c>
      <c r="N54" s="293"/>
      <c r="O54" s="286"/>
      <c r="P54" s="286"/>
      <c r="Q54" s="176">
        <v>85.0</v>
      </c>
      <c r="R54" s="281">
        <v>20.5</v>
      </c>
      <c r="S54" s="176">
        <f t="shared" si="9"/>
        <v>2.1</v>
      </c>
      <c r="T54" s="160">
        <f t="shared" si="10"/>
        <v>1</v>
      </c>
      <c r="U54" s="160">
        <f t="shared" si="11"/>
        <v>2.1</v>
      </c>
      <c r="V54" s="282">
        <f t="shared" si="12"/>
        <v>70.602</v>
      </c>
      <c r="W54" s="176">
        <f t="shared" ref="W54:X54" si="49">C54/100</f>
        <v>0.8</v>
      </c>
      <c r="X54" s="176">
        <f t="shared" si="49"/>
        <v>2.05</v>
      </c>
      <c r="Y54" s="176">
        <f t="shared" si="14"/>
        <v>2.1</v>
      </c>
      <c r="Z54" s="283">
        <f t="shared" si="15"/>
        <v>3.444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34.0</v>
      </c>
      <c r="B55" s="191" t="s">
        <v>83</v>
      </c>
      <c r="C55" s="191">
        <v>103.0</v>
      </c>
      <c r="D55" s="191">
        <v>205.0</v>
      </c>
      <c r="E55" s="191">
        <v>210.0</v>
      </c>
      <c r="F55" s="191">
        <f t="shared" si="5"/>
        <v>0</v>
      </c>
      <c r="G55" s="191">
        <f t="shared" si="6"/>
        <v>90.900075</v>
      </c>
      <c r="H55" s="192">
        <f t="shared" si="7"/>
        <v>90.900075</v>
      </c>
      <c r="I55" s="191">
        <v>11.0</v>
      </c>
      <c r="J55" s="194">
        <f t="shared" si="8"/>
        <v>999.900825</v>
      </c>
      <c r="K55" s="139"/>
      <c r="L55" s="197"/>
      <c r="M55" s="198">
        <f t="shared" si="18"/>
        <v>11</v>
      </c>
      <c r="N55" s="198"/>
      <c r="O55" s="139"/>
      <c r="P55" s="139"/>
      <c r="Q55" s="176"/>
      <c r="R55" s="281">
        <v>20.5</v>
      </c>
      <c r="S55" s="176">
        <f t="shared" si="9"/>
        <v>2.1</v>
      </c>
      <c r="T55" s="160">
        <f t="shared" si="10"/>
        <v>11</v>
      </c>
      <c r="U55" s="160">
        <f t="shared" si="11"/>
        <v>23.1</v>
      </c>
      <c r="V55" s="282">
        <f t="shared" si="12"/>
        <v>90.900075</v>
      </c>
      <c r="W55" s="176">
        <f t="shared" ref="W55:X55" si="50">C55/100</f>
        <v>1.03</v>
      </c>
      <c r="X55" s="176">
        <f t="shared" si="50"/>
        <v>2.05</v>
      </c>
      <c r="Y55" s="176">
        <f t="shared" si="14"/>
        <v>23.1</v>
      </c>
      <c r="Z55" s="283">
        <f t="shared" si="15"/>
        <v>48.77565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35.0</v>
      </c>
      <c r="B56" s="191" t="s">
        <v>83</v>
      </c>
      <c r="C56" s="191">
        <v>96.0</v>
      </c>
      <c r="D56" s="191">
        <v>205.0</v>
      </c>
      <c r="E56" s="191">
        <v>220.0</v>
      </c>
      <c r="F56" s="191">
        <f t="shared" si="5"/>
        <v>0</v>
      </c>
      <c r="G56" s="191">
        <f t="shared" si="6"/>
        <v>88.7568</v>
      </c>
      <c r="H56" s="192">
        <f t="shared" si="7"/>
        <v>88.7568</v>
      </c>
      <c r="I56" s="191">
        <v>1.0</v>
      </c>
      <c r="J56" s="194">
        <f t="shared" si="8"/>
        <v>88.7568</v>
      </c>
      <c r="K56" s="139"/>
      <c r="L56" s="197"/>
      <c r="M56" s="198">
        <f t="shared" si="18"/>
        <v>1</v>
      </c>
      <c r="N56" s="198"/>
      <c r="O56" s="139"/>
      <c r="P56" s="139"/>
      <c r="Q56" s="176"/>
      <c r="R56" s="281">
        <v>20.5</v>
      </c>
      <c r="S56" s="176">
        <f t="shared" si="9"/>
        <v>2.2</v>
      </c>
      <c r="T56" s="160">
        <f t="shared" si="10"/>
        <v>1</v>
      </c>
      <c r="U56" s="160">
        <f t="shared" si="11"/>
        <v>2.2</v>
      </c>
      <c r="V56" s="282">
        <f t="shared" si="12"/>
        <v>88.7568</v>
      </c>
      <c r="W56" s="176">
        <f t="shared" ref="W56:X56" si="51">C56/100</f>
        <v>0.96</v>
      </c>
      <c r="X56" s="176">
        <f t="shared" si="51"/>
        <v>2.05</v>
      </c>
      <c r="Y56" s="176">
        <f t="shared" si="14"/>
        <v>2.2</v>
      </c>
      <c r="Z56" s="283">
        <f t="shared" si="15"/>
        <v>4.3296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36.0</v>
      </c>
      <c r="B57" s="191" t="s">
        <v>83</v>
      </c>
      <c r="C57" s="191">
        <v>98.0</v>
      </c>
      <c r="D57" s="191">
        <v>205.0</v>
      </c>
      <c r="E57" s="191">
        <v>210.0</v>
      </c>
      <c r="F57" s="191">
        <f t="shared" si="5"/>
        <v>0</v>
      </c>
      <c r="G57" s="191">
        <f t="shared" si="6"/>
        <v>86.48745</v>
      </c>
      <c r="H57" s="192">
        <f t="shared" si="7"/>
        <v>86.48745</v>
      </c>
      <c r="I57" s="191">
        <v>1.0</v>
      </c>
      <c r="J57" s="194">
        <f t="shared" si="8"/>
        <v>86.48745</v>
      </c>
      <c r="K57" s="139"/>
      <c r="L57" s="197"/>
      <c r="M57" s="198">
        <f t="shared" si="18"/>
        <v>1</v>
      </c>
      <c r="N57" s="198"/>
      <c r="O57" s="139"/>
      <c r="P57" s="139"/>
      <c r="Q57" s="176"/>
      <c r="R57" s="281">
        <v>20.5</v>
      </c>
      <c r="S57" s="176">
        <f t="shared" si="9"/>
        <v>2.1</v>
      </c>
      <c r="T57" s="160">
        <f t="shared" si="10"/>
        <v>1</v>
      </c>
      <c r="U57" s="160">
        <f t="shared" si="11"/>
        <v>2.1</v>
      </c>
      <c r="V57" s="282">
        <f t="shared" si="12"/>
        <v>86.48745</v>
      </c>
      <c r="W57" s="176">
        <f t="shared" ref="W57:X57" si="52">C57/100</f>
        <v>0.98</v>
      </c>
      <c r="X57" s="176">
        <f t="shared" si="52"/>
        <v>2.05</v>
      </c>
      <c r="Y57" s="176">
        <f t="shared" si="14"/>
        <v>2.1</v>
      </c>
      <c r="Z57" s="283">
        <f t="shared" si="15"/>
        <v>4.2189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37.0</v>
      </c>
      <c r="B58" s="191" t="s">
        <v>83</v>
      </c>
      <c r="C58" s="191">
        <v>97.0</v>
      </c>
      <c r="D58" s="191">
        <v>205.0</v>
      </c>
      <c r="E58" s="191">
        <v>210.0</v>
      </c>
      <c r="F58" s="191">
        <f t="shared" si="5"/>
        <v>0</v>
      </c>
      <c r="G58" s="191">
        <f t="shared" si="6"/>
        <v>85.604925</v>
      </c>
      <c r="H58" s="192">
        <f t="shared" si="7"/>
        <v>85.604925</v>
      </c>
      <c r="I58" s="191">
        <v>3.0</v>
      </c>
      <c r="J58" s="194">
        <f t="shared" si="8"/>
        <v>256.814775</v>
      </c>
      <c r="K58" s="139"/>
      <c r="L58" s="197"/>
      <c r="M58" s="198">
        <f t="shared" si="18"/>
        <v>3</v>
      </c>
      <c r="N58" s="198"/>
      <c r="O58" s="139"/>
      <c r="P58" s="139"/>
      <c r="Q58" s="176"/>
      <c r="R58" s="281">
        <v>20.5</v>
      </c>
      <c r="S58" s="176">
        <f t="shared" si="9"/>
        <v>2.1</v>
      </c>
      <c r="T58" s="160">
        <f t="shared" si="10"/>
        <v>3</v>
      </c>
      <c r="U58" s="160">
        <f t="shared" si="11"/>
        <v>6.3</v>
      </c>
      <c r="V58" s="282">
        <f t="shared" si="12"/>
        <v>85.604925</v>
      </c>
      <c r="W58" s="176">
        <f t="shared" ref="W58:X58" si="53">C58/100</f>
        <v>0.97</v>
      </c>
      <c r="X58" s="176">
        <f t="shared" si="53"/>
        <v>2.05</v>
      </c>
      <c r="Y58" s="176">
        <f t="shared" si="14"/>
        <v>6.3</v>
      </c>
      <c r="Z58" s="283">
        <f t="shared" si="15"/>
        <v>12.52755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38.0</v>
      </c>
      <c r="B59" s="191" t="s">
        <v>83</v>
      </c>
      <c r="C59" s="191">
        <v>102.0</v>
      </c>
      <c r="D59" s="191">
        <v>205.0</v>
      </c>
      <c r="E59" s="191">
        <v>210.0</v>
      </c>
      <c r="F59" s="191">
        <f t="shared" si="5"/>
        <v>0</v>
      </c>
      <c r="G59" s="191">
        <f t="shared" si="6"/>
        <v>90.01755</v>
      </c>
      <c r="H59" s="192">
        <f t="shared" si="7"/>
        <v>90.01755</v>
      </c>
      <c r="I59" s="191">
        <v>10.0</v>
      </c>
      <c r="J59" s="194">
        <f t="shared" si="8"/>
        <v>900.1755</v>
      </c>
      <c r="K59" s="139"/>
      <c r="L59" s="197"/>
      <c r="M59" s="198">
        <f t="shared" si="18"/>
        <v>10</v>
      </c>
      <c r="N59" s="198"/>
      <c r="O59" s="139"/>
      <c r="P59" s="139"/>
      <c r="Q59" s="176"/>
      <c r="R59" s="281">
        <v>20.5</v>
      </c>
      <c r="S59" s="176">
        <f t="shared" si="9"/>
        <v>2.1</v>
      </c>
      <c r="T59" s="160">
        <f t="shared" si="10"/>
        <v>10</v>
      </c>
      <c r="U59" s="160">
        <f t="shared" si="11"/>
        <v>21</v>
      </c>
      <c r="V59" s="282">
        <f t="shared" si="12"/>
        <v>90.01755</v>
      </c>
      <c r="W59" s="176">
        <f t="shared" ref="W59:X59" si="54">C59/100</f>
        <v>1.02</v>
      </c>
      <c r="X59" s="176">
        <f t="shared" si="54"/>
        <v>2.05</v>
      </c>
      <c r="Y59" s="176">
        <f t="shared" si="14"/>
        <v>21</v>
      </c>
      <c r="Z59" s="283">
        <f t="shared" si="15"/>
        <v>43.911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39.0</v>
      </c>
      <c r="B60" s="191" t="s">
        <v>83</v>
      </c>
      <c r="C60" s="191">
        <v>95.0</v>
      </c>
      <c r="D60" s="191">
        <v>205.0</v>
      </c>
      <c r="E60" s="191">
        <v>210.0</v>
      </c>
      <c r="F60" s="191">
        <f t="shared" si="5"/>
        <v>0</v>
      </c>
      <c r="G60" s="191">
        <f t="shared" si="6"/>
        <v>83.839875</v>
      </c>
      <c r="H60" s="192">
        <f t="shared" si="7"/>
        <v>83.839875</v>
      </c>
      <c r="I60" s="191">
        <v>1.0</v>
      </c>
      <c r="J60" s="194">
        <f t="shared" si="8"/>
        <v>83.839875</v>
      </c>
      <c r="K60" s="139"/>
      <c r="L60" s="197"/>
      <c r="M60" s="198">
        <f t="shared" si="18"/>
        <v>1</v>
      </c>
      <c r="N60" s="198"/>
      <c r="O60" s="139"/>
      <c r="P60" s="139"/>
      <c r="Q60" s="176"/>
      <c r="R60" s="281">
        <v>20.5</v>
      </c>
      <c r="S60" s="176">
        <f t="shared" si="9"/>
        <v>2.1</v>
      </c>
      <c r="T60" s="160">
        <f t="shared" si="10"/>
        <v>1</v>
      </c>
      <c r="U60" s="160">
        <f t="shared" si="11"/>
        <v>2.1</v>
      </c>
      <c r="V60" s="282">
        <f t="shared" si="12"/>
        <v>83.839875</v>
      </c>
      <c r="W60" s="176">
        <f t="shared" ref="W60:X60" si="55">C60/100</f>
        <v>0.95</v>
      </c>
      <c r="X60" s="176">
        <f t="shared" si="55"/>
        <v>2.05</v>
      </c>
      <c r="Y60" s="176">
        <f t="shared" si="14"/>
        <v>2.1</v>
      </c>
      <c r="Z60" s="283">
        <f t="shared" si="15"/>
        <v>4.08975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40.0</v>
      </c>
      <c r="B61" s="191" t="s">
        <v>83</v>
      </c>
      <c r="C61" s="191">
        <v>100.0</v>
      </c>
      <c r="D61" s="191">
        <v>205.0</v>
      </c>
      <c r="E61" s="191">
        <v>210.0</v>
      </c>
      <c r="F61" s="191">
        <f t="shared" si="5"/>
        <v>0</v>
      </c>
      <c r="G61" s="191">
        <f t="shared" si="6"/>
        <v>88.2525</v>
      </c>
      <c r="H61" s="192">
        <f t="shared" si="7"/>
        <v>88.2525</v>
      </c>
      <c r="I61" s="191">
        <v>1.0</v>
      </c>
      <c r="J61" s="194">
        <f t="shared" si="8"/>
        <v>88.2525</v>
      </c>
      <c r="K61" s="139"/>
      <c r="L61" s="197"/>
      <c r="M61" s="198">
        <f t="shared" si="18"/>
        <v>1</v>
      </c>
      <c r="N61" s="198"/>
      <c r="O61" s="139"/>
      <c r="P61" s="139"/>
      <c r="Q61" s="176"/>
      <c r="R61" s="281">
        <v>20.5</v>
      </c>
      <c r="S61" s="176">
        <f t="shared" si="9"/>
        <v>2.1</v>
      </c>
      <c r="T61" s="160">
        <f t="shared" si="10"/>
        <v>1</v>
      </c>
      <c r="U61" s="160">
        <f t="shared" si="11"/>
        <v>2.1</v>
      </c>
      <c r="V61" s="282">
        <f t="shared" si="12"/>
        <v>88.2525</v>
      </c>
      <c r="W61" s="176">
        <f t="shared" ref="W61:X61" si="56">C61/100</f>
        <v>1</v>
      </c>
      <c r="X61" s="176">
        <f t="shared" si="56"/>
        <v>2.05</v>
      </c>
      <c r="Y61" s="176">
        <f t="shared" si="14"/>
        <v>2.1</v>
      </c>
      <c r="Z61" s="283">
        <f t="shared" si="15"/>
        <v>4.305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41.0</v>
      </c>
      <c r="B62" s="191" t="s">
        <v>83</v>
      </c>
      <c r="C62" s="191">
        <v>101.0</v>
      </c>
      <c r="D62" s="191">
        <v>205.0</v>
      </c>
      <c r="E62" s="191">
        <v>210.0</v>
      </c>
      <c r="F62" s="191">
        <f t="shared" si="5"/>
        <v>0</v>
      </c>
      <c r="G62" s="191">
        <f t="shared" si="6"/>
        <v>89.135025</v>
      </c>
      <c r="H62" s="192">
        <f t="shared" si="7"/>
        <v>89.135025</v>
      </c>
      <c r="I62" s="191">
        <v>1.0</v>
      </c>
      <c r="J62" s="194">
        <f t="shared" si="8"/>
        <v>89.135025</v>
      </c>
      <c r="K62" s="139"/>
      <c r="L62" s="197"/>
      <c r="M62" s="198">
        <f t="shared" si="18"/>
        <v>1</v>
      </c>
      <c r="N62" s="198"/>
      <c r="O62" s="139"/>
      <c r="P62" s="139"/>
      <c r="Q62" s="176"/>
      <c r="R62" s="281">
        <v>20.5</v>
      </c>
      <c r="S62" s="176">
        <f t="shared" si="9"/>
        <v>2.1</v>
      </c>
      <c r="T62" s="160">
        <f t="shared" si="10"/>
        <v>1</v>
      </c>
      <c r="U62" s="160">
        <f t="shared" si="11"/>
        <v>2.1</v>
      </c>
      <c r="V62" s="282">
        <f t="shared" si="12"/>
        <v>89.135025</v>
      </c>
      <c r="W62" s="176">
        <f t="shared" ref="W62:X62" si="57">C62/100</f>
        <v>1.01</v>
      </c>
      <c r="X62" s="176">
        <f t="shared" si="57"/>
        <v>2.05</v>
      </c>
      <c r="Y62" s="176">
        <f t="shared" si="14"/>
        <v>2.1</v>
      </c>
      <c r="Z62" s="283">
        <f t="shared" si="15"/>
        <v>4.34805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42.0</v>
      </c>
      <c r="B63" s="191" t="s">
        <v>83</v>
      </c>
      <c r="C63" s="191">
        <v>104.0</v>
      </c>
      <c r="D63" s="191">
        <v>205.0</v>
      </c>
      <c r="E63" s="191">
        <v>210.0</v>
      </c>
      <c r="F63" s="191">
        <f t="shared" si="5"/>
        <v>0</v>
      </c>
      <c r="G63" s="191">
        <f t="shared" si="6"/>
        <v>91.7826</v>
      </c>
      <c r="H63" s="192">
        <f t="shared" si="7"/>
        <v>91.7826</v>
      </c>
      <c r="I63" s="191">
        <v>1.0</v>
      </c>
      <c r="J63" s="194">
        <f t="shared" si="8"/>
        <v>91.7826</v>
      </c>
      <c r="K63" s="139"/>
      <c r="L63" s="197"/>
      <c r="M63" s="198">
        <f t="shared" si="18"/>
        <v>1</v>
      </c>
      <c r="N63" s="198"/>
      <c r="O63" s="139"/>
      <c r="P63" s="139"/>
      <c r="Q63" s="176">
        <v>94.0</v>
      </c>
      <c r="R63" s="281">
        <v>20.5</v>
      </c>
      <c r="S63" s="176">
        <f t="shared" si="9"/>
        <v>2.1</v>
      </c>
      <c r="T63" s="160">
        <f t="shared" si="10"/>
        <v>1</v>
      </c>
      <c r="U63" s="160">
        <f t="shared" si="11"/>
        <v>2.1</v>
      </c>
      <c r="V63" s="282">
        <f t="shared" si="12"/>
        <v>91.7826</v>
      </c>
      <c r="W63" s="176">
        <f t="shared" ref="W63:X63" si="58">C63/100</f>
        <v>1.04</v>
      </c>
      <c r="X63" s="176">
        <f t="shared" si="58"/>
        <v>2.05</v>
      </c>
      <c r="Y63" s="176">
        <f t="shared" si="14"/>
        <v>2.1</v>
      </c>
      <c r="Z63" s="283">
        <f t="shared" si="15"/>
        <v>4.4772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43.0</v>
      </c>
      <c r="B64" s="191" t="s">
        <v>83</v>
      </c>
      <c r="C64" s="191">
        <v>104.0</v>
      </c>
      <c r="D64" s="191">
        <v>205.0</v>
      </c>
      <c r="E64" s="191">
        <v>210.0</v>
      </c>
      <c r="F64" s="191">
        <f t="shared" si="5"/>
        <v>0</v>
      </c>
      <c r="G64" s="191">
        <f t="shared" si="6"/>
        <v>91.7826</v>
      </c>
      <c r="H64" s="192">
        <f t="shared" si="7"/>
        <v>91.7826</v>
      </c>
      <c r="I64" s="191">
        <v>1.0</v>
      </c>
      <c r="J64" s="194">
        <f t="shared" si="8"/>
        <v>91.7826</v>
      </c>
      <c r="K64" s="139"/>
      <c r="L64" s="197"/>
      <c r="M64" s="198">
        <f t="shared" si="18"/>
        <v>1</v>
      </c>
      <c r="N64" s="198"/>
      <c r="O64" s="139"/>
      <c r="P64" s="139"/>
      <c r="Q64" s="176">
        <v>94.0</v>
      </c>
      <c r="R64" s="281">
        <v>20.5</v>
      </c>
      <c r="S64" s="176">
        <f t="shared" si="9"/>
        <v>2.1</v>
      </c>
      <c r="T64" s="160">
        <f t="shared" si="10"/>
        <v>1</v>
      </c>
      <c r="U64" s="160">
        <f t="shared" si="11"/>
        <v>2.1</v>
      </c>
      <c r="V64" s="282">
        <f t="shared" si="12"/>
        <v>91.7826</v>
      </c>
      <c r="W64" s="176">
        <f t="shared" ref="W64:X64" si="59">C64/100</f>
        <v>1.04</v>
      </c>
      <c r="X64" s="176">
        <f t="shared" si="59"/>
        <v>2.05</v>
      </c>
      <c r="Y64" s="176">
        <f t="shared" si="14"/>
        <v>2.1</v>
      </c>
      <c r="Z64" s="283">
        <f t="shared" si="15"/>
        <v>4.4772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44.0</v>
      </c>
      <c r="B65" s="191" t="s">
        <v>83</v>
      </c>
      <c r="C65" s="191">
        <v>104.0</v>
      </c>
      <c r="D65" s="191">
        <v>205.0</v>
      </c>
      <c r="E65" s="191">
        <v>210.0</v>
      </c>
      <c r="F65" s="191">
        <f t="shared" si="5"/>
        <v>0</v>
      </c>
      <c r="G65" s="191">
        <f t="shared" si="6"/>
        <v>91.7826</v>
      </c>
      <c r="H65" s="192">
        <f t="shared" si="7"/>
        <v>91.7826</v>
      </c>
      <c r="I65" s="191">
        <v>4.0</v>
      </c>
      <c r="J65" s="194">
        <f t="shared" si="8"/>
        <v>367.1304</v>
      </c>
      <c r="K65" s="139"/>
      <c r="L65" s="197"/>
      <c r="M65" s="198">
        <f t="shared" si="18"/>
        <v>4</v>
      </c>
      <c r="N65" s="198"/>
      <c r="O65" s="139"/>
      <c r="P65" s="139"/>
      <c r="Q65" s="176"/>
      <c r="R65" s="281">
        <v>20.5</v>
      </c>
      <c r="S65" s="176">
        <f t="shared" si="9"/>
        <v>2.1</v>
      </c>
      <c r="T65" s="160">
        <f t="shared" si="10"/>
        <v>4</v>
      </c>
      <c r="U65" s="160">
        <f t="shared" si="11"/>
        <v>8.4</v>
      </c>
      <c r="V65" s="282">
        <f t="shared" si="12"/>
        <v>91.7826</v>
      </c>
      <c r="W65" s="176">
        <f t="shared" ref="W65:X65" si="60">C65/100</f>
        <v>1.04</v>
      </c>
      <c r="X65" s="176">
        <f t="shared" si="60"/>
        <v>2.05</v>
      </c>
      <c r="Y65" s="176">
        <f t="shared" si="14"/>
        <v>8.4</v>
      </c>
      <c r="Z65" s="283">
        <f t="shared" si="15"/>
        <v>17.9088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45.0</v>
      </c>
      <c r="B66" s="191" t="s">
        <v>83</v>
      </c>
      <c r="C66" s="191">
        <v>106.0</v>
      </c>
      <c r="D66" s="191">
        <v>205.0</v>
      </c>
      <c r="E66" s="191">
        <v>210.0</v>
      </c>
      <c r="F66" s="191">
        <f t="shared" si="5"/>
        <v>0</v>
      </c>
      <c r="G66" s="191">
        <f t="shared" si="6"/>
        <v>93.54765</v>
      </c>
      <c r="H66" s="192">
        <f t="shared" si="7"/>
        <v>93.54765</v>
      </c>
      <c r="I66" s="191">
        <v>1.0</v>
      </c>
      <c r="J66" s="194">
        <f t="shared" si="8"/>
        <v>93.54765</v>
      </c>
      <c r="K66" s="139"/>
      <c r="L66" s="197"/>
      <c r="M66" s="198">
        <f t="shared" si="18"/>
        <v>1</v>
      </c>
      <c r="N66" s="198"/>
      <c r="O66" s="139"/>
      <c r="P66" s="139"/>
      <c r="Q66" s="176"/>
      <c r="R66" s="281">
        <v>20.5</v>
      </c>
      <c r="S66" s="176">
        <f t="shared" si="9"/>
        <v>2.1</v>
      </c>
      <c r="T66" s="160">
        <f t="shared" si="10"/>
        <v>1</v>
      </c>
      <c r="U66" s="160">
        <f t="shared" si="11"/>
        <v>2.1</v>
      </c>
      <c r="V66" s="282">
        <f t="shared" si="12"/>
        <v>93.54765</v>
      </c>
      <c r="W66" s="176">
        <f t="shared" ref="W66:X66" si="61">C66/100</f>
        <v>1.06</v>
      </c>
      <c r="X66" s="176">
        <f t="shared" si="61"/>
        <v>2.05</v>
      </c>
      <c r="Y66" s="176">
        <f t="shared" si="14"/>
        <v>2.1</v>
      </c>
      <c r="Z66" s="283">
        <f t="shared" si="15"/>
        <v>4.5633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46.0</v>
      </c>
      <c r="B67" s="301" t="s">
        <v>64</v>
      </c>
      <c r="C67" s="183">
        <v>96.0</v>
      </c>
      <c r="D67" s="183">
        <v>203.0</v>
      </c>
      <c r="E67" s="183">
        <v>233.0</v>
      </c>
      <c r="F67" s="183">
        <f t="shared" si="5"/>
        <v>0.8</v>
      </c>
      <c r="G67" s="183">
        <f t="shared" si="6"/>
        <v>133.950768</v>
      </c>
      <c r="H67" s="184">
        <f t="shared" si="7"/>
        <v>107.1606144</v>
      </c>
      <c r="I67" s="183">
        <v>1.0</v>
      </c>
      <c r="J67" s="185">
        <f t="shared" si="8"/>
        <v>107.1606144</v>
      </c>
      <c r="K67" s="139"/>
      <c r="L67" s="197"/>
      <c r="M67" s="198">
        <f t="shared" si="18"/>
        <v>1</v>
      </c>
      <c r="N67" s="198"/>
      <c r="O67" s="139"/>
      <c r="P67" s="139"/>
      <c r="Q67" s="176"/>
      <c r="R67" s="141">
        <v>29.5</v>
      </c>
      <c r="S67" s="176">
        <f t="shared" si="9"/>
        <v>2.33</v>
      </c>
      <c r="T67" s="160">
        <f t="shared" si="10"/>
        <v>1</v>
      </c>
      <c r="U67" s="160">
        <f t="shared" si="11"/>
        <v>2.33</v>
      </c>
      <c r="V67" s="282">
        <f t="shared" si="12"/>
        <v>133.950768</v>
      </c>
      <c r="W67" s="176">
        <f t="shared" ref="W67:X67" si="62">C67/100</f>
        <v>0.96</v>
      </c>
      <c r="X67" s="176">
        <f t="shared" si="62"/>
        <v>2.03</v>
      </c>
      <c r="Y67" s="176">
        <f t="shared" si="14"/>
        <v>2.33</v>
      </c>
      <c r="Z67" s="283">
        <f t="shared" si="15"/>
        <v>4.540704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47.0</v>
      </c>
      <c r="B68" s="191" t="s">
        <v>55</v>
      </c>
      <c r="C68" s="191">
        <v>98.0</v>
      </c>
      <c r="D68" s="191">
        <v>203.0</v>
      </c>
      <c r="E68" s="191">
        <v>233.0</v>
      </c>
      <c r="F68" s="191">
        <f t="shared" si="5"/>
        <v>0</v>
      </c>
      <c r="G68" s="191">
        <f t="shared" si="6"/>
        <v>136.741409</v>
      </c>
      <c r="H68" s="192">
        <f t="shared" si="7"/>
        <v>136.741409</v>
      </c>
      <c r="I68" s="191">
        <v>1.0</v>
      </c>
      <c r="J68" s="194">
        <f t="shared" si="8"/>
        <v>136.741409</v>
      </c>
      <c r="K68" s="139"/>
      <c r="L68" s="197"/>
      <c r="M68" s="198">
        <f t="shared" si="18"/>
        <v>1</v>
      </c>
      <c r="N68" s="198"/>
      <c r="O68" s="139"/>
      <c r="P68" s="139"/>
      <c r="Q68" s="176"/>
      <c r="R68" s="141">
        <v>29.5</v>
      </c>
      <c r="S68" s="176">
        <f t="shared" si="9"/>
        <v>2.33</v>
      </c>
      <c r="T68" s="160">
        <f t="shared" si="10"/>
        <v>1</v>
      </c>
      <c r="U68" s="160">
        <f t="shared" si="11"/>
        <v>2.33</v>
      </c>
      <c r="V68" s="282">
        <f t="shared" si="12"/>
        <v>136.741409</v>
      </c>
      <c r="W68" s="176">
        <f t="shared" ref="W68:X68" si="63">C68/100</f>
        <v>0.98</v>
      </c>
      <c r="X68" s="176">
        <f t="shared" si="63"/>
        <v>2.03</v>
      </c>
      <c r="Y68" s="176">
        <f t="shared" si="14"/>
        <v>2.33</v>
      </c>
      <c r="Z68" s="283">
        <f t="shared" si="15"/>
        <v>4.635302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48.0</v>
      </c>
      <c r="B69" s="191" t="s">
        <v>55</v>
      </c>
      <c r="C69" s="191">
        <v>98.0</v>
      </c>
      <c r="D69" s="191">
        <v>203.0</v>
      </c>
      <c r="E69" s="191">
        <v>232.0</v>
      </c>
      <c r="F69" s="191">
        <f t="shared" si="5"/>
        <v>0</v>
      </c>
      <c r="G69" s="191">
        <f t="shared" si="6"/>
        <v>136.154536</v>
      </c>
      <c r="H69" s="192">
        <f t="shared" si="7"/>
        <v>136.154536</v>
      </c>
      <c r="I69" s="191">
        <v>1.0</v>
      </c>
      <c r="J69" s="194">
        <f t="shared" si="8"/>
        <v>136.154536</v>
      </c>
      <c r="K69" s="139"/>
      <c r="L69" s="197"/>
      <c r="M69" s="198">
        <f t="shared" si="18"/>
        <v>1</v>
      </c>
      <c r="N69" s="198"/>
      <c r="O69" s="139"/>
      <c r="P69" s="139"/>
      <c r="Q69" s="176">
        <v>137.0</v>
      </c>
      <c r="R69" s="141">
        <v>29.5</v>
      </c>
      <c r="S69" s="176">
        <f t="shared" si="9"/>
        <v>2.32</v>
      </c>
      <c r="T69" s="160">
        <f t="shared" si="10"/>
        <v>1</v>
      </c>
      <c r="U69" s="160">
        <f t="shared" si="11"/>
        <v>2.32</v>
      </c>
      <c r="V69" s="282">
        <f t="shared" si="12"/>
        <v>136.154536</v>
      </c>
      <c r="W69" s="176">
        <f t="shared" ref="W69:X69" si="64">C69/100</f>
        <v>0.98</v>
      </c>
      <c r="X69" s="176">
        <f t="shared" si="64"/>
        <v>2.03</v>
      </c>
      <c r="Y69" s="176">
        <f t="shared" si="14"/>
        <v>2.32</v>
      </c>
      <c r="Z69" s="283">
        <f t="shared" si="15"/>
        <v>4.615408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49.0</v>
      </c>
      <c r="B70" s="191" t="s">
        <v>55</v>
      </c>
      <c r="C70" s="191">
        <v>98.0</v>
      </c>
      <c r="D70" s="191">
        <v>203.0</v>
      </c>
      <c r="E70" s="191">
        <v>232.0</v>
      </c>
      <c r="F70" s="191">
        <f t="shared" si="5"/>
        <v>0</v>
      </c>
      <c r="G70" s="191">
        <f t="shared" si="6"/>
        <v>136.154536</v>
      </c>
      <c r="H70" s="192">
        <f t="shared" si="7"/>
        <v>136.154536</v>
      </c>
      <c r="I70" s="191">
        <v>46.0</v>
      </c>
      <c r="J70" s="194">
        <f t="shared" si="8"/>
        <v>6263.108656</v>
      </c>
      <c r="K70" s="139"/>
      <c r="L70" s="197"/>
      <c r="M70" s="198">
        <f t="shared" si="18"/>
        <v>46</v>
      </c>
      <c r="N70" s="198"/>
      <c r="O70" s="139"/>
      <c r="P70" s="139"/>
      <c r="Q70" s="176"/>
      <c r="R70" s="141">
        <v>29.5</v>
      </c>
      <c r="S70" s="176">
        <f t="shared" si="9"/>
        <v>2.32</v>
      </c>
      <c r="T70" s="160">
        <f t="shared" si="10"/>
        <v>46</v>
      </c>
      <c r="U70" s="160">
        <f t="shared" si="11"/>
        <v>106.72</v>
      </c>
      <c r="V70" s="282">
        <f t="shared" si="12"/>
        <v>136.154536</v>
      </c>
      <c r="W70" s="176">
        <f t="shared" ref="W70:X70" si="65">C70/100</f>
        <v>0.98</v>
      </c>
      <c r="X70" s="176">
        <f t="shared" si="65"/>
        <v>2.03</v>
      </c>
      <c r="Y70" s="176">
        <f t="shared" si="14"/>
        <v>106.72</v>
      </c>
      <c r="Z70" s="283">
        <f t="shared" si="15"/>
        <v>212.308768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50.0</v>
      </c>
      <c r="B71" s="191" t="s">
        <v>55</v>
      </c>
      <c r="C71" s="191">
        <v>98.0</v>
      </c>
      <c r="D71" s="191">
        <v>203.0</v>
      </c>
      <c r="E71" s="191">
        <v>232.0</v>
      </c>
      <c r="F71" s="191">
        <f t="shared" si="5"/>
        <v>0</v>
      </c>
      <c r="G71" s="191">
        <f t="shared" si="6"/>
        <v>136.154536</v>
      </c>
      <c r="H71" s="192">
        <f t="shared" si="7"/>
        <v>136.154536</v>
      </c>
      <c r="I71" s="191">
        <v>1.0</v>
      </c>
      <c r="J71" s="194">
        <f t="shared" si="8"/>
        <v>136.154536</v>
      </c>
      <c r="K71" s="139"/>
      <c r="L71" s="197"/>
      <c r="M71" s="198">
        <f t="shared" si="18"/>
        <v>1</v>
      </c>
      <c r="N71" s="198"/>
      <c r="O71" s="139"/>
      <c r="P71" s="139"/>
      <c r="Q71" s="176">
        <v>134.0</v>
      </c>
      <c r="R71" s="141">
        <v>29.5</v>
      </c>
      <c r="S71" s="176">
        <f t="shared" si="9"/>
        <v>2.32</v>
      </c>
      <c r="T71" s="160">
        <f t="shared" si="10"/>
        <v>1</v>
      </c>
      <c r="U71" s="160">
        <f t="shared" si="11"/>
        <v>2.32</v>
      </c>
      <c r="V71" s="282">
        <f t="shared" si="12"/>
        <v>136.154536</v>
      </c>
      <c r="W71" s="176">
        <f t="shared" ref="W71:X71" si="66">C71/100</f>
        <v>0.98</v>
      </c>
      <c r="X71" s="176">
        <f t="shared" si="66"/>
        <v>2.03</v>
      </c>
      <c r="Y71" s="176">
        <f t="shared" si="14"/>
        <v>2.32</v>
      </c>
      <c r="Z71" s="283">
        <f t="shared" si="15"/>
        <v>4.615408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51.0</v>
      </c>
      <c r="B72" s="191" t="s">
        <v>55</v>
      </c>
      <c r="C72" s="191">
        <v>96.0</v>
      </c>
      <c r="D72" s="191">
        <v>203.0</v>
      </c>
      <c r="E72" s="191">
        <v>232.0</v>
      </c>
      <c r="F72" s="191">
        <f t="shared" si="5"/>
        <v>0</v>
      </c>
      <c r="G72" s="191">
        <f t="shared" si="6"/>
        <v>133.375872</v>
      </c>
      <c r="H72" s="192">
        <f t="shared" si="7"/>
        <v>133.375872</v>
      </c>
      <c r="I72" s="191">
        <v>3.0</v>
      </c>
      <c r="J72" s="194">
        <f t="shared" si="8"/>
        <v>400.127616</v>
      </c>
      <c r="K72" s="139"/>
      <c r="L72" s="197"/>
      <c r="M72" s="198">
        <f t="shared" si="18"/>
        <v>3</v>
      </c>
      <c r="N72" s="198"/>
      <c r="O72" s="139"/>
      <c r="P72" s="139"/>
      <c r="Q72" s="176"/>
      <c r="R72" s="141">
        <v>29.5</v>
      </c>
      <c r="S72" s="176">
        <f t="shared" si="9"/>
        <v>2.32</v>
      </c>
      <c r="T72" s="160">
        <f t="shared" si="10"/>
        <v>3</v>
      </c>
      <c r="U72" s="160">
        <f t="shared" si="11"/>
        <v>6.96</v>
      </c>
      <c r="V72" s="282">
        <f t="shared" si="12"/>
        <v>133.375872</v>
      </c>
      <c r="W72" s="176">
        <f t="shared" ref="W72:X72" si="67">C72/100</f>
        <v>0.96</v>
      </c>
      <c r="X72" s="176">
        <f t="shared" si="67"/>
        <v>2.03</v>
      </c>
      <c r="Y72" s="176">
        <f t="shared" si="14"/>
        <v>6.96</v>
      </c>
      <c r="Z72" s="283">
        <f t="shared" si="15"/>
        <v>13.563648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52.0</v>
      </c>
      <c r="B73" s="191" t="s">
        <v>55</v>
      </c>
      <c r="C73" s="191">
        <v>96.0</v>
      </c>
      <c r="D73" s="191">
        <v>203.0</v>
      </c>
      <c r="E73" s="191">
        <v>232.0</v>
      </c>
      <c r="F73" s="191">
        <f t="shared" si="5"/>
        <v>0</v>
      </c>
      <c r="G73" s="191">
        <f t="shared" si="6"/>
        <v>133.375872</v>
      </c>
      <c r="H73" s="192">
        <f t="shared" si="7"/>
        <v>133.375872</v>
      </c>
      <c r="I73" s="191">
        <v>1.0</v>
      </c>
      <c r="J73" s="194">
        <f t="shared" si="8"/>
        <v>133.375872</v>
      </c>
      <c r="K73" s="139"/>
      <c r="L73" s="197"/>
      <c r="M73" s="198">
        <f t="shared" si="18"/>
        <v>1</v>
      </c>
      <c r="N73" s="198"/>
      <c r="O73" s="139"/>
      <c r="P73" s="139"/>
      <c r="Q73" s="176"/>
      <c r="R73" s="141">
        <v>29.5</v>
      </c>
      <c r="S73" s="176">
        <f t="shared" si="9"/>
        <v>2.32</v>
      </c>
      <c r="T73" s="160">
        <f t="shared" si="10"/>
        <v>1</v>
      </c>
      <c r="U73" s="160">
        <f t="shared" si="11"/>
        <v>2.32</v>
      </c>
      <c r="V73" s="282">
        <f t="shared" si="12"/>
        <v>133.375872</v>
      </c>
      <c r="W73" s="176">
        <f t="shared" ref="W73:X73" si="68">C73/100</f>
        <v>0.96</v>
      </c>
      <c r="X73" s="176">
        <f t="shared" si="68"/>
        <v>2.03</v>
      </c>
      <c r="Y73" s="176">
        <f t="shared" si="14"/>
        <v>2.32</v>
      </c>
      <c r="Z73" s="283">
        <f t="shared" si="15"/>
        <v>4.521216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53.0</v>
      </c>
      <c r="B74" s="191" t="s">
        <v>55</v>
      </c>
      <c r="C74" s="191">
        <v>97.0</v>
      </c>
      <c r="D74" s="191">
        <v>203.0</v>
      </c>
      <c r="E74" s="191">
        <v>201.0</v>
      </c>
      <c r="F74" s="191">
        <f t="shared" si="5"/>
        <v>0</v>
      </c>
      <c r="G74" s="191">
        <f t="shared" si="6"/>
        <v>116.7577845</v>
      </c>
      <c r="H74" s="192">
        <f t="shared" si="7"/>
        <v>116.7577845</v>
      </c>
      <c r="I74" s="191">
        <v>1.0</v>
      </c>
      <c r="J74" s="194">
        <f t="shared" si="8"/>
        <v>116.7577845</v>
      </c>
      <c r="K74" s="139"/>
      <c r="L74" s="197"/>
      <c r="M74" s="198">
        <f t="shared" si="18"/>
        <v>1</v>
      </c>
      <c r="N74" s="198"/>
      <c r="O74" s="139"/>
      <c r="P74" s="139"/>
      <c r="Q74" s="176">
        <v>138.0</v>
      </c>
      <c r="R74" s="141">
        <v>29.5</v>
      </c>
      <c r="S74" s="176">
        <f t="shared" si="9"/>
        <v>2.01</v>
      </c>
      <c r="T74" s="160">
        <f t="shared" si="10"/>
        <v>1</v>
      </c>
      <c r="U74" s="160">
        <f t="shared" si="11"/>
        <v>2.01</v>
      </c>
      <c r="V74" s="282">
        <f t="shared" si="12"/>
        <v>116.7577845</v>
      </c>
      <c r="W74" s="176">
        <f t="shared" ref="W74:X74" si="69">C74/100</f>
        <v>0.97</v>
      </c>
      <c r="X74" s="176">
        <f t="shared" si="69"/>
        <v>2.03</v>
      </c>
      <c r="Y74" s="176">
        <f t="shared" si="14"/>
        <v>2.01</v>
      </c>
      <c r="Z74" s="283">
        <f t="shared" si="15"/>
        <v>3.957891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54.0</v>
      </c>
      <c r="B75" s="191" t="s">
        <v>55</v>
      </c>
      <c r="C75" s="191">
        <v>97.0</v>
      </c>
      <c r="D75" s="191">
        <v>203.0</v>
      </c>
      <c r="E75" s="191">
        <v>232.0</v>
      </c>
      <c r="F75" s="191">
        <f t="shared" si="5"/>
        <v>0</v>
      </c>
      <c r="G75" s="191">
        <f t="shared" si="6"/>
        <v>134.765204</v>
      </c>
      <c r="H75" s="192">
        <f t="shared" si="7"/>
        <v>134.765204</v>
      </c>
      <c r="I75" s="191">
        <v>6.0</v>
      </c>
      <c r="J75" s="194">
        <f t="shared" si="8"/>
        <v>808.591224</v>
      </c>
      <c r="K75" s="139"/>
      <c r="L75" s="197"/>
      <c r="M75" s="198">
        <f t="shared" si="18"/>
        <v>6</v>
      </c>
      <c r="N75" s="198"/>
      <c r="O75" s="139"/>
      <c r="P75" s="139"/>
      <c r="Q75" s="176"/>
      <c r="R75" s="141">
        <v>29.5</v>
      </c>
      <c r="S75" s="176">
        <f t="shared" si="9"/>
        <v>2.32</v>
      </c>
      <c r="T75" s="160">
        <f t="shared" si="10"/>
        <v>6</v>
      </c>
      <c r="U75" s="160">
        <f t="shared" si="11"/>
        <v>13.92</v>
      </c>
      <c r="V75" s="282">
        <f t="shared" si="12"/>
        <v>134.765204</v>
      </c>
      <c r="W75" s="176">
        <f t="shared" ref="W75:X75" si="70">C75/100</f>
        <v>0.97</v>
      </c>
      <c r="X75" s="176">
        <f t="shared" si="70"/>
        <v>2.03</v>
      </c>
      <c r="Y75" s="176">
        <f t="shared" si="14"/>
        <v>13.92</v>
      </c>
      <c r="Z75" s="283">
        <f t="shared" si="15"/>
        <v>27.409872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55.0</v>
      </c>
      <c r="B76" s="191" t="s">
        <v>55</v>
      </c>
      <c r="C76" s="191">
        <v>97.0</v>
      </c>
      <c r="D76" s="191">
        <v>203.0</v>
      </c>
      <c r="E76" s="191">
        <v>232.0</v>
      </c>
      <c r="F76" s="191">
        <f t="shared" si="5"/>
        <v>0</v>
      </c>
      <c r="G76" s="191">
        <f t="shared" si="6"/>
        <v>134.765204</v>
      </c>
      <c r="H76" s="192">
        <f t="shared" si="7"/>
        <v>134.765204</v>
      </c>
      <c r="I76" s="191">
        <v>33.0</v>
      </c>
      <c r="J76" s="194">
        <f t="shared" si="8"/>
        <v>4447.251732</v>
      </c>
      <c r="K76" s="139"/>
      <c r="L76" s="197"/>
      <c r="M76" s="198">
        <f t="shared" si="18"/>
        <v>33</v>
      </c>
      <c r="N76" s="198"/>
      <c r="O76" s="139"/>
      <c r="P76" s="139"/>
      <c r="Q76" s="176"/>
      <c r="R76" s="141">
        <v>29.5</v>
      </c>
      <c r="S76" s="176">
        <f t="shared" si="9"/>
        <v>2.32</v>
      </c>
      <c r="T76" s="160">
        <f t="shared" si="10"/>
        <v>33</v>
      </c>
      <c r="U76" s="160">
        <f t="shared" si="11"/>
        <v>76.56</v>
      </c>
      <c r="V76" s="282">
        <f t="shared" si="12"/>
        <v>134.765204</v>
      </c>
      <c r="W76" s="176">
        <f t="shared" ref="W76:X76" si="71">C76/100</f>
        <v>0.97</v>
      </c>
      <c r="X76" s="176">
        <f t="shared" si="71"/>
        <v>2.03</v>
      </c>
      <c r="Y76" s="176">
        <f t="shared" si="14"/>
        <v>76.56</v>
      </c>
      <c r="Z76" s="283">
        <f t="shared" si="15"/>
        <v>150.754296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56.0</v>
      </c>
      <c r="B77" s="191" t="s">
        <v>55</v>
      </c>
      <c r="C77" s="191">
        <v>98.0</v>
      </c>
      <c r="D77" s="191">
        <v>203.0</v>
      </c>
      <c r="E77" s="191">
        <v>231.0</v>
      </c>
      <c r="F77" s="191">
        <f t="shared" si="5"/>
        <v>0</v>
      </c>
      <c r="G77" s="191">
        <f t="shared" si="6"/>
        <v>135.567663</v>
      </c>
      <c r="H77" s="192">
        <f t="shared" si="7"/>
        <v>135.567663</v>
      </c>
      <c r="I77" s="191">
        <v>1.0</v>
      </c>
      <c r="J77" s="194">
        <f t="shared" si="8"/>
        <v>135.567663</v>
      </c>
      <c r="K77" s="139"/>
      <c r="L77" s="197"/>
      <c r="M77" s="198">
        <f t="shared" si="18"/>
        <v>1</v>
      </c>
      <c r="N77" s="198"/>
      <c r="O77" s="139"/>
      <c r="P77" s="139"/>
      <c r="Q77" s="176"/>
      <c r="R77" s="141">
        <v>29.5</v>
      </c>
      <c r="S77" s="176">
        <f t="shared" si="9"/>
        <v>2.31</v>
      </c>
      <c r="T77" s="160">
        <f t="shared" si="10"/>
        <v>1</v>
      </c>
      <c r="U77" s="160">
        <f t="shared" si="11"/>
        <v>2.31</v>
      </c>
      <c r="V77" s="282">
        <f t="shared" si="12"/>
        <v>135.567663</v>
      </c>
      <c r="W77" s="176">
        <f t="shared" ref="W77:X77" si="72">C77/100</f>
        <v>0.98</v>
      </c>
      <c r="X77" s="176">
        <f t="shared" si="72"/>
        <v>2.03</v>
      </c>
      <c r="Y77" s="176">
        <f t="shared" si="14"/>
        <v>2.31</v>
      </c>
      <c r="Z77" s="283">
        <f t="shared" si="15"/>
        <v>4.595514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57.0</v>
      </c>
      <c r="B78" s="191" t="s">
        <v>55</v>
      </c>
      <c r="C78" s="191">
        <v>83.0</v>
      </c>
      <c r="D78" s="191">
        <v>203.0</v>
      </c>
      <c r="E78" s="191">
        <v>210.0</v>
      </c>
      <c r="F78" s="191">
        <f t="shared" si="5"/>
        <v>0</v>
      </c>
      <c r="G78" s="191">
        <f t="shared" si="6"/>
        <v>104.379555</v>
      </c>
      <c r="H78" s="192">
        <f t="shared" si="7"/>
        <v>104.379555</v>
      </c>
      <c r="I78" s="191">
        <v>1.0</v>
      </c>
      <c r="J78" s="194">
        <f t="shared" si="8"/>
        <v>104.379555</v>
      </c>
      <c r="K78" s="139"/>
      <c r="L78" s="197"/>
      <c r="M78" s="198">
        <f t="shared" si="18"/>
        <v>1</v>
      </c>
      <c r="N78" s="198"/>
      <c r="O78" s="139"/>
      <c r="P78" s="139"/>
      <c r="Q78" s="176"/>
      <c r="R78" s="141">
        <v>29.5</v>
      </c>
      <c r="S78" s="176">
        <f t="shared" si="9"/>
        <v>2.1</v>
      </c>
      <c r="T78" s="160">
        <f t="shared" si="10"/>
        <v>1</v>
      </c>
      <c r="U78" s="160">
        <f t="shared" si="11"/>
        <v>2.1</v>
      </c>
      <c r="V78" s="282">
        <f t="shared" si="12"/>
        <v>104.379555</v>
      </c>
      <c r="W78" s="176">
        <f t="shared" ref="W78:X78" si="73">C78/100</f>
        <v>0.83</v>
      </c>
      <c r="X78" s="176">
        <f t="shared" si="73"/>
        <v>2.03</v>
      </c>
      <c r="Y78" s="176">
        <f t="shared" si="14"/>
        <v>2.1</v>
      </c>
      <c r="Z78" s="283">
        <f t="shared" si="15"/>
        <v>3.53829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58.0</v>
      </c>
      <c r="B79" s="191" t="s">
        <v>55</v>
      </c>
      <c r="C79" s="191">
        <v>96.0</v>
      </c>
      <c r="D79" s="191">
        <v>203.0</v>
      </c>
      <c r="E79" s="191">
        <v>202.0</v>
      </c>
      <c r="F79" s="191">
        <f t="shared" si="5"/>
        <v>0</v>
      </c>
      <c r="G79" s="191">
        <f t="shared" si="6"/>
        <v>116.128992</v>
      </c>
      <c r="H79" s="192">
        <f t="shared" si="7"/>
        <v>116.128992</v>
      </c>
      <c r="I79" s="191">
        <v>1.0</v>
      </c>
      <c r="J79" s="194">
        <f t="shared" si="8"/>
        <v>116.128992</v>
      </c>
      <c r="K79" s="139"/>
      <c r="L79" s="197"/>
      <c r="M79" s="198">
        <f t="shared" si="18"/>
        <v>1</v>
      </c>
      <c r="N79" s="198"/>
      <c r="O79" s="139"/>
      <c r="P79" s="139"/>
      <c r="Q79" s="176"/>
      <c r="R79" s="141">
        <v>29.5</v>
      </c>
      <c r="S79" s="176">
        <f t="shared" si="9"/>
        <v>2.02</v>
      </c>
      <c r="T79" s="160">
        <f t="shared" si="10"/>
        <v>1</v>
      </c>
      <c r="U79" s="160">
        <f t="shared" si="11"/>
        <v>2.02</v>
      </c>
      <c r="V79" s="282">
        <f t="shared" si="12"/>
        <v>116.128992</v>
      </c>
      <c r="W79" s="176">
        <f t="shared" ref="W79:X79" si="74">C79/100</f>
        <v>0.96</v>
      </c>
      <c r="X79" s="176">
        <f t="shared" si="74"/>
        <v>2.03</v>
      </c>
      <c r="Y79" s="176">
        <f t="shared" si="14"/>
        <v>2.02</v>
      </c>
      <c r="Z79" s="283">
        <f t="shared" si="15"/>
        <v>3.936576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59.0</v>
      </c>
      <c r="B80" s="191" t="s">
        <v>55</v>
      </c>
      <c r="C80" s="191">
        <v>98.0</v>
      </c>
      <c r="D80" s="191">
        <v>203.0</v>
      </c>
      <c r="E80" s="191">
        <v>202.0</v>
      </c>
      <c r="F80" s="191">
        <f t="shared" si="5"/>
        <v>0</v>
      </c>
      <c r="G80" s="191">
        <f t="shared" si="6"/>
        <v>118.548346</v>
      </c>
      <c r="H80" s="192">
        <f t="shared" si="7"/>
        <v>118.548346</v>
      </c>
      <c r="I80" s="191">
        <v>22.0</v>
      </c>
      <c r="J80" s="194">
        <f t="shared" si="8"/>
        <v>2608.063612</v>
      </c>
      <c r="K80" s="139"/>
      <c r="L80" s="197"/>
      <c r="M80" s="198">
        <f t="shared" si="18"/>
        <v>22</v>
      </c>
      <c r="N80" s="198"/>
      <c r="O80" s="139"/>
      <c r="P80" s="139"/>
      <c r="Q80" s="176"/>
      <c r="R80" s="141">
        <v>29.5</v>
      </c>
      <c r="S80" s="176">
        <f t="shared" si="9"/>
        <v>2.02</v>
      </c>
      <c r="T80" s="160">
        <f t="shared" si="10"/>
        <v>22</v>
      </c>
      <c r="U80" s="160">
        <f t="shared" si="11"/>
        <v>44.44</v>
      </c>
      <c r="V80" s="282">
        <f t="shared" si="12"/>
        <v>118.548346</v>
      </c>
      <c r="W80" s="176">
        <f t="shared" ref="W80:X80" si="75">C80/100</f>
        <v>0.98</v>
      </c>
      <c r="X80" s="176">
        <f t="shared" si="75"/>
        <v>2.03</v>
      </c>
      <c r="Y80" s="176">
        <f t="shared" si="14"/>
        <v>44.44</v>
      </c>
      <c r="Z80" s="283">
        <f t="shared" si="15"/>
        <v>88.408936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>
        <v>60.0</v>
      </c>
      <c r="B81" s="191" t="s">
        <v>55</v>
      </c>
      <c r="C81" s="191">
        <v>95.0</v>
      </c>
      <c r="D81" s="191">
        <v>203.0</v>
      </c>
      <c r="E81" s="191">
        <v>208.0</v>
      </c>
      <c r="F81" s="191">
        <f t="shared" si="5"/>
        <v>0</v>
      </c>
      <c r="G81" s="191">
        <f t="shared" si="6"/>
        <v>118.33276</v>
      </c>
      <c r="H81" s="192">
        <f t="shared" si="7"/>
        <v>118.33276</v>
      </c>
      <c r="I81" s="191">
        <v>1.0</v>
      </c>
      <c r="J81" s="194">
        <f t="shared" si="8"/>
        <v>118.33276</v>
      </c>
      <c r="K81" s="139"/>
      <c r="L81" s="176">
        <f t="shared" ref="L81:L82" si="77">D81*25.4/1000</f>
        <v>5.1562</v>
      </c>
      <c r="M81" s="160">
        <f t="shared" si="18"/>
        <v>1</v>
      </c>
      <c r="N81" s="160">
        <f t="shared" ref="N81:N82" si="78">M81*L81</f>
        <v>5.1562</v>
      </c>
      <c r="O81" s="139"/>
      <c r="P81" s="139"/>
      <c r="Q81" s="176"/>
      <c r="R81" s="141">
        <v>29.5</v>
      </c>
      <c r="S81" s="176">
        <f t="shared" si="9"/>
        <v>2.08</v>
      </c>
      <c r="T81" s="160">
        <f t="shared" si="10"/>
        <v>1</v>
      </c>
      <c r="U81" s="160">
        <f t="shared" si="11"/>
        <v>2.08</v>
      </c>
      <c r="V81" s="282">
        <f t="shared" si="12"/>
        <v>118.33276</v>
      </c>
      <c r="W81" s="176">
        <f t="shared" ref="W81:X81" si="76">C81/100</f>
        <v>0.95</v>
      </c>
      <c r="X81" s="176">
        <f t="shared" si="76"/>
        <v>2.03</v>
      </c>
      <c r="Y81" s="176">
        <f t="shared" si="14"/>
        <v>2.08</v>
      </c>
      <c r="Z81" s="283">
        <f t="shared" si="15"/>
        <v>4.01128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60">
        <v>61.0</v>
      </c>
      <c r="B82" s="301" t="s">
        <v>64</v>
      </c>
      <c r="C82" s="183">
        <v>90.0</v>
      </c>
      <c r="D82" s="183">
        <v>195.0</v>
      </c>
      <c r="E82" s="183">
        <v>244.0</v>
      </c>
      <c r="F82" s="183">
        <f t="shared" si="5"/>
        <v>0.8</v>
      </c>
      <c r="G82" s="183">
        <f t="shared" si="6"/>
        <v>126.3249</v>
      </c>
      <c r="H82" s="184">
        <f t="shared" si="7"/>
        <v>101.05992</v>
      </c>
      <c r="I82" s="183">
        <v>1.0</v>
      </c>
      <c r="J82" s="185">
        <f t="shared" si="8"/>
        <v>101.05992</v>
      </c>
      <c r="K82" s="139"/>
      <c r="L82" s="197">
        <f t="shared" si="77"/>
        <v>4.953</v>
      </c>
      <c r="M82" s="198">
        <f t="shared" si="18"/>
        <v>1</v>
      </c>
      <c r="N82" s="198">
        <f t="shared" si="78"/>
        <v>4.953</v>
      </c>
      <c r="O82" s="139"/>
      <c r="P82" s="139"/>
      <c r="Q82" s="176"/>
      <c r="R82" s="141">
        <v>29.5</v>
      </c>
      <c r="S82" s="176">
        <f t="shared" si="9"/>
        <v>2.44</v>
      </c>
      <c r="T82" s="160">
        <f t="shared" si="10"/>
        <v>1</v>
      </c>
      <c r="U82" s="160">
        <f t="shared" si="11"/>
        <v>2.44</v>
      </c>
      <c r="V82" s="282">
        <f t="shared" si="12"/>
        <v>126.3249</v>
      </c>
      <c r="W82" s="176">
        <f t="shared" ref="W82:X82" si="79">C82/100</f>
        <v>0.9</v>
      </c>
      <c r="X82" s="176">
        <f t="shared" si="79"/>
        <v>1.95</v>
      </c>
      <c r="Y82" s="176">
        <f t="shared" si="14"/>
        <v>2.44</v>
      </c>
      <c r="Z82" s="283">
        <f t="shared" si="15"/>
        <v>4.2822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customHeight="1">
      <c r="A83" s="160">
        <v>62.0</v>
      </c>
      <c r="B83" s="160" t="s">
        <v>55</v>
      </c>
      <c r="C83" s="191">
        <v>98.0</v>
      </c>
      <c r="D83" s="191">
        <v>195.0</v>
      </c>
      <c r="E83" s="191">
        <v>244.0</v>
      </c>
      <c r="F83" s="191">
        <f t="shared" si="5"/>
        <v>0</v>
      </c>
      <c r="G83" s="191">
        <f t="shared" si="6"/>
        <v>137.55378</v>
      </c>
      <c r="H83" s="192">
        <f t="shared" si="7"/>
        <v>137.55378</v>
      </c>
      <c r="I83" s="191">
        <v>5.0</v>
      </c>
      <c r="J83" s="194">
        <f t="shared" si="8"/>
        <v>687.7689</v>
      </c>
      <c r="K83" s="139"/>
      <c r="L83" s="197"/>
      <c r="M83" s="198">
        <f t="shared" si="18"/>
        <v>5</v>
      </c>
      <c r="N83" s="198"/>
      <c r="O83" s="139"/>
      <c r="P83" s="139"/>
      <c r="Q83" s="176"/>
      <c r="R83" s="141">
        <v>29.5</v>
      </c>
      <c r="S83" s="176">
        <f t="shared" si="9"/>
        <v>2.44</v>
      </c>
      <c r="T83" s="160">
        <f t="shared" si="10"/>
        <v>5</v>
      </c>
      <c r="U83" s="160">
        <f t="shared" si="11"/>
        <v>12.2</v>
      </c>
      <c r="V83" s="282">
        <f t="shared" si="12"/>
        <v>137.55378</v>
      </c>
      <c r="W83" s="176">
        <f t="shared" ref="W83:X83" si="80">C83/100</f>
        <v>0.98</v>
      </c>
      <c r="X83" s="176">
        <f t="shared" si="80"/>
        <v>1.95</v>
      </c>
      <c r="Y83" s="176">
        <f t="shared" si="14"/>
        <v>12.2</v>
      </c>
      <c r="Z83" s="283">
        <f t="shared" si="15"/>
        <v>23.3142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customHeight="1">
      <c r="A84" s="160">
        <v>63.0</v>
      </c>
      <c r="B84" s="160" t="s">
        <v>55</v>
      </c>
      <c r="C84" s="191">
        <v>82.0</v>
      </c>
      <c r="D84" s="191">
        <v>195.0</v>
      </c>
      <c r="E84" s="191">
        <v>240.0</v>
      </c>
      <c r="F84" s="191">
        <f t="shared" si="5"/>
        <v>0</v>
      </c>
      <c r="G84" s="191">
        <f t="shared" si="6"/>
        <v>113.2092</v>
      </c>
      <c r="H84" s="192">
        <f t="shared" si="7"/>
        <v>113.2092</v>
      </c>
      <c r="I84" s="191">
        <v>1.0</v>
      </c>
      <c r="J84" s="194">
        <f t="shared" si="8"/>
        <v>113.2092</v>
      </c>
      <c r="K84" s="139"/>
      <c r="L84" s="197"/>
      <c r="M84" s="198">
        <f t="shared" si="18"/>
        <v>1</v>
      </c>
      <c r="N84" s="198"/>
      <c r="O84" s="139"/>
      <c r="P84" s="139"/>
      <c r="Q84" s="176"/>
      <c r="R84" s="141">
        <v>29.5</v>
      </c>
      <c r="S84" s="176">
        <f t="shared" si="9"/>
        <v>2.4</v>
      </c>
      <c r="T84" s="160">
        <f t="shared" si="10"/>
        <v>1</v>
      </c>
      <c r="U84" s="160">
        <f t="shared" si="11"/>
        <v>2.4</v>
      </c>
      <c r="V84" s="282">
        <f t="shared" si="12"/>
        <v>113.2092</v>
      </c>
      <c r="W84" s="176">
        <f t="shared" ref="W84:X84" si="81">C84/100</f>
        <v>0.82</v>
      </c>
      <c r="X84" s="176">
        <f t="shared" si="81"/>
        <v>1.95</v>
      </c>
      <c r="Y84" s="176">
        <f t="shared" si="14"/>
        <v>2.4</v>
      </c>
      <c r="Z84" s="283">
        <f t="shared" si="15"/>
        <v>3.8376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customHeight="1">
      <c r="A85" s="160">
        <v>64.0</v>
      </c>
      <c r="B85" s="191" t="s">
        <v>55</v>
      </c>
      <c r="C85" s="191">
        <v>97.0</v>
      </c>
      <c r="D85" s="191">
        <v>195.0</v>
      </c>
      <c r="E85" s="191">
        <v>183.0</v>
      </c>
      <c r="F85" s="191">
        <f t="shared" si="5"/>
        <v>0</v>
      </c>
      <c r="G85" s="191">
        <f t="shared" si="6"/>
        <v>102.1126275</v>
      </c>
      <c r="H85" s="192">
        <f t="shared" si="7"/>
        <v>102.1126275</v>
      </c>
      <c r="I85" s="191">
        <v>1.0</v>
      </c>
      <c r="J85" s="194">
        <f t="shared" si="8"/>
        <v>102.1126275</v>
      </c>
      <c r="K85" s="139"/>
      <c r="L85" s="197"/>
      <c r="M85" s="198">
        <f t="shared" si="18"/>
        <v>1</v>
      </c>
      <c r="N85" s="198"/>
      <c r="O85" s="139"/>
      <c r="P85" s="139"/>
      <c r="Q85" s="176">
        <v>103.0</v>
      </c>
      <c r="R85" s="141">
        <v>29.5</v>
      </c>
      <c r="S85" s="176">
        <f t="shared" si="9"/>
        <v>1.83</v>
      </c>
      <c r="T85" s="160">
        <f t="shared" si="10"/>
        <v>1</v>
      </c>
      <c r="U85" s="160">
        <f t="shared" si="11"/>
        <v>1.83</v>
      </c>
      <c r="V85" s="282">
        <f t="shared" si="12"/>
        <v>102.1126275</v>
      </c>
      <c r="W85" s="176">
        <f t="shared" ref="W85:X85" si="82">C85/100</f>
        <v>0.97</v>
      </c>
      <c r="X85" s="176">
        <f t="shared" si="82"/>
        <v>1.95</v>
      </c>
      <c r="Y85" s="176">
        <f t="shared" si="14"/>
        <v>1.83</v>
      </c>
      <c r="Z85" s="283">
        <f t="shared" si="15"/>
        <v>3.461445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customHeight="1">
      <c r="A86" s="160">
        <v>65.0</v>
      </c>
      <c r="B86" s="191" t="s">
        <v>55</v>
      </c>
      <c r="C86" s="191">
        <v>97.0</v>
      </c>
      <c r="D86" s="191">
        <v>195.0</v>
      </c>
      <c r="E86" s="191">
        <v>183.0</v>
      </c>
      <c r="F86" s="191">
        <f t="shared" si="5"/>
        <v>0</v>
      </c>
      <c r="G86" s="191">
        <f t="shared" si="6"/>
        <v>102.1126275</v>
      </c>
      <c r="H86" s="192">
        <f t="shared" si="7"/>
        <v>102.1126275</v>
      </c>
      <c r="I86" s="191">
        <v>1.0</v>
      </c>
      <c r="J86" s="194">
        <f t="shared" si="8"/>
        <v>102.1126275</v>
      </c>
      <c r="K86" s="139"/>
      <c r="L86" s="197"/>
      <c r="M86" s="198">
        <f t="shared" si="18"/>
        <v>1</v>
      </c>
      <c r="N86" s="198"/>
      <c r="O86" s="139"/>
      <c r="P86" s="139"/>
      <c r="Q86" s="176">
        <v>103.0</v>
      </c>
      <c r="R86" s="141">
        <v>29.5</v>
      </c>
      <c r="S86" s="176">
        <f t="shared" si="9"/>
        <v>1.83</v>
      </c>
      <c r="T86" s="160">
        <f t="shared" si="10"/>
        <v>1</v>
      </c>
      <c r="U86" s="160">
        <f t="shared" si="11"/>
        <v>1.83</v>
      </c>
      <c r="V86" s="282">
        <f t="shared" si="12"/>
        <v>102.1126275</v>
      </c>
      <c r="W86" s="176">
        <f t="shared" ref="W86:X86" si="83">C86/100</f>
        <v>0.97</v>
      </c>
      <c r="X86" s="176">
        <f t="shared" si="83"/>
        <v>1.95</v>
      </c>
      <c r="Y86" s="176">
        <f t="shared" si="14"/>
        <v>1.83</v>
      </c>
      <c r="Z86" s="283">
        <f t="shared" si="15"/>
        <v>3.461445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customHeight="1">
      <c r="A87" s="160">
        <v>66.0</v>
      </c>
      <c r="B87" s="191" t="s">
        <v>55</v>
      </c>
      <c r="C87" s="191">
        <v>97.0</v>
      </c>
      <c r="D87" s="191">
        <v>195.0</v>
      </c>
      <c r="E87" s="191">
        <v>183.0</v>
      </c>
      <c r="F87" s="191">
        <f t="shared" si="5"/>
        <v>0</v>
      </c>
      <c r="G87" s="191">
        <f t="shared" si="6"/>
        <v>102.1126275</v>
      </c>
      <c r="H87" s="192">
        <f t="shared" si="7"/>
        <v>102.1126275</v>
      </c>
      <c r="I87" s="191">
        <v>1.0</v>
      </c>
      <c r="J87" s="194">
        <f t="shared" si="8"/>
        <v>102.1126275</v>
      </c>
      <c r="K87" s="139"/>
      <c r="L87" s="197"/>
      <c r="M87" s="198">
        <f t="shared" si="18"/>
        <v>1</v>
      </c>
      <c r="N87" s="198"/>
      <c r="O87" s="139"/>
      <c r="P87" s="139"/>
      <c r="Q87" s="176">
        <v>103.0</v>
      </c>
      <c r="R87" s="141">
        <v>29.5</v>
      </c>
      <c r="S87" s="176">
        <f t="shared" si="9"/>
        <v>1.83</v>
      </c>
      <c r="T87" s="160">
        <f t="shared" si="10"/>
        <v>1</v>
      </c>
      <c r="U87" s="160">
        <f t="shared" si="11"/>
        <v>1.83</v>
      </c>
      <c r="V87" s="282">
        <f t="shared" si="12"/>
        <v>102.1126275</v>
      </c>
      <c r="W87" s="176">
        <f t="shared" ref="W87:X87" si="84">C87/100</f>
        <v>0.97</v>
      </c>
      <c r="X87" s="176">
        <f t="shared" si="84"/>
        <v>1.95</v>
      </c>
      <c r="Y87" s="176">
        <f t="shared" si="14"/>
        <v>1.83</v>
      </c>
      <c r="Z87" s="283">
        <f t="shared" si="15"/>
        <v>3.461445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customHeight="1">
      <c r="A88" s="160">
        <v>67.0</v>
      </c>
      <c r="B88" s="191" t="s">
        <v>55</v>
      </c>
      <c r="C88" s="191">
        <v>97.0</v>
      </c>
      <c r="D88" s="191">
        <v>195.0</v>
      </c>
      <c r="E88" s="191">
        <v>183.0</v>
      </c>
      <c r="F88" s="191">
        <f t="shared" si="5"/>
        <v>0</v>
      </c>
      <c r="G88" s="191">
        <f t="shared" si="6"/>
        <v>102.1126275</v>
      </c>
      <c r="H88" s="192">
        <f t="shared" si="7"/>
        <v>102.1126275</v>
      </c>
      <c r="I88" s="191">
        <v>1.0</v>
      </c>
      <c r="J88" s="194">
        <f t="shared" si="8"/>
        <v>102.1126275</v>
      </c>
      <c r="K88" s="139"/>
      <c r="L88" s="197"/>
      <c r="M88" s="198">
        <f t="shared" si="18"/>
        <v>1</v>
      </c>
      <c r="N88" s="198"/>
      <c r="O88" s="139"/>
      <c r="P88" s="139"/>
      <c r="Q88" s="176">
        <v>103.0</v>
      </c>
      <c r="R88" s="141">
        <v>29.5</v>
      </c>
      <c r="S88" s="176">
        <f t="shared" si="9"/>
        <v>1.83</v>
      </c>
      <c r="T88" s="160">
        <f t="shared" si="10"/>
        <v>1</v>
      </c>
      <c r="U88" s="160">
        <f t="shared" si="11"/>
        <v>1.83</v>
      </c>
      <c r="V88" s="282">
        <f t="shared" si="12"/>
        <v>102.1126275</v>
      </c>
      <c r="W88" s="176">
        <f t="shared" ref="W88:X88" si="85">C88/100</f>
        <v>0.97</v>
      </c>
      <c r="X88" s="176">
        <f t="shared" si="85"/>
        <v>1.95</v>
      </c>
      <c r="Y88" s="176">
        <f t="shared" si="14"/>
        <v>1.83</v>
      </c>
      <c r="Z88" s="283">
        <f t="shared" si="15"/>
        <v>3.461445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60">
        <v>68.0</v>
      </c>
      <c r="B89" s="191" t="s">
        <v>55</v>
      </c>
      <c r="C89" s="191">
        <v>97.0</v>
      </c>
      <c r="D89" s="191">
        <v>195.0</v>
      </c>
      <c r="E89" s="191">
        <v>183.0</v>
      </c>
      <c r="F89" s="191">
        <f t="shared" si="5"/>
        <v>0</v>
      </c>
      <c r="G89" s="191">
        <f t="shared" si="6"/>
        <v>102.1126275</v>
      </c>
      <c r="H89" s="192">
        <f t="shared" si="7"/>
        <v>102.1126275</v>
      </c>
      <c r="I89" s="191">
        <v>1.0</v>
      </c>
      <c r="J89" s="194">
        <f t="shared" si="8"/>
        <v>102.1126275</v>
      </c>
      <c r="K89" s="139"/>
      <c r="L89" s="197"/>
      <c r="M89" s="198">
        <f t="shared" si="18"/>
        <v>1</v>
      </c>
      <c r="N89" s="198"/>
      <c r="O89" s="139"/>
      <c r="P89" s="139"/>
      <c r="Q89" s="176">
        <v>104.0</v>
      </c>
      <c r="R89" s="141">
        <v>29.5</v>
      </c>
      <c r="S89" s="176">
        <f t="shared" si="9"/>
        <v>1.83</v>
      </c>
      <c r="T89" s="160">
        <f t="shared" si="10"/>
        <v>1</v>
      </c>
      <c r="U89" s="160">
        <f t="shared" si="11"/>
        <v>1.83</v>
      </c>
      <c r="V89" s="282">
        <f t="shared" si="12"/>
        <v>102.1126275</v>
      </c>
      <c r="W89" s="176">
        <f t="shared" ref="W89:X89" si="86">C89/100</f>
        <v>0.97</v>
      </c>
      <c r="X89" s="176">
        <f t="shared" si="86"/>
        <v>1.95</v>
      </c>
      <c r="Y89" s="176">
        <f t="shared" si="14"/>
        <v>1.83</v>
      </c>
      <c r="Z89" s="283">
        <f t="shared" si="15"/>
        <v>3.461445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customHeight="1">
      <c r="A90" s="160">
        <v>69.0</v>
      </c>
      <c r="B90" s="191" t="s">
        <v>55</v>
      </c>
      <c r="C90" s="191">
        <v>97.0</v>
      </c>
      <c r="D90" s="191">
        <v>195.0</v>
      </c>
      <c r="E90" s="191">
        <v>183.0</v>
      </c>
      <c r="F90" s="191">
        <f t="shared" si="5"/>
        <v>0</v>
      </c>
      <c r="G90" s="191">
        <f t="shared" si="6"/>
        <v>102.1126275</v>
      </c>
      <c r="H90" s="192">
        <f t="shared" si="7"/>
        <v>102.1126275</v>
      </c>
      <c r="I90" s="191">
        <v>4.0</v>
      </c>
      <c r="J90" s="194">
        <f t="shared" si="8"/>
        <v>408.45051</v>
      </c>
      <c r="K90" s="139"/>
      <c r="L90" s="197"/>
      <c r="M90" s="198">
        <f t="shared" si="18"/>
        <v>4</v>
      </c>
      <c r="N90" s="198"/>
      <c r="O90" s="139"/>
      <c r="P90" s="139"/>
      <c r="Q90" s="176"/>
      <c r="R90" s="141">
        <v>29.5</v>
      </c>
      <c r="S90" s="176">
        <f t="shared" si="9"/>
        <v>1.83</v>
      </c>
      <c r="T90" s="160">
        <f t="shared" si="10"/>
        <v>4</v>
      </c>
      <c r="U90" s="160">
        <f t="shared" si="11"/>
        <v>7.32</v>
      </c>
      <c r="V90" s="282">
        <f t="shared" si="12"/>
        <v>102.1126275</v>
      </c>
      <c r="W90" s="176">
        <f t="shared" ref="W90:X90" si="87">C90/100</f>
        <v>0.97</v>
      </c>
      <c r="X90" s="176">
        <f t="shared" si="87"/>
        <v>1.95</v>
      </c>
      <c r="Y90" s="176">
        <f t="shared" si="14"/>
        <v>7.32</v>
      </c>
      <c r="Z90" s="283">
        <f t="shared" si="15"/>
        <v>13.84578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60">
        <v>70.0</v>
      </c>
      <c r="B91" s="191" t="s">
        <v>55</v>
      </c>
      <c r="C91" s="191">
        <v>93.0</v>
      </c>
      <c r="D91" s="191">
        <v>195.0</v>
      </c>
      <c r="E91" s="191">
        <v>244.0</v>
      </c>
      <c r="F91" s="191">
        <f t="shared" si="5"/>
        <v>0</v>
      </c>
      <c r="G91" s="191">
        <f t="shared" si="6"/>
        <v>130.53573</v>
      </c>
      <c r="H91" s="192">
        <f t="shared" si="7"/>
        <v>130.53573</v>
      </c>
      <c r="I91" s="191">
        <v>1.0</v>
      </c>
      <c r="J91" s="194">
        <f t="shared" si="8"/>
        <v>130.53573</v>
      </c>
      <c r="K91" s="139"/>
      <c r="L91" s="197"/>
      <c r="M91" s="198">
        <f t="shared" si="18"/>
        <v>1</v>
      </c>
      <c r="N91" s="198"/>
      <c r="O91" s="139"/>
      <c r="P91" s="139"/>
      <c r="Q91" s="176"/>
      <c r="R91" s="141">
        <v>29.5</v>
      </c>
      <c r="S91" s="176">
        <f t="shared" si="9"/>
        <v>2.44</v>
      </c>
      <c r="T91" s="160">
        <f t="shared" si="10"/>
        <v>1</v>
      </c>
      <c r="U91" s="160">
        <f t="shared" si="11"/>
        <v>2.44</v>
      </c>
      <c r="V91" s="282">
        <f t="shared" si="12"/>
        <v>130.53573</v>
      </c>
      <c r="W91" s="176">
        <f t="shared" ref="W91:X91" si="88">C91/100</f>
        <v>0.93</v>
      </c>
      <c r="X91" s="176">
        <f t="shared" si="88"/>
        <v>1.95</v>
      </c>
      <c r="Y91" s="176">
        <f t="shared" si="14"/>
        <v>2.44</v>
      </c>
      <c r="Z91" s="283">
        <f t="shared" si="15"/>
        <v>4.42494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60">
        <v>71.0</v>
      </c>
      <c r="B92" s="191" t="s">
        <v>55</v>
      </c>
      <c r="C92" s="191">
        <v>97.0</v>
      </c>
      <c r="D92" s="191">
        <v>195.0</v>
      </c>
      <c r="E92" s="191">
        <v>159.0</v>
      </c>
      <c r="F92" s="191">
        <f t="shared" si="5"/>
        <v>0</v>
      </c>
      <c r="G92" s="191">
        <f t="shared" si="6"/>
        <v>88.7208075</v>
      </c>
      <c r="H92" s="192">
        <f t="shared" si="7"/>
        <v>88.7208075</v>
      </c>
      <c r="I92" s="191">
        <v>1.0</v>
      </c>
      <c r="J92" s="194">
        <f t="shared" si="8"/>
        <v>88.7208075</v>
      </c>
      <c r="K92" s="139"/>
      <c r="L92" s="197"/>
      <c r="M92" s="198">
        <f t="shared" si="18"/>
        <v>1</v>
      </c>
      <c r="N92" s="198"/>
      <c r="O92" s="139"/>
      <c r="P92" s="139"/>
      <c r="Q92" s="176"/>
      <c r="R92" s="141">
        <v>29.5</v>
      </c>
      <c r="S92" s="176">
        <f t="shared" si="9"/>
        <v>1.59</v>
      </c>
      <c r="T92" s="160">
        <f t="shared" si="10"/>
        <v>1</v>
      </c>
      <c r="U92" s="160">
        <f t="shared" si="11"/>
        <v>1.59</v>
      </c>
      <c r="V92" s="282">
        <f t="shared" si="12"/>
        <v>88.7208075</v>
      </c>
      <c r="W92" s="176">
        <f t="shared" ref="W92:X92" si="89">C92/100</f>
        <v>0.97</v>
      </c>
      <c r="X92" s="176">
        <f t="shared" si="89"/>
        <v>1.95</v>
      </c>
      <c r="Y92" s="176">
        <f t="shared" si="14"/>
        <v>1.59</v>
      </c>
      <c r="Z92" s="283">
        <f t="shared" si="15"/>
        <v>3.007485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60">
        <v>72.0</v>
      </c>
      <c r="B93" s="191" t="s">
        <v>55</v>
      </c>
      <c r="C93" s="191">
        <v>97.0</v>
      </c>
      <c r="D93" s="191">
        <v>195.0</v>
      </c>
      <c r="E93" s="191">
        <v>244.0</v>
      </c>
      <c r="F93" s="191">
        <f t="shared" si="5"/>
        <v>0</v>
      </c>
      <c r="G93" s="191">
        <f t="shared" si="6"/>
        <v>136.15017</v>
      </c>
      <c r="H93" s="192">
        <f t="shared" si="7"/>
        <v>136.15017</v>
      </c>
      <c r="I93" s="191">
        <v>1.0</v>
      </c>
      <c r="J93" s="194">
        <f t="shared" si="8"/>
        <v>136.15017</v>
      </c>
      <c r="K93" s="139"/>
      <c r="L93" s="197"/>
      <c r="M93" s="198">
        <f t="shared" si="18"/>
        <v>1</v>
      </c>
      <c r="N93" s="198"/>
      <c r="O93" s="139"/>
      <c r="P93" s="139"/>
      <c r="Q93" s="176"/>
      <c r="R93" s="141">
        <v>29.5</v>
      </c>
      <c r="S93" s="187">
        <f t="shared" si="9"/>
        <v>2.44</v>
      </c>
      <c r="T93" s="181">
        <f t="shared" si="10"/>
        <v>1</v>
      </c>
      <c r="U93" s="181">
        <f t="shared" si="11"/>
        <v>2.44</v>
      </c>
      <c r="V93" s="278">
        <f t="shared" si="12"/>
        <v>136.15017</v>
      </c>
      <c r="W93" s="187">
        <f t="shared" ref="W93:X93" si="90">C93/100</f>
        <v>0.97</v>
      </c>
      <c r="X93" s="187">
        <f t="shared" si="90"/>
        <v>1.95</v>
      </c>
      <c r="Y93" s="187">
        <f t="shared" si="14"/>
        <v>2.44</v>
      </c>
      <c r="Z93" s="189">
        <f t="shared" si="15"/>
        <v>4.61526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customHeight="1">
      <c r="A94" s="160">
        <v>73.0</v>
      </c>
      <c r="B94" s="301" t="s">
        <v>92</v>
      </c>
      <c r="C94" s="183">
        <v>98.0</v>
      </c>
      <c r="D94" s="183">
        <v>208.0</v>
      </c>
      <c r="E94" s="183">
        <v>288.0</v>
      </c>
      <c r="F94" s="183">
        <f t="shared" si="5"/>
        <v>0.8</v>
      </c>
      <c r="G94" s="183">
        <f t="shared" si="6"/>
        <v>184.923648</v>
      </c>
      <c r="H94" s="184">
        <f t="shared" si="7"/>
        <v>147.9389184</v>
      </c>
      <c r="I94" s="183">
        <v>1.0</v>
      </c>
      <c r="J94" s="185">
        <f t="shared" si="8"/>
        <v>147.9389184</v>
      </c>
      <c r="K94" s="139"/>
      <c r="L94" s="197"/>
      <c r="M94" s="198">
        <f t="shared" si="18"/>
        <v>1</v>
      </c>
      <c r="N94" s="198"/>
      <c r="O94" s="139"/>
      <c r="P94" s="139"/>
      <c r="Q94" s="176"/>
      <c r="R94" s="141">
        <v>31.5</v>
      </c>
      <c r="S94" s="187">
        <f t="shared" si="9"/>
        <v>2.88</v>
      </c>
      <c r="T94" s="181">
        <f t="shared" si="10"/>
        <v>1</v>
      </c>
      <c r="U94" s="181">
        <f t="shared" si="11"/>
        <v>2.88</v>
      </c>
      <c r="V94" s="278">
        <f t="shared" si="12"/>
        <v>184.923648</v>
      </c>
      <c r="W94" s="187">
        <f t="shared" ref="W94:X94" si="91">C94/100</f>
        <v>0.98</v>
      </c>
      <c r="X94" s="187">
        <f t="shared" si="91"/>
        <v>2.08</v>
      </c>
      <c r="Y94" s="187">
        <f t="shared" si="14"/>
        <v>2.88</v>
      </c>
      <c r="Z94" s="189">
        <f t="shared" si="15"/>
        <v>5.870592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customHeight="1">
      <c r="A95" s="160">
        <v>74.0</v>
      </c>
      <c r="B95" s="191" t="s">
        <v>84</v>
      </c>
      <c r="C95" s="191">
        <v>84.0</v>
      </c>
      <c r="D95" s="191">
        <v>208.0</v>
      </c>
      <c r="E95" s="191">
        <v>314.0</v>
      </c>
      <c r="F95" s="191">
        <f t="shared" si="5"/>
        <v>0</v>
      </c>
      <c r="G95" s="191">
        <f t="shared" si="6"/>
        <v>172.815552</v>
      </c>
      <c r="H95" s="192">
        <f t="shared" si="7"/>
        <v>172.815552</v>
      </c>
      <c r="I95" s="191">
        <v>1.0</v>
      </c>
      <c r="J95" s="194">
        <f t="shared" si="8"/>
        <v>172.815552</v>
      </c>
      <c r="K95" s="139"/>
      <c r="L95" s="197"/>
      <c r="M95" s="198">
        <f t="shared" si="18"/>
        <v>1</v>
      </c>
      <c r="N95" s="198"/>
      <c r="O95" s="139"/>
      <c r="P95" s="139"/>
      <c r="Q95" s="176"/>
      <c r="R95" s="141">
        <v>31.5</v>
      </c>
      <c r="S95" s="187">
        <f t="shared" si="9"/>
        <v>3.14</v>
      </c>
      <c r="T95" s="181">
        <f t="shared" si="10"/>
        <v>1</v>
      </c>
      <c r="U95" s="181">
        <f t="shared" si="11"/>
        <v>3.14</v>
      </c>
      <c r="V95" s="278">
        <f t="shared" si="12"/>
        <v>172.815552</v>
      </c>
      <c r="W95" s="187">
        <f t="shared" ref="W95:X95" si="92">C95/100</f>
        <v>0.84</v>
      </c>
      <c r="X95" s="187">
        <f t="shared" si="92"/>
        <v>2.08</v>
      </c>
      <c r="Y95" s="187">
        <f t="shared" si="14"/>
        <v>3.14</v>
      </c>
      <c r="Z95" s="189">
        <f t="shared" si="15"/>
        <v>5.486208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customHeight="1">
      <c r="A96" s="160">
        <v>75.0</v>
      </c>
      <c r="B96" s="191" t="s">
        <v>84</v>
      </c>
      <c r="C96" s="191">
        <v>100.0</v>
      </c>
      <c r="D96" s="191">
        <v>208.0</v>
      </c>
      <c r="E96" s="191">
        <v>287.0</v>
      </c>
      <c r="F96" s="191">
        <f t="shared" si="5"/>
        <v>0</v>
      </c>
      <c r="G96" s="191">
        <f t="shared" si="6"/>
        <v>188.0424</v>
      </c>
      <c r="H96" s="192">
        <f t="shared" si="7"/>
        <v>188.0424</v>
      </c>
      <c r="I96" s="191">
        <v>3.0</v>
      </c>
      <c r="J96" s="194">
        <f t="shared" si="8"/>
        <v>564.1272</v>
      </c>
      <c r="K96" s="139"/>
      <c r="L96" s="197"/>
      <c r="M96" s="198">
        <f t="shared" si="18"/>
        <v>3</v>
      </c>
      <c r="N96" s="198"/>
      <c r="O96" s="139"/>
      <c r="P96" s="139"/>
      <c r="Q96" s="176"/>
      <c r="R96" s="141">
        <v>31.5</v>
      </c>
      <c r="S96" s="187">
        <f t="shared" si="9"/>
        <v>2.87</v>
      </c>
      <c r="T96" s="181">
        <f t="shared" si="10"/>
        <v>3</v>
      </c>
      <c r="U96" s="181">
        <f t="shared" si="11"/>
        <v>8.61</v>
      </c>
      <c r="V96" s="278">
        <f t="shared" si="12"/>
        <v>188.0424</v>
      </c>
      <c r="W96" s="187">
        <f t="shared" ref="W96:X96" si="93">C96/100</f>
        <v>1</v>
      </c>
      <c r="X96" s="187">
        <f t="shared" si="93"/>
        <v>2.08</v>
      </c>
      <c r="Y96" s="187">
        <f t="shared" si="14"/>
        <v>8.61</v>
      </c>
      <c r="Z96" s="189">
        <f t="shared" si="15"/>
        <v>17.9088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customHeight="1">
      <c r="A97" s="160">
        <v>76.0</v>
      </c>
      <c r="B97" s="191" t="s">
        <v>84</v>
      </c>
      <c r="C97" s="191">
        <v>101.0</v>
      </c>
      <c r="D97" s="191">
        <v>208.0</v>
      </c>
      <c r="E97" s="191">
        <v>288.0</v>
      </c>
      <c r="F97" s="191">
        <f t="shared" si="5"/>
        <v>0</v>
      </c>
      <c r="G97" s="191">
        <f t="shared" si="6"/>
        <v>190.584576</v>
      </c>
      <c r="H97" s="192">
        <f t="shared" si="7"/>
        <v>190.584576</v>
      </c>
      <c r="I97" s="191">
        <v>8.0</v>
      </c>
      <c r="J97" s="194">
        <f t="shared" si="8"/>
        <v>1524.676608</v>
      </c>
      <c r="K97" s="139"/>
      <c r="L97" s="197"/>
      <c r="M97" s="198">
        <f t="shared" si="18"/>
        <v>8</v>
      </c>
      <c r="N97" s="198"/>
      <c r="O97" s="139"/>
      <c r="P97" s="139"/>
      <c r="Q97" s="194"/>
      <c r="R97" s="141">
        <v>31.5</v>
      </c>
      <c r="S97" s="187">
        <f t="shared" si="9"/>
        <v>2.88</v>
      </c>
      <c r="T97" s="181">
        <f t="shared" si="10"/>
        <v>8</v>
      </c>
      <c r="U97" s="181">
        <f t="shared" si="11"/>
        <v>23.04</v>
      </c>
      <c r="V97" s="186">
        <f t="shared" si="12"/>
        <v>190.584576</v>
      </c>
      <c r="W97" s="187">
        <f t="shared" ref="W97:X97" si="94">C97/100</f>
        <v>1.01</v>
      </c>
      <c r="X97" s="187">
        <f t="shared" si="94"/>
        <v>2.08</v>
      </c>
      <c r="Y97" s="187">
        <f t="shared" si="14"/>
        <v>23.04</v>
      </c>
      <c r="Z97" s="189">
        <f t="shared" si="15"/>
        <v>48.402432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customHeight="1">
      <c r="A98" s="160">
        <v>77.0</v>
      </c>
      <c r="B98" s="191" t="s">
        <v>84</v>
      </c>
      <c r="C98" s="191">
        <v>101.0</v>
      </c>
      <c r="D98" s="191">
        <v>208.0</v>
      </c>
      <c r="E98" s="191">
        <v>287.0</v>
      </c>
      <c r="F98" s="191">
        <f t="shared" si="5"/>
        <v>0</v>
      </c>
      <c r="G98" s="191">
        <f t="shared" si="6"/>
        <v>189.922824</v>
      </c>
      <c r="H98" s="192">
        <f t="shared" si="7"/>
        <v>189.922824</v>
      </c>
      <c r="I98" s="191">
        <v>6.0</v>
      </c>
      <c r="J98" s="194">
        <f t="shared" si="8"/>
        <v>1139.536944</v>
      </c>
      <c r="K98" s="139"/>
      <c r="L98" s="197"/>
      <c r="M98" s="198">
        <f t="shared" si="18"/>
        <v>6</v>
      </c>
      <c r="N98" s="198"/>
      <c r="O98" s="139"/>
      <c r="P98" s="139"/>
      <c r="Q98" s="194"/>
      <c r="R98" s="141">
        <v>31.5</v>
      </c>
      <c r="S98" s="187">
        <f t="shared" si="9"/>
        <v>2.87</v>
      </c>
      <c r="T98" s="181">
        <f t="shared" si="10"/>
        <v>6</v>
      </c>
      <c r="U98" s="181">
        <f t="shared" si="11"/>
        <v>17.22</v>
      </c>
      <c r="V98" s="186">
        <f t="shared" si="12"/>
        <v>189.922824</v>
      </c>
      <c r="W98" s="187">
        <f t="shared" ref="W98:X98" si="95">C98/100</f>
        <v>1.01</v>
      </c>
      <c r="X98" s="187">
        <f t="shared" si="95"/>
        <v>2.08</v>
      </c>
      <c r="Y98" s="187">
        <f t="shared" si="14"/>
        <v>17.22</v>
      </c>
      <c r="Z98" s="189">
        <f t="shared" si="15"/>
        <v>36.175776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customHeight="1">
      <c r="A99" s="160">
        <v>78.0</v>
      </c>
      <c r="B99" s="191" t="s">
        <v>84</v>
      </c>
      <c r="C99" s="191">
        <v>100.0</v>
      </c>
      <c r="D99" s="191">
        <v>208.0</v>
      </c>
      <c r="E99" s="191">
        <v>288.0</v>
      </c>
      <c r="F99" s="191">
        <f t="shared" si="5"/>
        <v>0</v>
      </c>
      <c r="G99" s="191">
        <f t="shared" si="6"/>
        <v>188.6976</v>
      </c>
      <c r="H99" s="192">
        <f t="shared" si="7"/>
        <v>188.6976</v>
      </c>
      <c r="I99" s="191">
        <v>2.0</v>
      </c>
      <c r="J99" s="194">
        <f t="shared" si="8"/>
        <v>377.3952</v>
      </c>
      <c r="K99" s="139"/>
      <c r="L99" s="197"/>
      <c r="M99" s="198">
        <f t="shared" si="18"/>
        <v>2</v>
      </c>
      <c r="N99" s="198"/>
      <c r="O99" s="139"/>
      <c r="P99" s="139"/>
      <c r="Q99" s="194"/>
      <c r="R99" s="141">
        <v>31.5</v>
      </c>
      <c r="S99" s="187">
        <f t="shared" si="9"/>
        <v>2.88</v>
      </c>
      <c r="T99" s="181">
        <f t="shared" si="10"/>
        <v>2</v>
      </c>
      <c r="U99" s="181">
        <f t="shared" si="11"/>
        <v>5.76</v>
      </c>
      <c r="V99" s="186">
        <f t="shared" si="12"/>
        <v>188.6976</v>
      </c>
      <c r="W99" s="187">
        <f t="shared" ref="W99:X99" si="96">C99/100</f>
        <v>1</v>
      </c>
      <c r="X99" s="187">
        <f t="shared" si="96"/>
        <v>2.08</v>
      </c>
      <c r="Y99" s="187">
        <f t="shared" si="14"/>
        <v>5.76</v>
      </c>
      <c r="Z99" s="189">
        <f t="shared" si="15"/>
        <v>11.9808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customHeight="1">
      <c r="A100" s="160">
        <v>79.0</v>
      </c>
      <c r="B100" s="191" t="s">
        <v>84</v>
      </c>
      <c r="C100" s="191">
        <v>98.0</v>
      </c>
      <c r="D100" s="191">
        <v>208.0</v>
      </c>
      <c r="E100" s="191">
        <v>221.0</v>
      </c>
      <c r="F100" s="191">
        <f t="shared" si="5"/>
        <v>0</v>
      </c>
      <c r="G100" s="191">
        <f t="shared" si="6"/>
        <v>141.903216</v>
      </c>
      <c r="H100" s="192">
        <f t="shared" si="7"/>
        <v>141.903216</v>
      </c>
      <c r="I100" s="191">
        <v>1.0</v>
      </c>
      <c r="J100" s="194">
        <f t="shared" si="8"/>
        <v>141.903216</v>
      </c>
      <c r="K100" s="139"/>
      <c r="L100" s="197"/>
      <c r="M100" s="198">
        <f t="shared" si="18"/>
        <v>1</v>
      </c>
      <c r="N100" s="198"/>
      <c r="O100" s="139"/>
      <c r="P100" s="139"/>
      <c r="Q100" s="194"/>
      <c r="R100" s="141">
        <v>31.5</v>
      </c>
      <c r="S100" s="187">
        <f t="shared" si="9"/>
        <v>2.21</v>
      </c>
      <c r="T100" s="181">
        <f t="shared" si="10"/>
        <v>1</v>
      </c>
      <c r="U100" s="181">
        <f t="shared" si="11"/>
        <v>2.21</v>
      </c>
      <c r="V100" s="186">
        <f t="shared" si="12"/>
        <v>141.903216</v>
      </c>
      <c r="W100" s="187">
        <f t="shared" ref="W100:X100" si="97">C100/100</f>
        <v>0.98</v>
      </c>
      <c r="X100" s="187">
        <f t="shared" si="97"/>
        <v>2.08</v>
      </c>
      <c r="Y100" s="187">
        <f t="shared" si="14"/>
        <v>2.21</v>
      </c>
      <c r="Z100" s="189">
        <f t="shared" si="15"/>
        <v>4.504864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customHeight="1">
      <c r="A101" s="160">
        <v>80.0</v>
      </c>
      <c r="B101" s="191" t="s">
        <v>84</v>
      </c>
      <c r="C101" s="191">
        <v>97.0</v>
      </c>
      <c r="D101" s="191">
        <v>208.0</v>
      </c>
      <c r="E101" s="191">
        <v>288.0</v>
      </c>
      <c r="F101" s="191">
        <f t="shared" si="5"/>
        <v>0</v>
      </c>
      <c r="G101" s="191">
        <f t="shared" si="6"/>
        <v>183.036672</v>
      </c>
      <c r="H101" s="192">
        <f t="shared" si="7"/>
        <v>183.036672</v>
      </c>
      <c r="I101" s="191">
        <v>1.0</v>
      </c>
      <c r="J101" s="194">
        <f t="shared" si="8"/>
        <v>183.036672</v>
      </c>
      <c r="K101" s="139"/>
      <c r="L101" s="197"/>
      <c r="M101" s="198">
        <f t="shared" si="18"/>
        <v>1</v>
      </c>
      <c r="N101" s="198"/>
      <c r="O101" s="139"/>
      <c r="P101" s="139"/>
      <c r="Q101" s="194"/>
      <c r="R101" s="141">
        <v>31.5</v>
      </c>
      <c r="S101" s="187">
        <f t="shared" si="9"/>
        <v>2.88</v>
      </c>
      <c r="T101" s="181">
        <f t="shared" si="10"/>
        <v>1</v>
      </c>
      <c r="U101" s="181">
        <f t="shared" si="11"/>
        <v>2.88</v>
      </c>
      <c r="V101" s="186">
        <f t="shared" si="12"/>
        <v>183.036672</v>
      </c>
      <c r="W101" s="187">
        <f t="shared" ref="W101:X101" si="98">C101/100</f>
        <v>0.97</v>
      </c>
      <c r="X101" s="187">
        <f t="shared" si="98"/>
        <v>2.08</v>
      </c>
      <c r="Y101" s="187">
        <f t="shared" si="14"/>
        <v>2.88</v>
      </c>
      <c r="Z101" s="189">
        <f t="shared" si="15"/>
        <v>5.810688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customHeight="1">
      <c r="A102" s="160">
        <v>81.0</v>
      </c>
      <c r="B102" s="191" t="s">
        <v>84</v>
      </c>
      <c r="C102" s="191">
        <v>95.0</v>
      </c>
      <c r="D102" s="191">
        <v>208.0</v>
      </c>
      <c r="E102" s="191">
        <v>288.0</v>
      </c>
      <c r="F102" s="191">
        <f t="shared" si="5"/>
        <v>0</v>
      </c>
      <c r="G102" s="191">
        <f t="shared" si="6"/>
        <v>179.26272</v>
      </c>
      <c r="H102" s="192">
        <f t="shared" si="7"/>
        <v>179.26272</v>
      </c>
      <c r="I102" s="191">
        <v>1.0</v>
      </c>
      <c r="J102" s="194">
        <f t="shared" si="8"/>
        <v>179.26272</v>
      </c>
      <c r="K102" s="139"/>
      <c r="L102" s="197"/>
      <c r="M102" s="198">
        <f t="shared" si="18"/>
        <v>1</v>
      </c>
      <c r="N102" s="198"/>
      <c r="O102" s="139"/>
      <c r="P102" s="139"/>
      <c r="Q102" s="194"/>
      <c r="R102" s="141">
        <v>31.5</v>
      </c>
      <c r="S102" s="187">
        <f t="shared" si="9"/>
        <v>2.88</v>
      </c>
      <c r="T102" s="181">
        <f t="shared" si="10"/>
        <v>1</v>
      </c>
      <c r="U102" s="181">
        <f t="shared" si="11"/>
        <v>2.88</v>
      </c>
      <c r="V102" s="186">
        <f t="shared" si="12"/>
        <v>179.26272</v>
      </c>
      <c r="W102" s="187">
        <f t="shared" ref="W102:X102" si="99">C102/100</f>
        <v>0.95</v>
      </c>
      <c r="X102" s="187">
        <f t="shared" si="99"/>
        <v>2.08</v>
      </c>
      <c r="Y102" s="187">
        <f t="shared" si="14"/>
        <v>2.88</v>
      </c>
      <c r="Z102" s="189">
        <f t="shared" si="15"/>
        <v>5.69088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customHeight="1">
      <c r="A103" s="160">
        <v>82.0</v>
      </c>
      <c r="B103" s="301" t="s">
        <v>93</v>
      </c>
      <c r="C103" s="191">
        <v>86.0</v>
      </c>
      <c r="D103" s="191">
        <v>205.0</v>
      </c>
      <c r="E103" s="191">
        <v>160.0</v>
      </c>
      <c r="F103" s="191">
        <f t="shared" si="5"/>
        <v>0.8</v>
      </c>
      <c r="G103" s="191">
        <f t="shared" si="6"/>
        <v>74.7512</v>
      </c>
      <c r="H103" s="192">
        <f t="shared" si="7"/>
        <v>59.80096</v>
      </c>
      <c r="I103" s="191">
        <v>1.0</v>
      </c>
      <c r="J103" s="194">
        <f t="shared" si="8"/>
        <v>59.80096</v>
      </c>
      <c r="K103" s="139"/>
      <c r="L103" s="197"/>
      <c r="M103" s="198">
        <f t="shared" si="18"/>
        <v>1</v>
      </c>
      <c r="N103" s="198"/>
      <c r="O103" s="139"/>
      <c r="P103" s="139"/>
      <c r="Q103" s="194"/>
      <c r="R103" s="141">
        <v>26.5</v>
      </c>
      <c r="S103" s="187">
        <f t="shared" si="9"/>
        <v>1.6</v>
      </c>
      <c r="T103" s="181">
        <f t="shared" si="10"/>
        <v>1</v>
      </c>
      <c r="U103" s="181">
        <f t="shared" si="11"/>
        <v>1.6</v>
      </c>
      <c r="V103" s="186">
        <f t="shared" si="12"/>
        <v>74.7512</v>
      </c>
      <c r="W103" s="187">
        <f>E103/100</f>
        <v>1.6</v>
      </c>
      <c r="X103" s="187">
        <f>D103/100</f>
        <v>2.05</v>
      </c>
      <c r="Y103" s="187">
        <f t="shared" si="14"/>
        <v>1.6</v>
      </c>
      <c r="Z103" s="189">
        <f t="shared" si="15"/>
        <v>5.248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customHeight="1">
      <c r="A104" s="160">
        <v>83.0</v>
      </c>
      <c r="B104" s="191" t="s">
        <v>85</v>
      </c>
      <c r="C104" s="191">
        <v>88.0</v>
      </c>
      <c r="D104" s="191">
        <v>205.0</v>
      </c>
      <c r="E104" s="191">
        <v>159.0</v>
      </c>
      <c r="F104" s="191">
        <f t="shared" si="5"/>
        <v>0</v>
      </c>
      <c r="G104" s="191">
        <f t="shared" si="6"/>
        <v>76.01154</v>
      </c>
      <c r="H104" s="192">
        <f t="shared" si="7"/>
        <v>76.01154</v>
      </c>
      <c r="I104" s="191">
        <v>1.0</v>
      </c>
      <c r="J104" s="194">
        <f t="shared" si="8"/>
        <v>76.01154</v>
      </c>
      <c r="K104" s="139"/>
      <c r="L104" s="197"/>
      <c r="M104" s="198">
        <f t="shared" si="18"/>
        <v>1</v>
      </c>
      <c r="N104" s="198"/>
      <c r="O104" s="139"/>
      <c r="P104" s="139"/>
      <c r="Q104" s="194"/>
      <c r="R104" s="141">
        <v>26.5</v>
      </c>
      <c r="S104" s="187">
        <f t="shared" si="9"/>
        <v>1.59</v>
      </c>
      <c r="T104" s="181">
        <f t="shared" si="10"/>
        <v>1</v>
      </c>
      <c r="U104" s="181">
        <f t="shared" si="11"/>
        <v>1.59</v>
      </c>
      <c r="V104" s="186">
        <f t="shared" si="12"/>
        <v>76.01154</v>
      </c>
      <c r="W104" s="187">
        <f t="shared" ref="W104:X104" si="100">C104/100</f>
        <v>0.88</v>
      </c>
      <c r="X104" s="187">
        <f t="shared" si="100"/>
        <v>2.05</v>
      </c>
      <c r="Y104" s="187">
        <f t="shared" si="14"/>
        <v>1.59</v>
      </c>
      <c r="Z104" s="189">
        <f t="shared" si="15"/>
        <v>2.86836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customHeight="1">
      <c r="A105" s="160"/>
      <c r="B105" s="176"/>
      <c r="C105" s="176"/>
      <c r="D105" s="176"/>
      <c r="E105" s="176"/>
      <c r="F105" s="176"/>
      <c r="G105" s="176"/>
      <c r="H105" s="179"/>
      <c r="I105" s="160"/>
      <c r="J105" s="203">
        <f>+Q142</f>
        <v>228.4</v>
      </c>
      <c r="K105" s="139"/>
      <c r="L105" s="139"/>
      <c r="M105" s="139"/>
      <c r="N105" s="139"/>
      <c r="O105" s="139"/>
      <c r="P105" s="139"/>
      <c r="Q105" s="139"/>
      <c r="R105" s="204"/>
      <c r="S105" s="187">
        <f t="shared" si="9"/>
        <v>0</v>
      </c>
      <c r="T105" s="181" t="str">
        <f t="shared" si="10"/>
        <v/>
      </c>
      <c r="U105" s="181">
        <f t="shared" si="11"/>
        <v>0</v>
      </c>
      <c r="V105" s="186"/>
      <c r="W105" s="187">
        <f t="shared" ref="W105:X105" si="101">C105/100</f>
        <v>0</v>
      </c>
      <c r="X105" s="187">
        <f t="shared" si="101"/>
        <v>0</v>
      </c>
      <c r="Y105" s="187">
        <f t="shared" si="14"/>
        <v>0</v>
      </c>
      <c r="Z105" s="18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customHeight="1">
      <c r="A106" s="160"/>
      <c r="B106" s="205"/>
      <c r="C106" s="205"/>
      <c r="D106" s="205"/>
      <c r="E106" s="205"/>
      <c r="F106" s="205"/>
      <c r="G106" s="205"/>
      <c r="H106" s="206"/>
      <c r="I106" s="207">
        <f>SUM(I22:I104)</f>
        <v>285</v>
      </c>
      <c r="J106" s="208">
        <f>SUM(J22:J105)</f>
        <v>33490.41397</v>
      </c>
      <c r="K106" s="209"/>
      <c r="L106" s="209"/>
      <c r="M106" s="209"/>
      <c r="N106" s="209"/>
      <c r="O106" s="209"/>
      <c r="P106" s="209"/>
      <c r="Q106" s="209"/>
      <c r="R106" s="141"/>
      <c r="S106" s="209">
        <f>SUMIFS($T$22:$T$104,$S$22:$S$104,"&gt;=3")</f>
        <v>2</v>
      </c>
      <c r="T106" s="209">
        <f t="shared" ref="T106:U106" si="102">SUM(T22:T104)</f>
        <v>285</v>
      </c>
      <c r="U106" s="209">
        <f t="shared" si="102"/>
        <v>621.49</v>
      </c>
      <c r="V106" s="209"/>
      <c r="W106" s="209"/>
      <c r="X106" s="209"/>
      <c r="Y106" s="209"/>
      <c r="Z106" s="210">
        <f>SUM(Z22:Z105)</f>
        <v>1207.523962</v>
      </c>
      <c r="AA106" s="209"/>
      <c r="AB106" s="209"/>
      <c r="AC106" s="209"/>
      <c r="AD106" s="209"/>
      <c r="AE106" s="209"/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209"/>
      <c r="AR106" s="209"/>
      <c r="AS106" s="209"/>
      <c r="AT106" s="209"/>
    </row>
    <row r="107" ht="29.25" customHeight="1">
      <c r="A107" s="139"/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39"/>
      <c r="R107" s="141"/>
      <c r="S107" s="186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9.25" customHeight="1">
      <c r="A108" s="139"/>
      <c r="B108" s="139"/>
      <c r="C108" s="139"/>
      <c r="D108" s="139"/>
      <c r="E108" s="139"/>
      <c r="F108" s="139"/>
      <c r="G108" s="139"/>
      <c r="H108" s="140"/>
      <c r="I108" s="139"/>
      <c r="J108" s="139"/>
      <c r="K108" s="139"/>
      <c r="L108" s="139"/>
      <c r="M108" s="139"/>
      <c r="N108" s="139"/>
      <c r="O108" s="139"/>
      <c r="P108" s="139"/>
      <c r="Q108" s="139"/>
      <c r="R108" s="204"/>
      <c r="S108" s="139"/>
      <c r="T108" s="139" t="s">
        <v>48</v>
      </c>
      <c r="U108" s="139" t="s">
        <v>72</v>
      </c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9.25" customHeight="1">
      <c r="A109" s="139"/>
      <c r="B109" s="139"/>
      <c r="C109" s="139"/>
      <c r="D109" s="139"/>
      <c r="E109" s="139"/>
      <c r="F109" s="139"/>
      <c r="G109" s="139"/>
      <c r="H109" s="140"/>
      <c r="I109" s="139"/>
      <c r="J109" s="139"/>
      <c r="K109" s="139"/>
      <c r="L109" s="139"/>
      <c r="M109" s="139"/>
      <c r="N109" s="139"/>
      <c r="O109" s="139"/>
      <c r="P109" s="139"/>
      <c r="Q109" s="139"/>
      <c r="R109" s="141"/>
      <c r="S109" s="139" t="s">
        <v>31</v>
      </c>
      <c r="T109" s="211">
        <f>SUMIFS($J$22:$J$104,$S$22:$S$104,"&gt;=3")</f>
        <v>308.750832</v>
      </c>
      <c r="U109" s="212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9.25" customHeight="1">
      <c r="A110" s="139" t="s">
        <v>32</v>
      </c>
      <c r="B110" s="139"/>
      <c r="C110" s="139"/>
      <c r="D110" s="139" t="s">
        <v>33</v>
      </c>
      <c r="E110" s="139"/>
      <c r="F110" s="139"/>
      <c r="G110" s="139"/>
      <c r="H110" s="140"/>
      <c r="I110" s="139"/>
      <c r="J110" s="139"/>
      <c r="K110" s="139"/>
      <c r="L110" s="139"/>
      <c r="M110" s="139"/>
      <c r="N110" s="139"/>
      <c r="O110" s="139"/>
      <c r="P110" s="139"/>
      <c r="Q110" s="139"/>
      <c r="R110" s="141"/>
      <c r="S110" s="139" t="s">
        <v>34</v>
      </c>
      <c r="T110" s="213">
        <f>J106-T109</f>
        <v>33181.66314</v>
      </c>
      <c r="U110" s="212">
        <f>+SUMIFS($U$22:$U$104,$S$22:$S$104,"&gt;=3")</f>
        <v>6.26</v>
      </c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9.25" customHeight="1">
      <c r="A111" s="139"/>
      <c r="B111" s="139"/>
      <c r="C111" s="139"/>
      <c r="D111" s="139"/>
      <c r="E111" s="139"/>
      <c r="F111" s="139"/>
      <c r="G111" s="139"/>
      <c r="H111" s="140"/>
      <c r="I111" s="139"/>
      <c r="J111" s="139"/>
      <c r="K111" s="139"/>
      <c r="L111" s="139"/>
      <c r="M111" s="139"/>
      <c r="N111" s="139"/>
      <c r="O111" s="139"/>
      <c r="P111" s="139"/>
      <c r="Q111" s="139"/>
      <c r="R111" s="204"/>
      <c r="S111" s="139"/>
      <c r="T111" s="214">
        <f>+I106</f>
        <v>285</v>
      </c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39.0" customHeight="1">
      <c r="A112" s="176"/>
      <c r="B112" s="160" t="s">
        <v>12</v>
      </c>
      <c r="C112" s="177" t="s">
        <v>73</v>
      </c>
      <c r="D112" s="52"/>
      <c r="E112" s="53"/>
      <c r="F112" s="178"/>
      <c r="G112" s="178"/>
      <c r="H112" s="179" t="s">
        <v>14</v>
      </c>
      <c r="I112" s="160" t="s">
        <v>15</v>
      </c>
      <c r="J112" s="160" t="s">
        <v>16</v>
      </c>
      <c r="K112" s="139"/>
      <c r="L112" s="139"/>
      <c r="M112" s="139"/>
      <c r="N112" s="139"/>
      <c r="O112" s="139"/>
      <c r="P112" s="139"/>
      <c r="Q112" s="139"/>
      <c r="R112" s="141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customHeight="1">
      <c r="A113" s="154">
        <v>1.0</v>
      </c>
      <c r="B113" s="215" t="s">
        <v>68</v>
      </c>
      <c r="C113" s="215">
        <v>70.0</v>
      </c>
      <c r="D113" s="215">
        <v>167.0</v>
      </c>
      <c r="E113" s="215">
        <v>233.0</v>
      </c>
      <c r="F113" s="215">
        <f t="shared" ref="F113:F119" si="103">1-VALUE(IF(RIGHT(B113, 1)="%", RIGHT(B113, 3), 0))</f>
        <v>0.2</v>
      </c>
      <c r="G113" s="215">
        <f t="shared" ref="G113:G119" si="104">+Q113*C113/100*D113/100*E113/100</f>
        <v>0</v>
      </c>
      <c r="H113" s="216">
        <f t="shared" ref="H113:H119" si="105">IF(F113=0, G113, F113*G113)</f>
        <v>0</v>
      </c>
      <c r="I113" s="215">
        <v>1.0</v>
      </c>
      <c r="J113" s="217">
        <v>80.35121499999998</v>
      </c>
      <c r="K113" s="139"/>
      <c r="L113" s="176">
        <f t="shared" ref="L113:L115" si="106">D113*25.4/1000</f>
        <v>4.2418</v>
      </c>
      <c r="M113" s="160">
        <f t="shared" ref="M113:M115" si="107">+I113</f>
        <v>1</v>
      </c>
      <c r="N113" s="160">
        <f t="shared" ref="N113:N115" si="108">M113*L113</f>
        <v>4.2418</v>
      </c>
      <c r="O113" s="139"/>
      <c r="P113" s="139"/>
      <c r="Q113" s="139"/>
      <c r="R113" s="141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customHeight="1">
      <c r="A114" s="154">
        <v>2.0</v>
      </c>
      <c r="B114" s="215" t="s">
        <v>166</v>
      </c>
      <c r="C114" s="215">
        <v>90.0</v>
      </c>
      <c r="D114" s="215">
        <v>206.0</v>
      </c>
      <c r="E114" s="215">
        <v>275.0</v>
      </c>
      <c r="F114" s="215">
        <f t="shared" si="103"/>
        <v>0.2</v>
      </c>
      <c r="G114" s="215">
        <f t="shared" si="104"/>
        <v>0</v>
      </c>
      <c r="H114" s="216">
        <f t="shared" si="105"/>
        <v>0</v>
      </c>
      <c r="I114" s="215">
        <v>1.0</v>
      </c>
      <c r="J114" s="217">
        <v>114.71625000000002</v>
      </c>
      <c r="K114" s="139"/>
      <c r="L114" s="176">
        <f t="shared" si="106"/>
        <v>5.2324</v>
      </c>
      <c r="M114" s="160">
        <f t="shared" si="107"/>
        <v>1</v>
      </c>
      <c r="N114" s="160">
        <f t="shared" si="108"/>
        <v>5.2324</v>
      </c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customHeight="1">
      <c r="A115" s="154">
        <v>3.0</v>
      </c>
      <c r="B115" s="218" t="s">
        <v>114</v>
      </c>
      <c r="C115" s="218">
        <v>80.0</v>
      </c>
      <c r="D115" s="218">
        <v>205.0</v>
      </c>
      <c r="E115" s="218">
        <v>210.0</v>
      </c>
      <c r="F115" s="218">
        <f t="shared" si="103"/>
        <v>0.2</v>
      </c>
      <c r="G115" s="218">
        <f t="shared" si="104"/>
        <v>0</v>
      </c>
      <c r="H115" s="219">
        <f t="shared" si="105"/>
        <v>0</v>
      </c>
      <c r="I115" s="218">
        <v>1.0</v>
      </c>
      <c r="J115" s="194">
        <v>70.602</v>
      </c>
      <c r="K115" s="139"/>
      <c r="L115" s="176">
        <f t="shared" si="106"/>
        <v>5.207</v>
      </c>
      <c r="M115" s="160">
        <f t="shared" si="107"/>
        <v>1</v>
      </c>
      <c r="N115" s="160">
        <f t="shared" si="108"/>
        <v>5.207</v>
      </c>
      <c r="O115" s="139"/>
      <c r="P115" s="139"/>
      <c r="Q115" s="139"/>
      <c r="R115" s="139"/>
      <c r="S115" s="220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customHeight="1">
      <c r="A116" s="154">
        <v>4.0</v>
      </c>
      <c r="B116" s="218" t="s">
        <v>64</v>
      </c>
      <c r="C116" s="218">
        <v>96.0</v>
      </c>
      <c r="D116" s="218">
        <v>203.0</v>
      </c>
      <c r="E116" s="218">
        <v>233.0</v>
      </c>
      <c r="F116" s="218">
        <f t="shared" si="103"/>
        <v>0.2</v>
      </c>
      <c r="G116" s="218">
        <f t="shared" si="104"/>
        <v>0</v>
      </c>
      <c r="H116" s="219">
        <f t="shared" si="105"/>
        <v>0</v>
      </c>
      <c r="I116" s="218">
        <v>1.0</v>
      </c>
      <c r="J116" s="194">
        <v>70.602</v>
      </c>
      <c r="K116" s="139"/>
      <c r="L116" s="176"/>
      <c r="M116" s="160"/>
      <c r="N116" s="160"/>
      <c r="O116" s="139"/>
      <c r="P116" s="139"/>
      <c r="Q116" s="139"/>
      <c r="R116" s="139"/>
      <c r="S116" s="220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customHeight="1">
      <c r="A117" s="154">
        <v>5.0</v>
      </c>
      <c r="B117" s="218" t="s">
        <v>64</v>
      </c>
      <c r="C117" s="218">
        <v>90.0</v>
      </c>
      <c r="D117" s="218">
        <v>195.0</v>
      </c>
      <c r="E117" s="218">
        <v>244.0</v>
      </c>
      <c r="F117" s="218">
        <f t="shared" si="103"/>
        <v>0.2</v>
      </c>
      <c r="G117" s="218">
        <f t="shared" si="104"/>
        <v>0</v>
      </c>
      <c r="H117" s="219">
        <f t="shared" si="105"/>
        <v>0</v>
      </c>
      <c r="I117" s="218">
        <v>1.0</v>
      </c>
      <c r="J117" s="194">
        <v>133.950768</v>
      </c>
      <c r="K117" s="139"/>
      <c r="L117" s="176">
        <f t="shared" ref="L117:L119" si="109">D117*25.4/1000</f>
        <v>4.953</v>
      </c>
      <c r="M117" s="160">
        <f t="shared" ref="M117:M118" si="110">+I117</f>
        <v>1</v>
      </c>
      <c r="N117" s="160">
        <f t="shared" ref="N117:N118" si="111">M117*L117</f>
        <v>4.953</v>
      </c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customHeight="1">
      <c r="A118" s="154">
        <v>6.0</v>
      </c>
      <c r="B118" s="218" t="s">
        <v>92</v>
      </c>
      <c r="C118" s="218">
        <v>98.0</v>
      </c>
      <c r="D118" s="218">
        <v>208.0</v>
      </c>
      <c r="E118" s="218">
        <v>288.0</v>
      </c>
      <c r="F118" s="218">
        <f t="shared" si="103"/>
        <v>0.2</v>
      </c>
      <c r="G118" s="218">
        <f t="shared" si="104"/>
        <v>0</v>
      </c>
      <c r="H118" s="219">
        <f t="shared" si="105"/>
        <v>0</v>
      </c>
      <c r="I118" s="218">
        <v>1.0</v>
      </c>
      <c r="J118" s="194">
        <v>126.3249</v>
      </c>
      <c r="K118" s="139"/>
      <c r="L118" s="176">
        <f t="shared" si="109"/>
        <v>5.2832</v>
      </c>
      <c r="M118" s="160">
        <f t="shared" si="110"/>
        <v>1</v>
      </c>
      <c r="N118" s="160">
        <f t="shared" si="111"/>
        <v>5.2832</v>
      </c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customHeight="1">
      <c r="A119" s="154">
        <v>7.0</v>
      </c>
      <c r="B119" s="218" t="s">
        <v>93</v>
      </c>
      <c r="C119" s="218">
        <v>86.0</v>
      </c>
      <c r="D119" s="218">
        <v>205.0</v>
      </c>
      <c r="E119" s="218">
        <v>160.0</v>
      </c>
      <c r="F119" s="218">
        <f t="shared" si="103"/>
        <v>0.2</v>
      </c>
      <c r="G119" s="218">
        <f t="shared" si="104"/>
        <v>0</v>
      </c>
      <c r="H119" s="219">
        <f t="shared" si="105"/>
        <v>0</v>
      </c>
      <c r="I119" s="218">
        <v>1.0</v>
      </c>
      <c r="J119" s="194">
        <v>184.923648</v>
      </c>
      <c r="K119" s="139"/>
      <c r="L119" s="139">
        <f t="shared" si="109"/>
        <v>5.207</v>
      </c>
      <c r="M119" s="221"/>
      <c r="N119" s="221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4.75" customHeight="1">
      <c r="A120" s="160"/>
      <c r="B120" s="197"/>
      <c r="C120" s="197"/>
      <c r="D120" s="197"/>
      <c r="E120" s="197"/>
      <c r="F120" s="197"/>
      <c r="G120" s="197"/>
      <c r="H120" s="269" t="s">
        <v>38</v>
      </c>
      <c r="I120" s="197"/>
      <c r="J120" s="226">
        <f>SUM(J113:J119)</f>
        <v>781.470781</v>
      </c>
      <c r="K120" s="139"/>
      <c r="L120" s="139"/>
      <c r="M120" s="139"/>
      <c r="N120" s="139"/>
      <c r="O120" s="139"/>
      <c r="P120" s="139"/>
      <c r="Q120" s="139"/>
      <c r="R120" s="141"/>
      <c r="S120" s="227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18.75" customHeight="1">
      <c r="A121" s="174"/>
      <c r="B121" s="144"/>
      <c r="C121" s="144"/>
      <c r="D121" s="144"/>
      <c r="E121" s="144"/>
      <c r="F121" s="144"/>
      <c r="G121" s="144"/>
      <c r="H121" s="145"/>
      <c r="I121" s="144"/>
      <c r="J121" s="175"/>
      <c r="K121" s="139"/>
      <c r="L121" s="139"/>
      <c r="M121" s="139"/>
      <c r="N121" s="139"/>
      <c r="O121" s="139"/>
      <c r="P121" s="139"/>
      <c r="Q121" s="139"/>
      <c r="R121" s="141"/>
      <c r="S121" s="227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18.75" customHeight="1">
      <c r="A122" s="139"/>
      <c r="B122" s="139"/>
      <c r="C122" s="139"/>
      <c r="D122" s="139"/>
      <c r="E122" s="139"/>
      <c r="F122" s="139"/>
      <c r="G122" s="139"/>
      <c r="H122" s="140"/>
      <c r="I122" s="139"/>
      <c r="J122" s="139"/>
      <c r="K122" s="139"/>
      <c r="L122" s="139"/>
      <c r="M122" s="139"/>
      <c r="N122" s="139"/>
      <c r="O122" s="139"/>
      <c r="P122" s="139"/>
      <c r="Q122" s="139"/>
      <c r="R122" s="141"/>
      <c r="S122" s="227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18.75" customHeight="1">
      <c r="A123" s="139"/>
      <c r="B123" s="139"/>
      <c r="C123" s="139"/>
      <c r="D123" s="139"/>
      <c r="E123" s="139"/>
      <c r="F123" s="139"/>
      <c r="G123" s="139"/>
      <c r="H123" s="140"/>
      <c r="I123" s="139"/>
      <c r="J123" s="139"/>
      <c r="K123" s="139"/>
      <c r="L123" s="139"/>
      <c r="M123" s="139"/>
      <c r="N123" s="139"/>
      <c r="O123" s="139"/>
      <c r="P123" s="139"/>
      <c r="Q123" s="139"/>
      <c r="R123" s="227"/>
      <c r="S123" s="227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18.75" customHeight="1">
      <c r="A124" s="139" t="s">
        <v>39</v>
      </c>
      <c r="B124" s="139"/>
      <c r="C124" s="139"/>
      <c r="D124" s="139"/>
      <c r="E124" s="139"/>
      <c r="F124" s="139"/>
      <c r="G124" s="139"/>
      <c r="H124" s="140"/>
      <c r="I124" s="139"/>
      <c r="J124" s="139"/>
      <c r="K124" s="139"/>
      <c r="L124" s="139"/>
      <c r="M124" s="139"/>
      <c r="N124" s="139"/>
      <c r="O124" s="139"/>
      <c r="P124" s="139"/>
      <c r="Q124" s="139"/>
      <c r="R124" s="227"/>
      <c r="S124" s="227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18.75" customHeight="1">
      <c r="A125" s="139"/>
      <c r="B125" s="139"/>
      <c r="C125" s="139"/>
      <c r="D125" s="139"/>
      <c r="E125" s="139"/>
      <c r="F125" s="139"/>
      <c r="G125" s="139"/>
      <c r="H125" s="140"/>
      <c r="I125" s="139"/>
      <c r="J125" s="139"/>
      <c r="K125" s="139"/>
      <c r="L125" s="139"/>
      <c r="M125" s="139"/>
      <c r="N125" s="139"/>
      <c r="O125" s="139"/>
      <c r="P125" s="139"/>
      <c r="Q125" s="139"/>
      <c r="R125" s="227"/>
      <c r="S125" s="227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42.0" customHeight="1">
      <c r="A126" s="176"/>
      <c r="B126" s="160" t="s">
        <v>12</v>
      </c>
      <c r="C126" s="177" t="s">
        <v>74</v>
      </c>
      <c r="D126" s="52"/>
      <c r="E126" s="53"/>
      <c r="F126" s="228"/>
      <c r="G126" s="228"/>
      <c r="H126" s="179" t="s">
        <v>14</v>
      </c>
      <c r="I126" s="224" t="s">
        <v>15</v>
      </c>
      <c r="J126" s="160" t="s">
        <v>16</v>
      </c>
      <c r="K126" s="139"/>
      <c r="L126" s="139"/>
      <c r="M126" s="139"/>
      <c r="N126" s="139"/>
      <c r="O126" s="139"/>
      <c r="P126" s="139"/>
      <c r="Q126" s="139"/>
      <c r="R126" s="227"/>
      <c r="S126" s="227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4.75" customHeight="1">
      <c r="A127" s="160">
        <v>1.0</v>
      </c>
      <c r="B127" s="300" t="s">
        <v>58</v>
      </c>
      <c r="C127" s="181"/>
      <c r="D127" s="181"/>
      <c r="E127" s="181"/>
      <c r="F127" s="181"/>
      <c r="G127" s="181"/>
      <c r="H127" s="232">
        <v>40.0</v>
      </c>
      <c r="I127" s="181">
        <v>1.0</v>
      </c>
      <c r="J127" s="194">
        <f t="shared" ref="J127:J140" si="112">+I127*H127</f>
        <v>40</v>
      </c>
      <c r="K127" s="176"/>
      <c r="L127" s="176"/>
      <c r="M127" s="176"/>
      <c r="N127" s="176"/>
      <c r="O127" s="176"/>
      <c r="P127" s="176"/>
      <c r="Q127" s="284"/>
      <c r="R127" s="227"/>
      <c r="S127" s="227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4.75" customHeight="1">
      <c r="A128" s="160">
        <v>2.0</v>
      </c>
      <c r="B128" s="154" t="s">
        <v>58</v>
      </c>
      <c r="C128" s="181"/>
      <c r="D128" s="181"/>
      <c r="E128" s="181"/>
      <c r="F128" s="181"/>
      <c r="G128" s="181"/>
      <c r="H128" s="232">
        <v>32.0</v>
      </c>
      <c r="I128" s="181">
        <v>1.0</v>
      </c>
      <c r="J128" s="194">
        <f t="shared" si="112"/>
        <v>32</v>
      </c>
      <c r="K128" s="176"/>
      <c r="L128" s="176"/>
      <c r="M128" s="176"/>
      <c r="N128" s="176"/>
      <c r="O128" s="176"/>
      <c r="P128" s="176"/>
      <c r="Q128" s="284"/>
      <c r="R128" s="227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4.75" customHeight="1">
      <c r="A129" s="160">
        <v>3.0</v>
      </c>
      <c r="B129" s="300" t="s">
        <v>158</v>
      </c>
      <c r="C129" s="181"/>
      <c r="D129" s="181"/>
      <c r="E129" s="181"/>
      <c r="F129" s="181"/>
      <c r="G129" s="181"/>
      <c r="H129" s="232">
        <v>53.0</v>
      </c>
      <c r="I129" s="181">
        <v>1.0</v>
      </c>
      <c r="J129" s="194">
        <f t="shared" si="112"/>
        <v>53</v>
      </c>
      <c r="K129" s="176"/>
      <c r="L129" s="176"/>
      <c r="M129" s="176"/>
      <c r="N129" s="176"/>
      <c r="O129" s="176"/>
      <c r="P129" s="176"/>
      <c r="Q129" s="284"/>
      <c r="R129" s="227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4.75" customHeight="1">
      <c r="A130" s="160">
        <v>4.0</v>
      </c>
      <c r="B130" s="191" t="s">
        <v>158</v>
      </c>
      <c r="C130" s="181"/>
      <c r="D130" s="181"/>
      <c r="E130" s="181"/>
      <c r="F130" s="181"/>
      <c r="G130" s="181"/>
      <c r="H130" s="232">
        <v>12.0</v>
      </c>
      <c r="I130" s="181">
        <v>1.0</v>
      </c>
      <c r="J130" s="194">
        <f t="shared" si="112"/>
        <v>12</v>
      </c>
      <c r="K130" s="176"/>
      <c r="L130" s="176"/>
      <c r="M130" s="176"/>
      <c r="N130" s="176"/>
      <c r="O130" s="176"/>
      <c r="P130" s="176"/>
      <c r="Q130" s="284"/>
      <c r="R130" s="227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4.75" customHeight="1">
      <c r="A131" s="160">
        <v>5.0</v>
      </c>
      <c r="B131" s="300" t="s">
        <v>83</v>
      </c>
      <c r="C131" s="181"/>
      <c r="D131" s="181"/>
      <c r="E131" s="181"/>
      <c r="F131" s="181"/>
      <c r="G131" s="181"/>
      <c r="H131" s="232">
        <v>39.0</v>
      </c>
      <c r="I131" s="181">
        <v>1.0</v>
      </c>
      <c r="J131" s="194">
        <f t="shared" si="112"/>
        <v>39</v>
      </c>
      <c r="K131" s="176"/>
      <c r="L131" s="176"/>
      <c r="M131" s="176"/>
      <c r="N131" s="176"/>
      <c r="O131" s="176"/>
      <c r="P131" s="176"/>
      <c r="Q131" s="284"/>
      <c r="R131" s="227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4.75" customHeight="1">
      <c r="A132" s="160">
        <v>6.0</v>
      </c>
      <c r="B132" s="191" t="s">
        <v>83</v>
      </c>
      <c r="C132" s="181"/>
      <c r="D132" s="181"/>
      <c r="E132" s="181"/>
      <c r="F132" s="181"/>
      <c r="G132" s="181"/>
      <c r="H132" s="232">
        <v>27.0</v>
      </c>
      <c r="I132" s="181">
        <v>1.0</v>
      </c>
      <c r="J132" s="194">
        <f t="shared" si="112"/>
        <v>27</v>
      </c>
      <c r="K132" s="176"/>
      <c r="L132" s="176"/>
      <c r="M132" s="176"/>
      <c r="N132" s="176"/>
      <c r="O132" s="176"/>
      <c r="P132" s="176"/>
      <c r="Q132" s="284"/>
      <c r="R132" s="227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4.75" customHeight="1">
      <c r="A133" s="160">
        <v>7.0</v>
      </c>
      <c r="B133" s="301" t="s">
        <v>55</v>
      </c>
      <c r="C133" s="181"/>
      <c r="D133" s="181"/>
      <c r="E133" s="181"/>
      <c r="F133" s="181"/>
      <c r="G133" s="181"/>
      <c r="H133" s="232">
        <v>65.0</v>
      </c>
      <c r="I133" s="181">
        <v>1.0</v>
      </c>
      <c r="J133" s="194">
        <f t="shared" si="112"/>
        <v>65</v>
      </c>
      <c r="K133" s="176"/>
      <c r="L133" s="176"/>
      <c r="M133" s="176"/>
      <c r="N133" s="176"/>
      <c r="O133" s="176"/>
      <c r="P133" s="176"/>
      <c r="Q133" s="284"/>
      <c r="R133" s="227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4.75" customHeight="1">
      <c r="A134" s="160">
        <v>8.0</v>
      </c>
      <c r="B134" s="191" t="s">
        <v>55</v>
      </c>
      <c r="C134" s="181"/>
      <c r="D134" s="181"/>
      <c r="E134" s="181"/>
      <c r="F134" s="181"/>
      <c r="G134" s="181"/>
      <c r="H134" s="232">
        <v>16.0</v>
      </c>
      <c r="I134" s="181">
        <v>1.0</v>
      </c>
      <c r="J134" s="194">
        <f t="shared" si="112"/>
        <v>16</v>
      </c>
      <c r="K134" s="176"/>
      <c r="L134" s="176"/>
      <c r="M134" s="176"/>
      <c r="N134" s="176"/>
      <c r="O134" s="176"/>
      <c r="P134" s="176"/>
      <c r="Q134" s="284"/>
      <c r="R134" s="227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4.75" customHeight="1">
      <c r="A135" s="160">
        <v>9.0</v>
      </c>
      <c r="B135" s="301" t="s">
        <v>55</v>
      </c>
      <c r="C135" s="181"/>
      <c r="D135" s="181"/>
      <c r="E135" s="181"/>
      <c r="F135" s="181"/>
      <c r="G135" s="181"/>
      <c r="H135" s="232">
        <v>57.0</v>
      </c>
      <c r="I135" s="181">
        <v>1.0</v>
      </c>
      <c r="J135" s="194">
        <f t="shared" si="112"/>
        <v>57</v>
      </c>
      <c r="K135" s="176"/>
      <c r="L135" s="176"/>
      <c r="M135" s="176"/>
      <c r="N135" s="176"/>
      <c r="O135" s="176"/>
      <c r="P135" s="176"/>
      <c r="Q135" s="284"/>
      <c r="R135" s="227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4.75" customHeight="1">
      <c r="A136" s="160">
        <v>10.0</v>
      </c>
      <c r="B136" s="160" t="s">
        <v>55</v>
      </c>
      <c r="C136" s="181"/>
      <c r="D136" s="181"/>
      <c r="E136" s="181"/>
      <c r="F136" s="181"/>
      <c r="G136" s="181"/>
      <c r="H136" s="232">
        <v>33.0</v>
      </c>
      <c r="I136" s="181">
        <v>1.0</v>
      </c>
      <c r="J136" s="194">
        <f t="shared" si="112"/>
        <v>33</v>
      </c>
      <c r="K136" s="176"/>
      <c r="L136" s="176"/>
      <c r="M136" s="176"/>
      <c r="N136" s="176"/>
      <c r="O136" s="176"/>
      <c r="P136" s="176"/>
      <c r="Q136" s="284"/>
      <c r="R136" s="227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4.75" customHeight="1">
      <c r="A137" s="160">
        <v>11.0</v>
      </c>
      <c r="B137" s="301" t="s">
        <v>84</v>
      </c>
      <c r="C137" s="181"/>
      <c r="D137" s="181"/>
      <c r="E137" s="181"/>
      <c r="F137" s="181"/>
      <c r="G137" s="181"/>
      <c r="H137" s="232">
        <v>77.0</v>
      </c>
      <c r="I137" s="181">
        <v>1.0</v>
      </c>
      <c r="J137" s="194">
        <f t="shared" si="112"/>
        <v>77</v>
      </c>
      <c r="K137" s="176"/>
      <c r="L137" s="176"/>
      <c r="M137" s="176"/>
      <c r="N137" s="176"/>
      <c r="O137" s="176"/>
      <c r="P137" s="176"/>
      <c r="Q137" s="284"/>
      <c r="R137" s="227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4.75" customHeight="1">
      <c r="A138" s="160">
        <v>12.0</v>
      </c>
      <c r="B138" s="191" t="s">
        <v>84</v>
      </c>
      <c r="C138" s="181"/>
      <c r="D138" s="181"/>
      <c r="E138" s="181"/>
      <c r="F138" s="181"/>
      <c r="G138" s="181"/>
      <c r="H138" s="232">
        <v>32.0</v>
      </c>
      <c r="I138" s="181">
        <v>1.0</v>
      </c>
      <c r="J138" s="194">
        <f t="shared" si="112"/>
        <v>32</v>
      </c>
      <c r="K138" s="176"/>
      <c r="L138" s="176"/>
      <c r="M138" s="176"/>
      <c r="N138" s="176"/>
      <c r="O138" s="176"/>
      <c r="P138" s="176"/>
      <c r="Q138" s="284"/>
      <c r="R138" s="227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4.75" customHeight="1">
      <c r="A139" s="160">
        <v>13.0</v>
      </c>
      <c r="B139" s="301" t="s">
        <v>85</v>
      </c>
      <c r="C139" s="181"/>
      <c r="D139" s="181"/>
      <c r="E139" s="181"/>
      <c r="F139" s="181"/>
      <c r="G139" s="181"/>
      <c r="H139" s="232">
        <v>64.0</v>
      </c>
      <c r="I139" s="181">
        <v>1.0</v>
      </c>
      <c r="J139" s="194">
        <f t="shared" si="112"/>
        <v>64</v>
      </c>
      <c r="K139" s="176"/>
      <c r="L139" s="176"/>
      <c r="M139" s="176"/>
      <c r="N139" s="176"/>
      <c r="O139" s="176"/>
      <c r="P139" s="176"/>
      <c r="Q139" s="284"/>
      <c r="R139" s="227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4.75" customHeight="1">
      <c r="A140" s="160">
        <v>14.0</v>
      </c>
      <c r="B140" s="191" t="s">
        <v>85</v>
      </c>
      <c r="C140" s="181"/>
      <c r="D140" s="181"/>
      <c r="E140" s="181"/>
      <c r="F140" s="181"/>
      <c r="G140" s="181"/>
      <c r="H140" s="232">
        <v>24.0</v>
      </c>
      <c r="I140" s="181">
        <v>1.0</v>
      </c>
      <c r="J140" s="194">
        <f t="shared" si="112"/>
        <v>24</v>
      </c>
      <c r="K140" s="176"/>
      <c r="L140" s="176"/>
      <c r="M140" s="176"/>
      <c r="N140" s="176"/>
      <c r="O140" s="176"/>
      <c r="P140" s="176"/>
      <c r="Q140" s="284"/>
      <c r="R140" s="227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18.75" customHeight="1">
      <c r="A141" s="139"/>
      <c r="B141" s="139"/>
      <c r="C141" s="139"/>
      <c r="D141" s="139"/>
      <c r="E141" s="139"/>
      <c r="F141" s="139"/>
      <c r="G141" s="139"/>
      <c r="H141" s="140" t="s">
        <v>38</v>
      </c>
      <c r="I141" s="139"/>
      <c r="J141" s="235">
        <f>SUM(J127:J140)</f>
        <v>571</v>
      </c>
      <c r="K141" s="236"/>
      <c r="L141" s="236"/>
      <c r="M141" s="236"/>
      <c r="N141" s="236"/>
      <c r="O141" s="236"/>
      <c r="P141" s="236"/>
      <c r="Q141" s="236"/>
      <c r="R141" s="139"/>
      <c r="S141" s="227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18.75" customHeight="1">
      <c r="A142" s="144"/>
      <c r="B142" s="144"/>
      <c r="C142" s="144"/>
      <c r="D142" s="144"/>
      <c r="E142" s="144"/>
      <c r="F142" s="144"/>
      <c r="G142" s="144"/>
      <c r="H142" s="145"/>
      <c r="I142" s="173"/>
      <c r="J142" s="205">
        <f>+J141*60%</f>
        <v>342.6</v>
      </c>
      <c r="K142" s="205"/>
      <c r="L142" s="205"/>
      <c r="M142" s="205"/>
      <c r="N142" s="205"/>
      <c r="O142" s="205"/>
      <c r="P142" s="205"/>
      <c r="Q142" s="205">
        <f>+J141*40%</f>
        <v>228.4</v>
      </c>
      <c r="R142" s="139"/>
      <c r="S142" s="227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18.75" customHeight="1">
      <c r="A143" s="139"/>
      <c r="B143" s="139"/>
      <c r="C143" s="139"/>
      <c r="D143" s="139"/>
      <c r="E143" s="139"/>
      <c r="F143" s="139"/>
      <c r="G143" s="139"/>
      <c r="H143" s="140"/>
      <c r="I143" s="139"/>
      <c r="J143" s="139"/>
      <c r="K143" s="139"/>
      <c r="L143" s="139"/>
      <c r="M143" s="139"/>
      <c r="N143" s="139"/>
      <c r="O143" s="139"/>
      <c r="P143" s="139"/>
      <c r="Q143" s="139"/>
      <c r="R143" s="139"/>
      <c r="S143" s="227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18.75" customHeight="1">
      <c r="A144" s="139"/>
      <c r="B144" s="139"/>
      <c r="C144" s="139"/>
      <c r="D144" s="139"/>
      <c r="E144" s="139"/>
      <c r="F144" s="139"/>
      <c r="G144" s="139"/>
      <c r="H144" s="140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227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19.5" customHeight="1">
      <c r="A145" s="238" t="s">
        <v>41</v>
      </c>
      <c r="B145" s="139"/>
      <c r="C145" s="139"/>
      <c r="D145" s="139"/>
      <c r="E145" s="139"/>
      <c r="F145" s="139"/>
      <c r="G145" s="139"/>
      <c r="H145" s="140"/>
      <c r="I145" s="139"/>
      <c r="J145" s="139"/>
      <c r="K145" s="139"/>
      <c r="L145" s="139"/>
      <c r="M145" s="139"/>
      <c r="N145" s="139"/>
      <c r="O145" s="139"/>
      <c r="P145" s="139"/>
      <c r="Q145" s="139"/>
      <c r="R145" s="139"/>
      <c r="S145" s="227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57.0" customHeight="1">
      <c r="A146" s="239"/>
      <c r="B146" s="240" t="s">
        <v>42</v>
      </c>
      <c r="C146" s="240" t="s">
        <v>43</v>
      </c>
      <c r="D146" s="240" t="s">
        <v>44</v>
      </c>
      <c r="E146" s="240" t="s">
        <v>45</v>
      </c>
      <c r="F146" s="240"/>
      <c r="G146" s="240"/>
      <c r="H146" s="241" t="s">
        <v>46</v>
      </c>
      <c r="I146" s="242" t="s">
        <v>47</v>
      </c>
      <c r="J146" s="139"/>
      <c r="K146" s="139"/>
      <c r="L146" s="139"/>
      <c r="M146" s="139"/>
      <c r="N146" s="139"/>
      <c r="O146" s="139"/>
      <c r="P146" s="139"/>
      <c r="Q146" s="139"/>
      <c r="R146" s="141"/>
      <c r="S146" s="227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18.75" customHeight="1">
      <c r="A147" s="243" t="s">
        <v>48</v>
      </c>
      <c r="B147" s="244">
        <f>+E15</f>
        <v>37706.20397</v>
      </c>
      <c r="C147" s="245">
        <f>+J106</f>
        <v>33490.41397</v>
      </c>
      <c r="D147" s="245">
        <f>+J120</f>
        <v>781.470781</v>
      </c>
      <c r="E147" s="246">
        <f>J142</f>
        <v>342.6</v>
      </c>
      <c r="F147" s="246"/>
      <c r="G147" s="246"/>
      <c r="H147" s="247">
        <f>+I15</f>
        <v>1539.788898</v>
      </c>
      <c r="I147" s="248">
        <f>+B147-C147-D147-E147-H147</f>
        <v>1551.930324</v>
      </c>
      <c r="J147" s="139"/>
      <c r="K147" s="139"/>
      <c r="L147" s="139"/>
      <c r="M147" s="139"/>
      <c r="N147" s="139"/>
      <c r="O147" s="139"/>
      <c r="P147" s="139"/>
      <c r="Q147" s="139"/>
      <c r="R147" s="141"/>
      <c r="S147" s="227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19.5" customHeight="1">
      <c r="A148" s="249" t="s">
        <v>49</v>
      </c>
      <c r="B148" s="250"/>
      <c r="C148" s="251">
        <f>+C147/B147</f>
        <v>0.8881937305</v>
      </c>
      <c r="D148" s="251">
        <f>+D147/B147</f>
        <v>0.02072525735</v>
      </c>
      <c r="E148" s="251">
        <f>+E147/B147</f>
        <v>0.009086037943</v>
      </c>
      <c r="F148" s="251"/>
      <c r="G148" s="251"/>
      <c r="H148" s="252">
        <f>+H147/B147</f>
        <v>0.04083648672</v>
      </c>
      <c r="I148" s="253">
        <f>+I147/B147</f>
        <v>0.04115848749</v>
      </c>
      <c r="J148" s="139"/>
      <c r="K148" s="139"/>
      <c r="L148" s="139"/>
      <c r="M148" s="139"/>
      <c r="N148" s="139"/>
      <c r="O148" s="139"/>
      <c r="P148" s="139"/>
      <c r="Q148" s="139"/>
      <c r="R148" s="141"/>
      <c r="S148" s="227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19.5" customHeight="1">
      <c r="A149" s="163"/>
      <c r="B149" s="221"/>
      <c r="C149" s="254"/>
      <c r="D149" s="254"/>
      <c r="E149" s="254"/>
      <c r="F149" s="254"/>
      <c r="G149" s="254"/>
      <c r="H149" s="255"/>
      <c r="I149" s="256"/>
      <c r="J149" s="139"/>
      <c r="K149" s="139"/>
      <c r="L149" s="139"/>
      <c r="M149" s="139"/>
      <c r="N149" s="139"/>
      <c r="O149" s="139"/>
      <c r="P149" s="139"/>
      <c r="Q149" s="139"/>
      <c r="R149" s="141"/>
      <c r="S149" s="227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18.75" customHeight="1">
      <c r="A150" s="257"/>
      <c r="B150" s="258"/>
      <c r="C150" s="258"/>
      <c r="D150" s="258" t="s">
        <v>50</v>
      </c>
      <c r="E150" s="258" t="s">
        <v>48</v>
      </c>
      <c r="F150" s="258"/>
      <c r="G150" s="258"/>
      <c r="H150" s="259">
        <f>+D147+E147+H147+I147</f>
        <v>4215.790003</v>
      </c>
      <c r="I150" s="260"/>
      <c r="J150" s="139"/>
      <c r="K150" s="139"/>
      <c r="L150" s="139"/>
      <c r="M150" s="139"/>
      <c r="N150" s="139"/>
      <c r="O150" s="139"/>
      <c r="P150" s="139"/>
      <c r="Q150" s="139"/>
      <c r="R150" s="141"/>
      <c r="S150" s="140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18.75" customHeight="1">
      <c r="A151" s="261"/>
      <c r="B151" s="139"/>
      <c r="C151" s="139"/>
      <c r="D151" s="139"/>
      <c r="E151" s="139" t="s">
        <v>49</v>
      </c>
      <c r="F151" s="139"/>
      <c r="G151" s="139"/>
      <c r="H151" s="255">
        <f>+H150/B147</f>
        <v>0.1118062695</v>
      </c>
      <c r="I151" s="262"/>
      <c r="J151" s="139"/>
      <c r="K151" s="139"/>
      <c r="L151" s="139"/>
      <c r="M151" s="139"/>
      <c r="N151" s="139"/>
      <c r="O151" s="139"/>
      <c r="P151" s="139"/>
      <c r="Q151" s="139"/>
      <c r="R151" s="141"/>
      <c r="S151" s="140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18.75" customHeight="1">
      <c r="A152" s="261"/>
      <c r="B152" s="139"/>
      <c r="C152" s="139" t="s">
        <v>51</v>
      </c>
      <c r="D152" s="139"/>
      <c r="E152" s="139"/>
      <c r="F152" s="139"/>
      <c r="G152" s="139"/>
      <c r="H152" s="140"/>
      <c r="I152" s="262"/>
      <c r="J152" s="139"/>
      <c r="K152" s="139"/>
      <c r="L152" s="139"/>
      <c r="M152" s="139"/>
      <c r="N152" s="139"/>
      <c r="O152" s="139"/>
      <c r="P152" s="139"/>
      <c r="Q152" s="139"/>
      <c r="R152" s="141"/>
      <c r="S152" s="140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18.75" customHeight="1">
      <c r="A153" s="261"/>
      <c r="B153" s="139"/>
      <c r="C153" s="139"/>
      <c r="D153" s="139" t="s">
        <v>52</v>
      </c>
      <c r="E153" s="139"/>
      <c r="F153" s="139"/>
      <c r="G153" s="139"/>
      <c r="H153" s="140">
        <f>+H152*(H150-H147)</f>
        <v>0</v>
      </c>
      <c r="I153" s="262"/>
      <c r="J153" s="139"/>
      <c r="K153" s="139"/>
      <c r="L153" s="139"/>
      <c r="M153" s="139"/>
      <c r="N153" s="139"/>
      <c r="O153" s="139"/>
      <c r="P153" s="139"/>
      <c r="Q153" s="139"/>
      <c r="R153" s="141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19.5" customHeight="1">
      <c r="A154" s="263"/>
      <c r="B154" s="264"/>
      <c r="C154" s="264"/>
      <c r="D154" s="264"/>
      <c r="E154" s="264"/>
      <c r="F154" s="264"/>
      <c r="G154" s="264"/>
      <c r="H154" s="265"/>
      <c r="I154" s="266"/>
      <c r="J154" s="139"/>
      <c r="K154" s="139"/>
      <c r="L154" s="139"/>
      <c r="M154" s="139"/>
      <c r="N154" s="139"/>
      <c r="O154" s="139"/>
      <c r="P154" s="139"/>
      <c r="Q154" s="139"/>
      <c r="R154" s="141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18.75" customHeight="1">
      <c r="A155" s="139"/>
      <c r="B155" s="139"/>
      <c r="C155" s="139"/>
      <c r="D155" s="139"/>
      <c r="E155" s="139"/>
      <c r="F155" s="139"/>
      <c r="G155" s="139"/>
      <c r="H155" s="140"/>
      <c r="I155" s="139"/>
      <c r="J155" s="139"/>
      <c r="K155" s="139"/>
      <c r="L155" s="139"/>
      <c r="M155" s="139"/>
      <c r="N155" s="139"/>
      <c r="O155" s="139"/>
      <c r="P155" s="139"/>
      <c r="Q155" s="139"/>
      <c r="R155" s="141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18.75" customHeight="1">
      <c r="A156" s="139"/>
      <c r="B156" s="139"/>
      <c r="C156" s="139"/>
      <c r="D156" s="139"/>
      <c r="E156" s="139"/>
      <c r="F156" s="139"/>
      <c r="G156" s="139"/>
      <c r="H156" s="140"/>
      <c r="I156" s="139"/>
      <c r="J156" s="139"/>
      <c r="K156" s="139"/>
      <c r="L156" s="139"/>
      <c r="M156" s="139"/>
      <c r="N156" s="139"/>
      <c r="O156" s="139"/>
      <c r="P156" s="139"/>
      <c r="Q156" s="139"/>
      <c r="R156" s="141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18.75" customHeight="1">
      <c r="A157" s="139"/>
      <c r="B157" s="139"/>
      <c r="C157" s="139"/>
      <c r="D157" s="139"/>
      <c r="E157" s="139"/>
      <c r="F157" s="139"/>
      <c r="G157" s="139"/>
      <c r="H157" s="140"/>
      <c r="I157" s="139"/>
      <c r="J157" s="139"/>
      <c r="K157" s="139"/>
      <c r="L157" s="139"/>
      <c r="M157" s="139"/>
      <c r="N157" s="139"/>
      <c r="O157" s="139"/>
      <c r="P157" s="139"/>
      <c r="Q157" s="139"/>
      <c r="R157" s="141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7"/>
      <c r="R158" s="26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7"/>
      <c r="R159" s="26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7"/>
      <c r="R160" s="26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7"/>
      <c r="R161" s="26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7"/>
      <c r="R162" s="26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7"/>
      <c r="R163" s="26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7"/>
      <c r="R164" s="26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7"/>
      <c r="R165" s="26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7"/>
      <c r="R166" s="26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7"/>
      <c r="R167" s="26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7"/>
      <c r="R168" s="26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7"/>
      <c r="R169" s="26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7"/>
      <c r="R170" s="26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7"/>
      <c r="R171" s="26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7"/>
      <c r="R172" s="26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7"/>
      <c r="R173" s="26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7"/>
      <c r="R174" s="26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7"/>
      <c r="R175" s="26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7"/>
      <c r="R176" s="26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7"/>
      <c r="R177" s="26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7"/>
      <c r="R178" s="26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7"/>
      <c r="R179" s="26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7"/>
      <c r="R180" s="26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7"/>
      <c r="R181" s="26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7"/>
      <c r="R182" s="26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7"/>
      <c r="R183" s="26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7"/>
      <c r="R184" s="26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7"/>
      <c r="R185" s="26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7"/>
      <c r="R186" s="26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7"/>
      <c r="R187" s="26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7"/>
      <c r="R188" s="26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7"/>
      <c r="R189" s="26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7"/>
      <c r="R190" s="26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7"/>
      <c r="R191" s="26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7"/>
      <c r="R192" s="26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7"/>
      <c r="R193" s="26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7"/>
      <c r="R194" s="26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7"/>
      <c r="R252" s="26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7"/>
      <c r="R253" s="26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7"/>
      <c r="R254" s="26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7"/>
      <c r="R255" s="26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7"/>
      <c r="R256" s="26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7"/>
      <c r="R257" s="26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7"/>
      <c r="R258" s="26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7"/>
      <c r="R259" s="26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7"/>
      <c r="R260" s="26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7"/>
      <c r="R261" s="26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7"/>
      <c r="R262" s="26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7"/>
      <c r="R263" s="26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7"/>
      <c r="R264" s="26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7"/>
      <c r="R265" s="26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7"/>
      <c r="R266" s="26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7"/>
      <c r="R267" s="26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7"/>
      <c r="R268" s="26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7"/>
      <c r="R269" s="26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7"/>
      <c r="R270" s="26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7"/>
      <c r="R271" s="26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7"/>
      <c r="R272" s="26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7"/>
      <c r="R273" s="26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7"/>
      <c r="R274" s="26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7"/>
      <c r="R275" s="26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7"/>
      <c r="R276" s="26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7"/>
      <c r="R277" s="26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7"/>
      <c r="R278" s="26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7"/>
      <c r="R279" s="26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7"/>
      <c r="R280" s="26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7"/>
      <c r="R281" s="26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7"/>
      <c r="R282" s="26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7"/>
      <c r="R283" s="26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7"/>
      <c r="R284" s="26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7"/>
      <c r="R285" s="26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7"/>
      <c r="R286" s="26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7"/>
      <c r="R287" s="26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7"/>
      <c r="R288" s="26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7"/>
      <c r="R289" s="26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7"/>
      <c r="R290" s="26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7"/>
      <c r="R291" s="26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7"/>
      <c r="R292" s="26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7"/>
      <c r="R293" s="26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7"/>
      <c r="R294" s="26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7"/>
      <c r="R295" s="26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7"/>
      <c r="R296" s="26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7"/>
      <c r="R297" s="26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7"/>
      <c r="R298" s="26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7"/>
      <c r="R299" s="26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7"/>
      <c r="R300" s="26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7"/>
      <c r="R301" s="26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7"/>
      <c r="R302" s="26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7"/>
      <c r="R303" s="268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7"/>
      <c r="R304" s="268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7"/>
      <c r="R305" s="268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7"/>
      <c r="R306" s="268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7"/>
      <c r="R307" s="268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7"/>
      <c r="R308" s="268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7"/>
      <c r="R309" s="268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7"/>
      <c r="R310" s="268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7"/>
      <c r="R311" s="268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7"/>
      <c r="R312" s="268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7"/>
      <c r="R313" s="268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7"/>
      <c r="R314" s="268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7"/>
      <c r="R315" s="268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7"/>
      <c r="R316" s="268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7"/>
      <c r="R317" s="268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7"/>
      <c r="R318" s="268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7"/>
      <c r="R319" s="268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7"/>
      <c r="R320" s="268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7"/>
      <c r="R321" s="268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7"/>
      <c r="R322" s="268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7"/>
      <c r="R323" s="268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7"/>
      <c r="R324" s="268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7"/>
      <c r="R325" s="268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7"/>
      <c r="R326" s="268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7"/>
      <c r="R327" s="268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7"/>
      <c r="R328" s="268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7"/>
      <c r="R329" s="268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7"/>
      <c r="R330" s="268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7"/>
      <c r="R331" s="268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7"/>
      <c r="R332" s="268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7"/>
      <c r="R333" s="268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7"/>
      <c r="R334" s="268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7"/>
      <c r="R335" s="268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7"/>
      <c r="R336" s="268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7"/>
      <c r="R337" s="268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7"/>
      <c r="R338" s="268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7"/>
      <c r="R339" s="268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7"/>
      <c r="R340" s="268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7"/>
      <c r="R341" s="268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7"/>
      <c r="R342" s="268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7"/>
      <c r="R343" s="268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7"/>
      <c r="R344" s="268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7"/>
      <c r="R345" s="268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7"/>
      <c r="R346" s="268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7"/>
      <c r="R347" s="268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7"/>
      <c r="R348" s="268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7"/>
      <c r="R349" s="268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7"/>
      <c r="R350" s="268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7"/>
      <c r="R351" s="268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7"/>
      <c r="I352" s="7"/>
      <c r="J352" s="7"/>
      <c r="K352" s="7"/>
      <c r="L352" s="7"/>
      <c r="M352" s="7"/>
      <c r="N352" s="7"/>
      <c r="O352" s="7"/>
      <c r="P352" s="7"/>
      <c r="Q352" s="7"/>
      <c r="R352" s="268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7"/>
      <c r="I353" s="7"/>
      <c r="J353" s="7"/>
      <c r="K353" s="7"/>
      <c r="L353" s="7"/>
      <c r="M353" s="7"/>
      <c r="N353" s="7"/>
      <c r="O353" s="7"/>
      <c r="P353" s="7"/>
      <c r="Q353" s="7"/>
      <c r="R353" s="268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12:E112"/>
    <mergeCell ref="C126:E126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6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8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44365.0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</row>
    <row r="7" ht="36.0" customHeight="1">
      <c r="A7" s="146" t="s">
        <v>6</v>
      </c>
      <c r="B7" s="147"/>
      <c r="C7" s="148" t="s">
        <v>192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</row>
    <row r="8" ht="26.25" customHeight="1">
      <c r="A8" s="153">
        <v>1.0</v>
      </c>
      <c r="B8" s="154" t="s">
        <v>111</v>
      </c>
      <c r="C8" s="154">
        <v>18.5</v>
      </c>
      <c r="D8" s="155">
        <v>0.1079</v>
      </c>
      <c r="E8" s="156">
        <f>204.995*7.7</f>
        <v>1578.4615</v>
      </c>
      <c r="F8" s="156"/>
      <c r="G8" s="156"/>
      <c r="H8" s="157">
        <v>7.7</v>
      </c>
      <c r="I8" s="158">
        <f t="shared" ref="I8:I16" si="1">+D8*E8</f>
        <v>170.3159959</v>
      </c>
      <c r="J8" s="159">
        <f t="shared" ref="J8:J16" si="2">E8-I8</f>
        <v>1408.145504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</row>
    <row r="9" ht="26.25" customHeight="1">
      <c r="A9" s="153">
        <v>2.0</v>
      </c>
      <c r="B9" s="154" t="s">
        <v>77</v>
      </c>
      <c r="C9" s="154">
        <v>16.5</v>
      </c>
      <c r="D9" s="155">
        <v>0.1057</v>
      </c>
      <c r="E9" s="156">
        <f>196.604*9.5</f>
        <v>1867.738</v>
      </c>
      <c r="F9" s="156"/>
      <c r="G9" s="156"/>
      <c r="H9" s="157">
        <v>9.5</v>
      </c>
      <c r="I9" s="158">
        <f t="shared" si="1"/>
        <v>197.4199066</v>
      </c>
      <c r="J9" s="159">
        <f t="shared" si="2"/>
        <v>1670.318093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0.0155</v>
      </c>
      <c r="E10" s="156">
        <f>253.135*26.9</f>
        <v>6809.3315</v>
      </c>
      <c r="F10" s="156"/>
      <c r="G10" s="156"/>
      <c r="H10" s="157">
        <v>26.9</v>
      </c>
      <c r="I10" s="158">
        <f t="shared" si="1"/>
        <v>105.5446383</v>
      </c>
      <c r="J10" s="159">
        <f t="shared" si="2"/>
        <v>6703.786862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</row>
    <row r="11" ht="26.25" customHeight="1">
      <c r="A11" s="153">
        <v>4.0</v>
      </c>
      <c r="B11" s="160" t="s">
        <v>76</v>
      </c>
      <c r="C11" s="154">
        <v>22.5</v>
      </c>
      <c r="D11" s="161">
        <v>0.1086</v>
      </c>
      <c r="E11" s="162">
        <f>208.598*26</f>
        <v>5423.548</v>
      </c>
      <c r="F11" s="162"/>
      <c r="G11" s="162"/>
      <c r="H11" s="157">
        <v>26.0</v>
      </c>
      <c r="I11" s="158">
        <f t="shared" si="1"/>
        <v>588.9973128</v>
      </c>
      <c r="J11" s="159">
        <f t="shared" si="2"/>
        <v>4834.550687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</row>
    <row r="12" ht="26.25" customHeight="1">
      <c r="A12" s="153">
        <v>5.0</v>
      </c>
      <c r="B12" s="160" t="s">
        <v>55</v>
      </c>
      <c r="C12" s="160">
        <v>29.5</v>
      </c>
      <c r="D12" s="161">
        <v>0.0155</v>
      </c>
      <c r="E12" s="162">
        <f>253.135*61.5</f>
        <v>15567.8025</v>
      </c>
      <c r="F12" s="162"/>
      <c r="G12" s="162"/>
      <c r="H12" s="157">
        <v>61.5</v>
      </c>
      <c r="I12" s="158">
        <f t="shared" si="1"/>
        <v>241.3009388</v>
      </c>
      <c r="J12" s="159">
        <f t="shared" si="2"/>
        <v>15326.50156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</row>
    <row r="13" ht="26.25" customHeight="1">
      <c r="A13" s="153">
        <v>6.0</v>
      </c>
      <c r="B13" s="160" t="s">
        <v>99</v>
      </c>
      <c r="C13" s="160">
        <v>29.5</v>
      </c>
      <c r="D13" s="161">
        <v>0.0162</v>
      </c>
      <c r="E13" s="162">
        <f>238.05*33</f>
        <v>7855.65</v>
      </c>
      <c r="F13" s="162"/>
      <c r="G13" s="162"/>
      <c r="H13" s="157">
        <v>33.0</v>
      </c>
      <c r="I13" s="158">
        <f t="shared" si="1"/>
        <v>127.26153</v>
      </c>
      <c r="J13" s="159">
        <f t="shared" si="2"/>
        <v>7728.38847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</row>
    <row r="14" ht="26.25" customHeight="1">
      <c r="A14" s="153">
        <v>7.0</v>
      </c>
      <c r="B14" s="160" t="s">
        <v>97</v>
      </c>
      <c r="C14" s="160">
        <v>24.5</v>
      </c>
      <c r="D14" s="161">
        <v>0.0575</v>
      </c>
      <c r="E14" s="162">
        <f>247.888*7</f>
        <v>1735.216</v>
      </c>
      <c r="F14" s="162"/>
      <c r="G14" s="162"/>
      <c r="H14" s="157">
        <v>7.0</v>
      </c>
      <c r="I14" s="158">
        <f t="shared" si="1"/>
        <v>99.77492</v>
      </c>
      <c r="J14" s="159">
        <f t="shared" si="2"/>
        <v>1635.44108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</row>
    <row r="15" ht="26.25" customHeight="1">
      <c r="A15" s="153">
        <v>8.0</v>
      </c>
      <c r="B15" s="160" t="s">
        <v>98</v>
      </c>
      <c r="C15" s="160">
        <v>18.5</v>
      </c>
      <c r="D15" s="161">
        <v>0.1168</v>
      </c>
      <c r="E15" s="162">
        <f>188.146*6</f>
        <v>1128.876</v>
      </c>
      <c r="F15" s="162"/>
      <c r="G15" s="162"/>
      <c r="H15" s="157">
        <v>6.0</v>
      </c>
      <c r="I15" s="158">
        <f t="shared" si="1"/>
        <v>131.8527168</v>
      </c>
      <c r="J15" s="159">
        <f t="shared" si="2"/>
        <v>997.0232832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</row>
    <row r="16" ht="26.25" customHeight="1">
      <c r="A16" s="153">
        <v>9.0</v>
      </c>
      <c r="B16" s="160" t="s">
        <v>111</v>
      </c>
      <c r="C16" s="160">
        <v>18.5</v>
      </c>
      <c r="D16" s="161">
        <v>0.1079</v>
      </c>
      <c r="E16" s="156">
        <f>204.995*1.5</f>
        <v>307.4925</v>
      </c>
      <c r="F16" s="156"/>
      <c r="G16" s="156"/>
      <c r="H16" s="157">
        <v>1.5</v>
      </c>
      <c r="I16" s="158">
        <f t="shared" si="1"/>
        <v>33.17844075</v>
      </c>
      <c r="J16" s="159">
        <f t="shared" si="2"/>
        <v>274.3140593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</row>
    <row r="17" ht="18.75" customHeight="1">
      <c r="A17" s="163"/>
      <c r="B17" s="164"/>
      <c r="C17" s="165"/>
      <c r="D17" s="166"/>
      <c r="E17" s="167">
        <f>SUM(E8:E16)</f>
        <v>42274.116</v>
      </c>
      <c r="F17" s="168"/>
      <c r="G17" s="168"/>
      <c r="H17" s="169"/>
      <c r="I17" s="170">
        <f t="shared" ref="I17:J17" si="3">SUM(I8:I16)</f>
        <v>1695.6464</v>
      </c>
      <c r="J17" s="171">
        <f t="shared" si="3"/>
        <v>40578.4696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</row>
    <row r="18" ht="18.75" customHeight="1">
      <c r="A18" s="172"/>
      <c r="B18" s="144"/>
      <c r="C18" s="144"/>
      <c r="D18" s="173"/>
      <c r="E18" s="174"/>
      <c r="F18" s="151"/>
      <c r="G18" s="151"/>
      <c r="H18" s="147"/>
      <c r="I18" s="175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</row>
    <row r="21" ht="18.75" customHeight="1">
      <c r="A21" s="139" t="s">
        <v>11</v>
      </c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</row>
    <row r="23" ht="40.5" customHeight="1">
      <c r="A23" s="176"/>
      <c r="B23" s="160" t="s">
        <v>12</v>
      </c>
      <c r="C23" s="177" t="s">
        <v>62</v>
      </c>
      <c r="D23" s="52"/>
      <c r="E23" s="53"/>
      <c r="F23" s="178"/>
      <c r="G23" s="178"/>
      <c r="H23" s="179" t="s">
        <v>14</v>
      </c>
      <c r="I23" s="160" t="s">
        <v>15</v>
      </c>
      <c r="J23" s="160" t="s">
        <v>16</v>
      </c>
      <c r="K23" s="139"/>
      <c r="L23" s="160" t="s">
        <v>17</v>
      </c>
      <c r="M23" s="160" t="s">
        <v>15</v>
      </c>
      <c r="N23" s="176" t="s">
        <v>18</v>
      </c>
      <c r="O23" s="139"/>
      <c r="P23" s="139"/>
      <c r="Q23" s="176" t="s">
        <v>129</v>
      </c>
      <c r="R23" s="180"/>
      <c r="S23" s="160" t="s">
        <v>17</v>
      </c>
      <c r="T23" s="160" t="s">
        <v>15</v>
      </c>
      <c r="U23" s="176" t="s">
        <v>18</v>
      </c>
      <c r="V23" s="139"/>
      <c r="W23" s="176" t="s">
        <v>19</v>
      </c>
      <c r="X23" s="176" t="s">
        <v>20</v>
      </c>
      <c r="Y23" s="176" t="s">
        <v>21</v>
      </c>
      <c r="Z23" s="176" t="s">
        <v>193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</row>
    <row r="24" ht="27.0" customHeight="1">
      <c r="A24" s="181">
        <v>1.0</v>
      </c>
      <c r="B24" s="182" t="s">
        <v>117</v>
      </c>
      <c r="C24" s="183">
        <v>80.0</v>
      </c>
      <c r="D24" s="183">
        <v>204.0</v>
      </c>
      <c r="E24" s="183">
        <v>155.0</v>
      </c>
      <c r="F24" s="183">
        <f t="shared" ref="F24:F138" si="5">VALUE(IF(RIGHT(B24, 1)="%", RIGHT(B24, 3), 0))</f>
        <v>0.8</v>
      </c>
      <c r="G24" s="183">
        <f t="shared" ref="G24:G138" si="6">+R24*C24/100*D24/100*E24/100</f>
        <v>46.7976</v>
      </c>
      <c r="H24" s="184">
        <f t="shared" ref="H24:H138" si="7">IF(F24=0, G24, F24*G24)</f>
        <v>37.43808</v>
      </c>
      <c r="I24" s="183">
        <v>1.0</v>
      </c>
      <c r="J24" s="193">
        <f t="shared" ref="J24:J138" si="8">+I24*H24</f>
        <v>37.43808</v>
      </c>
      <c r="K24" s="186"/>
      <c r="L24" s="187">
        <f>D24*25.4/1000</f>
        <v>5.1816</v>
      </c>
      <c r="M24" s="181">
        <f>+I24</f>
        <v>1</v>
      </c>
      <c r="N24" s="181">
        <f>M24*L24</f>
        <v>5.1816</v>
      </c>
      <c r="O24" s="186"/>
      <c r="P24" s="186"/>
      <c r="Q24" s="187"/>
      <c r="R24" s="298">
        <v>18.5</v>
      </c>
      <c r="S24" s="187">
        <f t="shared" ref="S24:S139" si="9">E24/100</f>
        <v>1.55</v>
      </c>
      <c r="T24" s="181">
        <f t="shared" ref="T24:T139" si="10">I24</f>
        <v>1</v>
      </c>
      <c r="U24" s="181">
        <f t="shared" ref="U24:U139" si="11">T24*S24</f>
        <v>1.55</v>
      </c>
      <c r="V24" s="278">
        <f t="shared" ref="V24:V138" si="12">R24*C24/100*D24/100*E24/100</f>
        <v>46.7976</v>
      </c>
      <c r="W24" s="187">
        <f t="shared" ref="W24:X24" si="4">C24/100</f>
        <v>0.8</v>
      </c>
      <c r="X24" s="187">
        <f t="shared" si="4"/>
        <v>2.04</v>
      </c>
      <c r="Y24" s="187">
        <f t="shared" ref="Y24:Y139" si="14">U24</f>
        <v>1.55</v>
      </c>
      <c r="Z24" s="189">
        <f t="shared" ref="Z24:Z139" si="15">W24*X24*Y24</f>
        <v>2.5296</v>
      </c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</row>
    <row r="25" ht="27.0" customHeight="1">
      <c r="A25" s="181">
        <v>2.0</v>
      </c>
      <c r="B25" s="191" t="s">
        <v>111</v>
      </c>
      <c r="C25" s="191">
        <v>91.0</v>
      </c>
      <c r="D25" s="191">
        <v>204.0</v>
      </c>
      <c r="E25" s="191">
        <v>151.0</v>
      </c>
      <c r="F25" s="191">
        <f t="shared" si="5"/>
        <v>0</v>
      </c>
      <c r="G25" s="191">
        <f t="shared" si="6"/>
        <v>51.858534</v>
      </c>
      <c r="H25" s="219">
        <f t="shared" si="7"/>
        <v>51.858534</v>
      </c>
      <c r="I25" s="218">
        <v>1.0</v>
      </c>
      <c r="J25" s="193">
        <f t="shared" si="8"/>
        <v>51.858534</v>
      </c>
      <c r="K25" s="186"/>
      <c r="L25" s="187"/>
      <c r="M25" s="181"/>
      <c r="N25" s="181"/>
      <c r="O25" s="186"/>
      <c r="P25" s="186"/>
      <c r="Q25" s="187"/>
      <c r="R25" s="298">
        <v>18.5</v>
      </c>
      <c r="S25" s="187">
        <f t="shared" si="9"/>
        <v>1.51</v>
      </c>
      <c r="T25" s="181">
        <f t="shared" si="10"/>
        <v>1</v>
      </c>
      <c r="U25" s="181">
        <f t="shared" si="11"/>
        <v>1.51</v>
      </c>
      <c r="V25" s="278">
        <f t="shared" si="12"/>
        <v>51.858534</v>
      </c>
      <c r="W25" s="187">
        <f t="shared" ref="W25:X25" si="13">C25/100</f>
        <v>0.91</v>
      </c>
      <c r="X25" s="187">
        <f t="shared" si="13"/>
        <v>2.04</v>
      </c>
      <c r="Y25" s="187">
        <f t="shared" si="14"/>
        <v>1.51</v>
      </c>
      <c r="Z25" s="189">
        <f t="shared" si="15"/>
        <v>2.803164</v>
      </c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</row>
    <row r="26" ht="27.0" customHeight="1">
      <c r="A26" s="181">
        <v>3.0</v>
      </c>
      <c r="B26" s="191" t="s">
        <v>111</v>
      </c>
      <c r="C26" s="191">
        <v>30.0</v>
      </c>
      <c r="D26" s="191">
        <v>204.0</v>
      </c>
      <c r="E26" s="191">
        <v>187.0</v>
      </c>
      <c r="F26" s="191">
        <f t="shared" si="5"/>
        <v>0</v>
      </c>
      <c r="G26" s="191">
        <f t="shared" si="6"/>
        <v>21.17214</v>
      </c>
      <c r="H26" s="219">
        <f t="shared" si="7"/>
        <v>21.17214</v>
      </c>
      <c r="I26" s="218">
        <v>1.0</v>
      </c>
      <c r="J26" s="193">
        <f t="shared" si="8"/>
        <v>21.17214</v>
      </c>
      <c r="K26" s="186"/>
      <c r="L26" s="187">
        <f t="shared" ref="L26:L42" si="17">D26*25.4/1000</f>
        <v>5.1816</v>
      </c>
      <c r="M26" s="181">
        <f t="shared" ref="M26:M46" si="18">+I26</f>
        <v>1</v>
      </c>
      <c r="N26" s="181">
        <f t="shared" ref="N26:N42" si="19">M26*L26</f>
        <v>5.1816</v>
      </c>
      <c r="O26" s="186"/>
      <c r="P26" s="186"/>
      <c r="Q26" s="187"/>
      <c r="R26" s="298">
        <v>18.5</v>
      </c>
      <c r="S26" s="187">
        <f t="shared" si="9"/>
        <v>1.87</v>
      </c>
      <c r="T26" s="181">
        <f t="shared" si="10"/>
        <v>1</v>
      </c>
      <c r="U26" s="181">
        <f t="shared" si="11"/>
        <v>1.87</v>
      </c>
      <c r="V26" s="278">
        <f t="shared" si="12"/>
        <v>21.17214</v>
      </c>
      <c r="W26" s="187">
        <f t="shared" ref="W26:X26" si="16">C26/100</f>
        <v>0.3</v>
      </c>
      <c r="X26" s="187">
        <f t="shared" si="16"/>
        <v>2.04</v>
      </c>
      <c r="Y26" s="187">
        <f t="shared" si="14"/>
        <v>1.87</v>
      </c>
      <c r="Z26" s="189">
        <f t="shared" si="15"/>
        <v>1.14444</v>
      </c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</row>
    <row r="27" ht="27.0" customHeight="1">
      <c r="A27" s="181">
        <v>4.0</v>
      </c>
      <c r="B27" s="191" t="s">
        <v>111</v>
      </c>
      <c r="C27" s="191">
        <v>74.0</v>
      </c>
      <c r="D27" s="191">
        <v>204.0</v>
      </c>
      <c r="E27" s="191">
        <v>190.0</v>
      </c>
      <c r="F27" s="191">
        <f t="shared" si="5"/>
        <v>0</v>
      </c>
      <c r="G27" s="191">
        <f t="shared" si="6"/>
        <v>53.06244</v>
      </c>
      <c r="H27" s="219">
        <f t="shared" si="7"/>
        <v>53.06244</v>
      </c>
      <c r="I27" s="218">
        <v>1.0</v>
      </c>
      <c r="J27" s="193">
        <f t="shared" si="8"/>
        <v>53.06244</v>
      </c>
      <c r="K27" s="186"/>
      <c r="L27" s="187">
        <f t="shared" si="17"/>
        <v>5.1816</v>
      </c>
      <c r="M27" s="181">
        <f t="shared" si="18"/>
        <v>1</v>
      </c>
      <c r="N27" s="181">
        <f t="shared" si="19"/>
        <v>5.1816</v>
      </c>
      <c r="O27" s="186"/>
      <c r="P27" s="186"/>
      <c r="Q27" s="187"/>
      <c r="R27" s="298">
        <v>18.5</v>
      </c>
      <c r="S27" s="187">
        <f t="shared" si="9"/>
        <v>1.9</v>
      </c>
      <c r="T27" s="181">
        <f t="shared" si="10"/>
        <v>1</v>
      </c>
      <c r="U27" s="181">
        <f t="shared" si="11"/>
        <v>1.9</v>
      </c>
      <c r="V27" s="278">
        <f t="shared" si="12"/>
        <v>53.06244</v>
      </c>
      <c r="W27" s="187">
        <f t="shared" ref="W27:X27" si="20">C27/100</f>
        <v>0.74</v>
      </c>
      <c r="X27" s="187">
        <f t="shared" si="20"/>
        <v>2.04</v>
      </c>
      <c r="Y27" s="187">
        <f t="shared" si="14"/>
        <v>1.9</v>
      </c>
      <c r="Z27" s="189">
        <f t="shared" si="15"/>
        <v>2.86824</v>
      </c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</row>
    <row r="28" ht="27.0" customHeight="1">
      <c r="A28" s="181">
        <v>5.0</v>
      </c>
      <c r="B28" s="191" t="s">
        <v>111</v>
      </c>
      <c r="C28" s="191">
        <v>100.0</v>
      </c>
      <c r="D28" s="191">
        <v>204.0</v>
      </c>
      <c r="E28" s="191">
        <v>157.0</v>
      </c>
      <c r="F28" s="191">
        <f t="shared" si="5"/>
        <v>0</v>
      </c>
      <c r="G28" s="191">
        <f t="shared" si="6"/>
        <v>59.2518</v>
      </c>
      <c r="H28" s="219">
        <f t="shared" si="7"/>
        <v>59.2518</v>
      </c>
      <c r="I28" s="218">
        <v>6.0</v>
      </c>
      <c r="J28" s="193">
        <f t="shared" si="8"/>
        <v>355.5108</v>
      </c>
      <c r="K28" s="186"/>
      <c r="L28" s="187">
        <f t="shared" si="17"/>
        <v>5.1816</v>
      </c>
      <c r="M28" s="181">
        <f t="shared" si="18"/>
        <v>6</v>
      </c>
      <c r="N28" s="181">
        <f t="shared" si="19"/>
        <v>31.0896</v>
      </c>
      <c r="O28" s="186"/>
      <c r="P28" s="186"/>
      <c r="Q28" s="187"/>
      <c r="R28" s="298">
        <v>18.5</v>
      </c>
      <c r="S28" s="187">
        <f t="shared" si="9"/>
        <v>1.57</v>
      </c>
      <c r="T28" s="181">
        <f t="shared" si="10"/>
        <v>6</v>
      </c>
      <c r="U28" s="181">
        <f t="shared" si="11"/>
        <v>9.42</v>
      </c>
      <c r="V28" s="278">
        <f t="shared" si="12"/>
        <v>59.2518</v>
      </c>
      <c r="W28" s="187">
        <f t="shared" ref="W28:X28" si="21">C28/100</f>
        <v>1</v>
      </c>
      <c r="X28" s="187">
        <f t="shared" si="21"/>
        <v>2.04</v>
      </c>
      <c r="Y28" s="187">
        <f t="shared" si="14"/>
        <v>9.42</v>
      </c>
      <c r="Z28" s="189">
        <f t="shared" si="15"/>
        <v>19.2168</v>
      </c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</row>
    <row r="29" ht="27.0" customHeight="1">
      <c r="A29" s="181">
        <v>6.0</v>
      </c>
      <c r="B29" s="191" t="s">
        <v>111</v>
      </c>
      <c r="C29" s="191">
        <v>94.0</v>
      </c>
      <c r="D29" s="191">
        <v>204.0</v>
      </c>
      <c r="E29" s="191">
        <v>155.0</v>
      </c>
      <c r="F29" s="191">
        <f t="shared" si="5"/>
        <v>0</v>
      </c>
      <c r="G29" s="191">
        <f t="shared" si="6"/>
        <v>54.98718</v>
      </c>
      <c r="H29" s="219">
        <f t="shared" si="7"/>
        <v>54.98718</v>
      </c>
      <c r="I29" s="218">
        <v>1.0</v>
      </c>
      <c r="J29" s="193">
        <f t="shared" si="8"/>
        <v>54.98718</v>
      </c>
      <c r="K29" s="186"/>
      <c r="L29" s="187">
        <f t="shared" si="17"/>
        <v>5.1816</v>
      </c>
      <c r="M29" s="181">
        <f t="shared" si="18"/>
        <v>1</v>
      </c>
      <c r="N29" s="181">
        <f t="shared" si="19"/>
        <v>5.1816</v>
      </c>
      <c r="O29" s="186"/>
      <c r="P29" s="186"/>
      <c r="Q29" s="187"/>
      <c r="R29" s="298">
        <v>18.5</v>
      </c>
      <c r="S29" s="187">
        <f t="shared" si="9"/>
        <v>1.55</v>
      </c>
      <c r="T29" s="181">
        <f t="shared" si="10"/>
        <v>1</v>
      </c>
      <c r="U29" s="181">
        <f t="shared" si="11"/>
        <v>1.55</v>
      </c>
      <c r="V29" s="278">
        <f t="shared" si="12"/>
        <v>54.98718</v>
      </c>
      <c r="W29" s="187">
        <f t="shared" ref="W29:X29" si="22">C29/100</f>
        <v>0.94</v>
      </c>
      <c r="X29" s="187">
        <f t="shared" si="22"/>
        <v>2.04</v>
      </c>
      <c r="Y29" s="187">
        <f t="shared" si="14"/>
        <v>1.55</v>
      </c>
      <c r="Z29" s="189">
        <f t="shared" si="15"/>
        <v>2.97228</v>
      </c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</row>
    <row r="30" ht="27.0" customHeight="1">
      <c r="A30" s="181">
        <v>7.0</v>
      </c>
      <c r="B30" s="191" t="s">
        <v>111</v>
      </c>
      <c r="C30" s="191">
        <v>98.0</v>
      </c>
      <c r="D30" s="191">
        <v>204.0</v>
      </c>
      <c r="E30" s="191">
        <v>157.0</v>
      </c>
      <c r="F30" s="191">
        <f t="shared" si="5"/>
        <v>0</v>
      </c>
      <c r="G30" s="191">
        <f t="shared" si="6"/>
        <v>58.066764</v>
      </c>
      <c r="H30" s="219">
        <f t="shared" si="7"/>
        <v>58.066764</v>
      </c>
      <c r="I30" s="218">
        <v>1.0</v>
      </c>
      <c r="J30" s="193">
        <f t="shared" si="8"/>
        <v>58.066764</v>
      </c>
      <c r="K30" s="186"/>
      <c r="L30" s="187">
        <f t="shared" si="17"/>
        <v>5.1816</v>
      </c>
      <c r="M30" s="181">
        <f t="shared" si="18"/>
        <v>1</v>
      </c>
      <c r="N30" s="181">
        <f t="shared" si="19"/>
        <v>5.1816</v>
      </c>
      <c r="O30" s="186"/>
      <c r="P30" s="186"/>
      <c r="Q30" s="187"/>
      <c r="R30" s="298">
        <v>18.5</v>
      </c>
      <c r="S30" s="187">
        <f t="shared" si="9"/>
        <v>1.57</v>
      </c>
      <c r="T30" s="181">
        <f t="shared" si="10"/>
        <v>1</v>
      </c>
      <c r="U30" s="181">
        <f t="shared" si="11"/>
        <v>1.57</v>
      </c>
      <c r="V30" s="278">
        <f t="shared" si="12"/>
        <v>58.066764</v>
      </c>
      <c r="W30" s="187">
        <f t="shared" ref="W30:X30" si="23">C30/100</f>
        <v>0.98</v>
      </c>
      <c r="X30" s="187">
        <f t="shared" si="23"/>
        <v>2.04</v>
      </c>
      <c r="Y30" s="187">
        <f t="shared" si="14"/>
        <v>1.57</v>
      </c>
      <c r="Z30" s="189">
        <f t="shared" si="15"/>
        <v>3.138744</v>
      </c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</row>
    <row r="31" ht="27.0" customHeight="1">
      <c r="A31" s="181">
        <v>8.0</v>
      </c>
      <c r="B31" s="191" t="s">
        <v>111</v>
      </c>
      <c r="C31" s="191">
        <v>99.0</v>
      </c>
      <c r="D31" s="191">
        <v>204.0</v>
      </c>
      <c r="E31" s="191">
        <v>158.0</v>
      </c>
      <c r="F31" s="191">
        <f t="shared" si="5"/>
        <v>0</v>
      </c>
      <c r="G31" s="191">
        <f t="shared" si="6"/>
        <v>59.032908</v>
      </c>
      <c r="H31" s="219">
        <f t="shared" si="7"/>
        <v>59.032908</v>
      </c>
      <c r="I31" s="218">
        <v>2.0</v>
      </c>
      <c r="J31" s="193">
        <f t="shared" si="8"/>
        <v>118.065816</v>
      </c>
      <c r="K31" s="186"/>
      <c r="L31" s="187">
        <f t="shared" si="17"/>
        <v>5.1816</v>
      </c>
      <c r="M31" s="181">
        <f t="shared" si="18"/>
        <v>2</v>
      </c>
      <c r="N31" s="181">
        <f t="shared" si="19"/>
        <v>10.3632</v>
      </c>
      <c r="O31" s="186"/>
      <c r="P31" s="186"/>
      <c r="Q31" s="187"/>
      <c r="R31" s="298">
        <v>18.5</v>
      </c>
      <c r="S31" s="187">
        <f t="shared" si="9"/>
        <v>1.58</v>
      </c>
      <c r="T31" s="181">
        <f t="shared" si="10"/>
        <v>2</v>
      </c>
      <c r="U31" s="181">
        <f t="shared" si="11"/>
        <v>3.16</v>
      </c>
      <c r="V31" s="278">
        <f t="shared" si="12"/>
        <v>59.032908</v>
      </c>
      <c r="W31" s="187">
        <f t="shared" ref="W31:X31" si="24">C31/100</f>
        <v>0.99</v>
      </c>
      <c r="X31" s="187">
        <f t="shared" si="24"/>
        <v>2.04</v>
      </c>
      <c r="Y31" s="187">
        <f t="shared" si="14"/>
        <v>3.16</v>
      </c>
      <c r="Z31" s="189">
        <f t="shared" si="15"/>
        <v>6.381936</v>
      </c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</row>
    <row r="32" ht="27.0" customHeight="1">
      <c r="A32" s="181">
        <v>9.0</v>
      </c>
      <c r="B32" s="191" t="s">
        <v>111</v>
      </c>
      <c r="C32" s="191">
        <v>99.0</v>
      </c>
      <c r="D32" s="191">
        <v>204.0</v>
      </c>
      <c r="E32" s="191">
        <v>157.0</v>
      </c>
      <c r="F32" s="191">
        <f t="shared" si="5"/>
        <v>0</v>
      </c>
      <c r="G32" s="191">
        <f t="shared" si="6"/>
        <v>58.659282</v>
      </c>
      <c r="H32" s="219">
        <f t="shared" si="7"/>
        <v>58.659282</v>
      </c>
      <c r="I32" s="218">
        <v>1.0</v>
      </c>
      <c r="J32" s="193">
        <f t="shared" si="8"/>
        <v>58.659282</v>
      </c>
      <c r="K32" s="186"/>
      <c r="L32" s="187">
        <f t="shared" si="17"/>
        <v>5.1816</v>
      </c>
      <c r="M32" s="181">
        <f t="shared" si="18"/>
        <v>1</v>
      </c>
      <c r="N32" s="181">
        <f t="shared" si="19"/>
        <v>5.1816</v>
      </c>
      <c r="O32" s="186"/>
      <c r="P32" s="186"/>
      <c r="Q32" s="187"/>
      <c r="R32" s="298">
        <v>18.5</v>
      </c>
      <c r="S32" s="187">
        <f t="shared" si="9"/>
        <v>1.57</v>
      </c>
      <c r="T32" s="181">
        <f t="shared" si="10"/>
        <v>1</v>
      </c>
      <c r="U32" s="181">
        <f t="shared" si="11"/>
        <v>1.57</v>
      </c>
      <c r="V32" s="278">
        <f t="shared" si="12"/>
        <v>58.659282</v>
      </c>
      <c r="W32" s="187">
        <f t="shared" ref="W32:X32" si="25">C32/100</f>
        <v>0.99</v>
      </c>
      <c r="X32" s="187">
        <f t="shared" si="25"/>
        <v>2.04</v>
      </c>
      <c r="Y32" s="187">
        <f t="shared" si="14"/>
        <v>1.57</v>
      </c>
      <c r="Z32" s="189">
        <f t="shared" si="15"/>
        <v>3.170772</v>
      </c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</row>
    <row r="33" ht="27.0" customHeight="1">
      <c r="A33" s="181">
        <v>10.0</v>
      </c>
      <c r="B33" s="191" t="s">
        <v>111</v>
      </c>
      <c r="C33" s="191">
        <v>100.0</v>
      </c>
      <c r="D33" s="191">
        <v>204.0</v>
      </c>
      <c r="E33" s="191">
        <v>156.0</v>
      </c>
      <c r="F33" s="191">
        <f t="shared" si="5"/>
        <v>0</v>
      </c>
      <c r="G33" s="191">
        <f t="shared" si="6"/>
        <v>58.8744</v>
      </c>
      <c r="H33" s="219">
        <f t="shared" si="7"/>
        <v>58.8744</v>
      </c>
      <c r="I33" s="218">
        <v>1.0</v>
      </c>
      <c r="J33" s="193">
        <f t="shared" si="8"/>
        <v>58.8744</v>
      </c>
      <c r="K33" s="186"/>
      <c r="L33" s="187">
        <f t="shared" si="17"/>
        <v>5.1816</v>
      </c>
      <c r="M33" s="181">
        <f t="shared" si="18"/>
        <v>1</v>
      </c>
      <c r="N33" s="181">
        <f t="shared" si="19"/>
        <v>5.1816</v>
      </c>
      <c r="O33" s="186"/>
      <c r="P33" s="186"/>
      <c r="Q33" s="187"/>
      <c r="R33" s="298">
        <v>18.5</v>
      </c>
      <c r="S33" s="187">
        <f t="shared" si="9"/>
        <v>1.56</v>
      </c>
      <c r="T33" s="181">
        <f t="shared" si="10"/>
        <v>1</v>
      </c>
      <c r="U33" s="181">
        <f t="shared" si="11"/>
        <v>1.56</v>
      </c>
      <c r="V33" s="278">
        <f t="shared" si="12"/>
        <v>58.8744</v>
      </c>
      <c r="W33" s="187">
        <f t="shared" ref="W33:X33" si="26">C33/100</f>
        <v>1</v>
      </c>
      <c r="X33" s="187">
        <f t="shared" si="26"/>
        <v>2.04</v>
      </c>
      <c r="Y33" s="187">
        <f t="shared" si="14"/>
        <v>1.56</v>
      </c>
      <c r="Z33" s="189">
        <f t="shared" si="15"/>
        <v>3.1824</v>
      </c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</row>
    <row r="34" ht="27.0" customHeight="1">
      <c r="A34" s="181">
        <v>11.0</v>
      </c>
      <c r="B34" s="191" t="s">
        <v>111</v>
      </c>
      <c r="C34" s="191">
        <v>100.0</v>
      </c>
      <c r="D34" s="191">
        <v>204.0</v>
      </c>
      <c r="E34" s="191">
        <v>155.0</v>
      </c>
      <c r="F34" s="191">
        <f t="shared" si="5"/>
        <v>0</v>
      </c>
      <c r="G34" s="191">
        <f t="shared" si="6"/>
        <v>58.497</v>
      </c>
      <c r="H34" s="219">
        <f t="shared" si="7"/>
        <v>58.497</v>
      </c>
      <c r="I34" s="218">
        <v>3.0</v>
      </c>
      <c r="J34" s="193">
        <f t="shared" si="8"/>
        <v>175.491</v>
      </c>
      <c r="K34" s="186"/>
      <c r="L34" s="187">
        <f t="shared" si="17"/>
        <v>5.1816</v>
      </c>
      <c r="M34" s="181">
        <f t="shared" si="18"/>
        <v>3</v>
      </c>
      <c r="N34" s="181">
        <f t="shared" si="19"/>
        <v>15.5448</v>
      </c>
      <c r="O34" s="186"/>
      <c r="P34" s="186"/>
      <c r="Q34" s="187"/>
      <c r="R34" s="298">
        <v>18.5</v>
      </c>
      <c r="S34" s="187">
        <f t="shared" si="9"/>
        <v>1.55</v>
      </c>
      <c r="T34" s="181">
        <f t="shared" si="10"/>
        <v>3</v>
      </c>
      <c r="U34" s="181">
        <f t="shared" si="11"/>
        <v>4.65</v>
      </c>
      <c r="V34" s="278">
        <f t="shared" si="12"/>
        <v>58.497</v>
      </c>
      <c r="W34" s="187">
        <f t="shared" ref="W34:X34" si="27">C34/100</f>
        <v>1</v>
      </c>
      <c r="X34" s="187">
        <f t="shared" si="27"/>
        <v>2.04</v>
      </c>
      <c r="Y34" s="187">
        <f t="shared" si="14"/>
        <v>4.65</v>
      </c>
      <c r="Z34" s="189">
        <f t="shared" si="15"/>
        <v>9.486</v>
      </c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</row>
    <row r="35" ht="27.0" customHeight="1">
      <c r="A35" s="181">
        <v>12.0</v>
      </c>
      <c r="B35" s="191" t="s">
        <v>111</v>
      </c>
      <c r="C35" s="191">
        <v>100.0</v>
      </c>
      <c r="D35" s="191">
        <v>204.0</v>
      </c>
      <c r="E35" s="191">
        <v>150.0</v>
      </c>
      <c r="F35" s="191">
        <f t="shared" si="5"/>
        <v>0</v>
      </c>
      <c r="G35" s="191">
        <f t="shared" si="6"/>
        <v>56.61</v>
      </c>
      <c r="H35" s="219">
        <f t="shared" si="7"/>
        <v>56.61</v>
      </c>
      <c r="I35" s="218">
        <v>1.0</v>
      </c>
      <c r="J35" s="193">
        <f t="shared" si="8"/>
        <v>56.61</v>
      </c>
      <c r="K35" s="186"/>
      <c r="L35" s="187">
        <f t="shared" si="17"/>
        <v>5.1816</v>
      </c>
      <c r="M35" s="181">
        <f t="shared" si="18"/>
        <v>1</v>
      </c>
      <c r="N35" s="181">
        <f t="shared" si="19"/>
        <v>5.1816</v>
      </c>
      <c r="O35" s="186"/>
      <c r="P35" s="186"/>
      <c r="Q35" s="187"/>
      <c r="R35" s="298">
        <v>18.5</v>
      </c>
      <c r="S35" s="187">
        <f t="shared" si="9"/>
        <v>1.5</v>
      </c>
      <c r="T35" s="181">
        <f t="shared" si="10"/>
        <v>1</v>
      </c>
      <c r="U35" s="181">
        <f t="shared" si="11"/>
        <v>1.5</v>
      </c>
      <c r="V35" s="278">
        <f t="shared" si="12"/>
        <v>56.61</v>
      </c>
      <c r="W35" s="187">
        <f t="shared" ref="W35:X35" si="28">C35/100</f>
        <v>1</v>
      </c>
      <c r="X35" s="187">
        <f t="shared" si="28"/>
        <v>2.04</v>
      </c>
      <c r="Y35" s="187">
        <f t="shared" si="14"/>
        <v>1.5</v>
      </c>
      <c r="Z35" s="189">
        <f t="shared" si="15"/>
        <v>3.06</v>
      </c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</row>
    <row r="36" ht="27.0" customHeight="1">
      <c r="A36" s="181">
        <v>13.0</v>
      </c>
      <c r="B36" s="191" t="s">
        <v>111</v>
      </c>
      <c r="C36" s="191">
        <v>100.0</v>
      </c>
      <c r="D36" s="191">
        <v>204.0</v>
      </c>
      <c r="E36" s="191">
        <v>164.0</v>
      </c>
      <c r="F36" s="191">
        <f t="shared" si="5"/>
        <v>0</v>
      </c>
      <c r="G36" s="191">
        <f t="shared" si="6"/>
        <v>61.8936</v>
      </c>
      <c r="H36" s="219">
        <f t="shared" si="7"/>
        <v>61.8936</v>
      </c>
      <c r="I36" s="218">
        <v>2.0</v>
      </c>
      <c r="J36" s="193">
        <f t="shared" si="8"/>
        <v>123.7872</v>
      </c>
      <c r="K36" s="186"/>
      <c r="L36" s="187">
        <f t="shared" si="17"/>
        <v>5.1816</v>
      </c>
      <c r="M36" s="181">
        <f t="shared" si="18"/>
        <v>2</v>
      </c>
      <c r="N36" s="181">
        <f t="shared" si="19"/>
        <v>10.3632</v>
      </c>
      <c r="O36" s="186"/>
      <c r="P36" s="186"/>
      <c r="Q36" s="187"/>
      <c r="R36" s="298">
        <v>18.5</v>
      </c>
      <c r="S36" s="187">
        <f t="shared" si="9"/>
        <v>1.64</v>
      </c>
      <c r="T36" s="181">
        <f t="shared" si="10"/>
        <v>2</v>
      </c>
      <c r="U36" s="181">
        <f t="shared" si="11"/>
        <v>3.28</v>
      </c>
      <c r="V36" s="278">
        <f t="shared" si="12"/>
        <v>61.8936</v>
      </c>
      <c r="W36" s="187">
        <f t="shared" ref="W36:X36" si="29">C36/100</f>
        <v>1</v>
      </c>
      <c r="X36" s="187">
        <f t="shared" si="29"/>
        <v>2.04</v>
      </c>
      <c r="Y36" s="187">
        <f t="shared" si="14"/>
        <v>3.28</v>
      </c>
      <c r="Z36" s="189">
        <f t="shared" si="15"/>
        <v>6.6912</v>
      </c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</row>
    <row r="37" ht="27.0" customHeight="1">
      <c r="A37" s="181">
        <v>14.0</v>
      </c>
      <c r="B37" s="191" t="s">
        <v>111</v>
      </c>
      <c r="C37" s="191">
        <v>99.0</v>
      </c>
      <c r="D37" s="191">
        <v>204.0</v>
      </c>
      <c r="E37" s="191">
        <v>156.0</v>
      </c>
      <c r="F37" s="191">
        <f t="shared" si="5"/>
        <v>0</v>
      </c>
      <c r="G37" s="191">
        <f t="shared" si="6"/>
        <v>58.285656</v>
      </c>
      <c r="H37" s="219">
        <f t="shared" si="7"/>
        <v>58.285656</v>
      </c>
      <c r="I37" s="218">
        <v>1.0</v>
      </c>
      <c r="J37" s="193">
        <f t="shared" si="8"/>
        <v>58.285656</v>
      </c>
      <c r="K37" s="186"/>
      <c r="L37" s="187">
        <f t="shared" si="17"/>
        <v>5.1816</v>
      </c>
      <c r="M37" s="181">
        <f t="shared" si="18"/>
        <v>1</v>
      </c>
      <c r="N37" s="181">
        <f t="shared" si="19"/>
        <v>5.1816</v>
      </c>
      <c r="O37" s="186"/>
      <c r="P37" s="186"/>
      <c r="Q37" s="187"/>
      <c r="R37" s="298">
        <v>18.5</v>
      </c>
      <c r="S37" s="187">
        <f t="shared" si="9"/>
        <v>1.56</v>
      </c>
      <c r="T37" s="181">
        <f t="shared" si="10"/>
        <v>1</v>
      </c>
      <c r="U37" s="181">
        <f t="shared" si="11"/>
        <v>1.56</v>
      </c>
      <c r="V37" s="278">
        <f t="shared" si="12"/>
        <v>58.285656</v>
      </c>
      <c r="W37" s="187">
        <f t="shared" ref="W37:X37" si="30">C37/100</f>
        <v>0.99</v>
      </c>
      <c r="X37" s="187">
        <f t="shared" si="30"/>
        <v>2.04</v>
      </c>
      <c r="Y37" s="187">
        <f t="shared" si="14"/>
        <v>1.56</v>
      </c>
      <c r="Z37" s="189">
        <f t="shared" si="15"/>
        <v>3.150576</v>
      </c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</row>
    <row r="38" ht="27.0" customHeight="1">
      <c r="A38" s="181">
        <v>15.0</v>
      </c>
      <c r="B38" s="182" t="s">
        <v>80</v>
      </c>
      <c r="C38" s="183">
        <v>87.0</v>
      </c>
      <c r="D38" s="183">
        <v>205.0</v>
      </c>
      <c r="E38" s="183">
        <v>234.0</v>
      </c>
      <c r="F38" s="183">
        <f t="shared" si="5"/>
        <v>0.8</v>
      </c>
      <c r="G38" s="183">
        <f t="shared" si="6"/>
        <v>68.860935</v>
      </c>
      <c r="H38" s="184">
        <f t="shared" si="7"/>
        <v>55.088748</v>
      </c>
      <c r="I38" s="183">
        <v>1.0</v>
      </c>
      <c r="J38" s="193">
        <f t="shared" si="8"/>
        <v>55.088748</v>
      </c>
      <c r="K38" s="186"/>
      <c r="L38" s="187">
        <f t="shared" si="17"/>
        <v>5.207</v>
      </c>
      <c r="M38" s="181">
        <f t="shared" si="18"/>
        <v>1</v>
      </c>
      <c r="N38" s="181">
        <f t="shared" si="19"/>
        <v>5.207</v>
      </c>
      <c r="O38" s="186"/>
      <c r="P38" s="186"/>
      <c r="Q38" s="187"/>
      <c r="R38" s="298">
        <v>16.5</v>
      </c>
      <c r="S38" s="187">
        <f t="shared" si="9"/>
        <v>2.34</v>
      </c>
      <c r="T38" s="181">
        <f t="shared" si="10"/>
        <v>1</v>
      </c>
      <c r="U38" s="181">
        <f t="shared" si="11"/>
        <v>2.34</v>
      </c>
      <c r="V38" s="278">
        <f t="shared" si="12"/>
        <v>68.860935</v>
      </c>
      <c r="W38" s="187">
        <f t="shared" ref="W38:X38" si="31">C38/100</f>
        <v>0.87</v>
      </c>
      <c r="X38" s="187">
        <f t="shared" si="31"/>
        <v>2.05</v>
      </c>
      <c r="Y38" s="187">
        <f t="shared" si="14"/>
        <v>2.34</v>
      </c>
      <c r="Z38" s="189">
        <f t="shared" si="15"/>
        <v>4.17339</v>
      </c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</row>
    <row r="39" ht="27.0" customHeight="1">
      <c r="A39" s="181">
        <v>16.0</v>
      </c>
      <c r="B39" s="191" t="s">
        <v>77</v>
      </c>
      <c r="C39" s="191">
        <v>103.0</v>
      </c>
      <c r="D39" s="191">
        <v>205.0</v>
      </c>
      <c r="E39" s="191">
        <v>237.0</v>
      </c>
      <c r="F39" s="191">
        <f t="shared" si="5"/>
        <v>0</v>
      </c>
      <c r="G39" s="191">
        <f t="shared" si="6"/>
        <v>82.5702075</v>
      </c>
      <c r="H39" s="219">
        <f t="shared" si="7"/>
        <v>82.5702075</v>
      </c>
      <c r="I39" s="218">
        <v>1.0</v>
      </c>
      <c r="J39" s="193">
        <f t="shared" si="8"/>
        <v>82.5702075</v>
      </c>
      <c r="K39" s="186"/>
      <c r="L39" s="187">
        <f t="shared" si="17"/>
        <v>5.207</v>
      </c>
      <c r="M39" s="181">
        <f t="shared" si="18"/>
        <v>1</v>
      </c>
      <c r="N39" s="181">
        <f t="shared" si="19"/>
        <v>5.207</v>
      </c>
      <c r="O39" s="186"/>
      <c r="P39" s="186"/>
      <c r="Q39" s="187" t="s">
        <v>169</v>
      </c>
      <c r="R39" s="298">
        <v>16.5</v>
      </c>
      <c r="S39" s="187">
        <f t="shared" si="9"/>
        <v>2.37</v>
      </c>
      <c r="T39" s="181">
        <f t="shared" si="10"/>
        <v>1</v>
      </c>
      <c r="U39" s="181">
        <f t="shared" si="11"/>
        <v>2.37</v>
      </c>
      <c r="V39" s="278">
        <f t="shared" si="12"/>
        <v>82.5702075</v>
      </c>
      <c r="W39" s="187">
        <f t="shared" ref="W39:X39" si="32">C39/100</f>
        <v>1.03</v>
      </c>
      <c r="X39" s="187">
        <f t="shared" si="32"/>
        <v>2.05</v>
      </c>
      <c r="Y39" s="187">
        <f t="shared" si="14"/>
        <v>2.37</v>
      </c>
      <c r="Z39" s="189">
        <f t="shared" si="15"/>
        <v>5.004255</v>
      </c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  <c r="AL39" s="186"/>
    </row>
    <row r="40" ht="27.0" customHeight="1">
      <c r="A40" s="181">
        <v>16.0</v>
      </c>
      <c r="B40" s="191" t="s">
        <v>77</v>
      </c>
      <c r="C40" s="191">
        <v>103.0</v>
      </c>
      <c r="D40" s="191">
        <v>205.0</v>
      </c>
      <c r="E40" s="191">
        <v>237.0</v>
      </c>
      <c r="F40" s="191">
        <f t="shared" si="5"/>
        <v>0</v>
      </c>
      <c r="G40" s="191">
        <f t="shared" si="6"/>
        <v>82.5702075</v>
      </c>
      <c r="H40" s="219">
        <f t="shared" si="7"/>
        <v>82.5702075</v>
      </c>
      <c r="I40" s="218">
        <v>1.0</v>
      </c>
      <c r="J40" s="193">
        <f t="shared" si="8"/>
        <v>82.5702075</v>
      </c>
      <c r="K40" s="186"/>
      <c r="L40" s="187">
        <f t="shared" si="17"/>
        <v>5.207</v>
      </c>
      <c r="M40" s="181">
        <f t="shared" si="18"/>
        <v>1</v>
      </c>
      <c r="N40" s="181">
        <f t="shared" si="19"/>
        <v>5.207</v>
      </c>
      <c r="O40" s="186"/>
      <c r="P40" s="186"/>
      <c r="Q40" s="187"/>
      <c r="R40" s="298">
        <v>16.5</v>
      </c>
      <c r="S40" s="187">
        <f t="shared" si="9"/>
        <v>2.37</v>
      </c>
      <c r="T40" s="181">
        <f t="shared" si="10"/>
        <v>1</v>
      </c>
      <c r="U40" s="181">
        <f t="shared" si="11"/>
        <v>2.37</v>
      </c>
      <c r="V40" s="278">
        <f t="shared" si="12"/>
        <v>82.5702075</v>
      </c>
      <c r="W40" s="187">
        <f t="shared" ref="W40:X40" si="33">C40/100</f>
        <v>1.03</v>
      </c>
      <c r="X40" s="187">
        <f t="shared" si="33"/>
        <v>2.05</v>
      </c>
      <c r="Y40" s="187">
        <f t="shared" si="14"/>
        <v>2.37</v>
      </c>
      <c r="Z40" s="189">
        <f t="shared" si="15"/>
        <v>5.004255</v>
      </c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</row>
    <row r="41" ht="27.0" customHeight="1">
      <c r="A41" s="181">
        <v>17.0</v>
      </c>
      <c r="B41" s="191" t="s">
        <v>77</v>
      </c>
      <c r="C41" s="191">
        <v>100.0</v>
      </c>
      <c r="D41" s="191">
        <v>205.0</v>
      </c>
      <c r="E41" s="191">
        <v>234.0</v>
      </c>
      <c r="F41" s="191">
        <f t="shared" si="5"/>
        <v>0</v>
      </c>
      <c r="G41" s="191">
        <f t="shared" si="6"/>
        <v>79.1505</v>
      </c>
      <c r="H41" s="219">
        <f t="shared" si="7"/>
        <v>79.1505</v>
      </c>
      <c r="I41" s="218">
        <v>1.0</v>
      </c>
      <c r="J41" s="193">
        <f t="shared" si="8"/>
        <v>79.1505</v>
      </c>
      <c r="K41" s="186"/>
      <c r="L41" s="187">
        <f t="shared" si="17"/>
        <v>5.207</v>
      </c>
      <c r="M41" s="181">
        <f t="shared" si="18"/>
        <v>1</v>
      </c>
      <c r="N41" s="181">
        <f t="shared" si="19"/>
        <v>5.207</v>
      </c>
      <c r="O41" s="186"/>
      <c r="P41" s="186"/>
      <c r="Q41" s="187"/>
      <c r="R41" s="298">
        <v>16.5</v>
      </c>
      <c r="S41" s="187">
        <f t="shared" si="9"/>
        <v>2.34</v>
      </c>
      <c r="T41" s="181">
        <f t="shared" si="10"/>
        <v>1</v>
      </c>
      <c r="U41" s="181">
        <f t="shared" si="11"/>
        <v>2.34</v>
      </c>
      <c r="V41" s="278">
        <f t="shared" si="12"/>
        <v>79.1505</v>
      </c>
      <c r="W41" s="187">
        <f t="shared" ref="W41:X41" si="34">C41/100</f>
        <v>1</v>
      </c>
      <c r="X41" s="187">
        <f t="shared" si="34"/>
        <v>2.05</v>
      </c>
      <c r="Y41" s="187">
        <f t="shared" si="14"/>
        <v>2.34</v>
      </c>
      <c r="Z41" s="189">
        <f t="shared" si="15"/>
        <v>4.797</v>
      </c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</row>
    <row r="42" ht="27.0" customHeight="1">
      <c r="A42" s="181">
        <v>18.0</v>
      </c>
      <c r="B42" s="191" t="s">
        <v>77</v>
      </c>
      <c r="C42" s="191">
        <v>106.0</v>
      </c>
      <c r="D42" s="191">
        <v>205.0</v>
      </c>
      <c r="E42" s="191">
        <v>236.0</v>
      </c>
      <c r="F42" s="191">
        <f t="shared" si="5"/>
        <v>0</v>
      </c>
      <c r="G42" s="191">
        <f t="shared" si="6"/>
        <v>84.61662</v>
      </c>
      <c r="H42" s="219">
        <f t="shared" si="7"/>
        <v>84.61662</v>
      </c>
      <c r="I42" s="218">
        <v>1.0</v>
      </c>
      <c r="J42" s="193">
        <f t="shared" si="8"/>
        <v>84.61662</v>
      </c>
      <c r="K42" s="186"/>
      <c r="L42" s="164">
        <f t="shared" si="17"/>
        <v>5.207</v>
      </c>
      <c r="M42" s="195">
        <f t="shared" si="18"/>
        <v>1</v>
      </c>
      <c r="N42" s="195">
        <f t="shared" si="19"/>
        <v>5.207</v>
      </c>
      <c r="O42" s="186"/>
      <c r="P42" s="186"/>
      <c r="Q42" s="187" t="s">
        <v>194</v>
      </c>
      <c r="R42" s="298">
        <v>16.5</v>
      </c>
      <c r="S42" s="187">
        <f t="shared" si="9"/>
        <v>2.36</v>
      </c>
      <c r="T42" s="181">
        <f t="shared" si="10"/>
        <v>1</v>
      </c>
      <c r="U42" s="181">
        <f t="shared" si="11"/>
        <v>2.36</v>
      </c>
      <c r="V42" s="278">
        <f t="shared" si="12"/>
        <v>84.61662</v>
      </c>
      <c r="W42" s="187">
        <f t="shared" ref="W42:X42" si="35">C42/100</f>
        <v>1.06</v>
      </c>
      <c r="X42" s="187">
        <f t="shared" si="35"/>
        <v>2.05</v>
      </c>
      <c r="Y42" s="187">
        <f t="shared" si="14"/>
        <v>2.36</v>
      </c>
      <c r="Z42" s="189">
        <f t="shared" si="15"/>
        <v>5.12828</v>
      </c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</row>
    <row r="43" ht="27.0" customHeight="1">
      <c r="A43" s="181">
        <v>19.0</v>
      </c>
      <c r="B43" s="191" t="s">
        <v>77</v>
      </c>
      <c r="C43" s="191">
        <v>104.0</v>
      </c>
      <c r="D43" s="191">
        <v>205.0</v>
      </c>
      <c r="E43" s="191">
        <v>237.0</v>
      </c>
      <c r="F43" s="191">
        <f t="shared" si="5"/>
        <v>0</v>
      </c>
      <c r="G43" s="191">
        <f t="shared" si="6"/>
        <v>83.37186</v>
      </c>
      <c r="H43" s="219">
        <f t="shared" si="7"/>
        <v>83.37186</v>
      </c>
      <c r="I43" s="218">
        <v>1.0</v>
      </c>
      <c r="J43" s="193">
        <f t="shared" si="8"/>
        <v>83.37186</v>
      </c>
      <c r="K43" s="186"/>
      <c r="L43" s="164"/>
      <c r="M43" s="195">
        <f t="shared" si="18"/>
        <v>1</v>
      </c>
      <c r="N43" s="195"/>
      <c r="O43" s="186"/>
      <c r="P43" s="186"/>
      <c r="Q43" s="187"/>
      <c r="R43" s="298">
        <v>16.5</v>
      </c>
      <c r="S43" s="187">
        <f t="shared" si="9"/>
        <v>2.37</v>
      </c>
      <c r="T43" s="181">
        <f t="shared" si="10"/>
        <v>1</v>
      </c>
      <c r="U43" s="181">
        <f t="shared" si="11"/>
        <v>2.37</v>
      </c>
      <c r="V43" s="278">
        <f t="shared" si="12"/>
        <v>83.37186</v>
      </c>
      <c r="W43" s="187">
        <f t="shared" ref="W43:X43" si="36">C43/100</f>
        <v>1.04</v>
      </c>
      <c r="X43" s="187">
        <f t="shared" si="36"/>
        <v>2.05</v>
      </c>
      <c r="Y43" s="187">
        <f t="shared" si="14"/>
        <v>2.37</v>
      </c>
      <c r="Z43" s="189">
        <f t="shared" si="15"/>
        <v>5.05284</v>
      </c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</row>
    <row r="44" ht="27.0" customHeight="1">
      <c r="A44" s="181">
        <v>20.0</v>
      </c>
      <c r="B44" s="191" t="s">
        <v>77</v>
      </c>
      <c r="C44" s="191">
        <v>101.0</v>
      </c>
      <c r="D44" s="191">
        <v>205.0</v>
      </c>
      <c r="E44" s="191">
        <v>236.0</v>
      </c>
      <c r="F44" s="191">
        <f t="shared" si="5"/>
        <v>0</v>
      </c>
      <c r="G44" s="191">
        <f t="shared" si="6"/>
        <v>80.62527</v>
      </c>
      <c r="H44" s="219">
        <f t="shared" si="7"/>
        <v>80.62527</v>
      </c>
      <c r="I44" s="218">
        <v>1.0</v>
      </c>
      <c r="J44" s="193">
        <f t="shared" si="8"/>
        <v>80.62527</v>
      </c>
      <c r="K44" s="186"/>
      <c r="L44" s="164"/>
      <c r="M44" s="195">
        <f t="shared" si="18"/>
        <v>1</v>
      </c>
      <c r="N44" s="195"/>
      <c r="O44" s="186"/>
      <c r="P44" s="186"/>
      <c r="Q44" s="187"/>
      <c r="R44" s="298">
        <v>16.5</v>
      </c>
      <c r="S44" s="187">
        <f t="shared" si="9"/>
        <v>2.36</v>
      </c>
      <c r="T44" s="181">
        <f t="shared" si="10"/>
        <v>1</v>
      </c>
      <c r="U44" s="181">
        <f t="shared" si="11"/>
        <v>2.36</v>
      </c>
      <c r="V44" s="278">
        <f t="shared" si="12"/>
        <v>80.62527</v>
      </c>
      <c r="W44" s="187">
        <f t="shared" ref="W44:X44" si="37">C44/100</f>
        <v>1.01</v>
      </c>
      <c r="X44" s="187">
        <f t="shared" si="37"/>
        <v>2.05</v>
      </c>
      <c r="Y44" s="187">
        <f t="shared" si="14"/>
        <v>2.36</v>
      </c>
      <c r="Z44" s="189">
        <f t="shared" si="15"/>
        <v>4.88638</v>
      </c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</row>
    <row r="45" ht="27.0" customHeight="1">
      <c r="A45" s="181">
        <v>21.0</v>
      </c>
      <c r="B45" s="191" t="s">
        <v>77</v>
      </c>
      <c r="C45" s="191">
        <v>103.0</v>
      </c>
      <c r="D45" s="191">
        <v>205.0</v>
      </c>
      <c r="E45" s="191">
        <v>236.0</v>
      </c>
      <c r="F45" s="191">
        <f t="shared" si="5"/>
        <v>0</v>
      </c>
      <c r="G45" s="191">
        <f t="shared" si="6"/>
        <v>82.22181</v>
      </c>
      <c r="H45" s="219">
        <f t="shared" si="7"/>
        <v>82.22181</v>
      </c>
      <c r="I45" s="218">
        <v>1.0</v>
      </c>
      <c r="J45" s="193">
        <f t="shared" si="8"/>
        <v>82.22181</v>
      </c>
      <c r="K45" s="186"/>
      <c r="L45" s="164"/>
      <c r="M45" s="195">
        <f t="shared" si="18"/>
        <v>1</v>
      </c>
      <c r="N45" s="195"/>
      <c r="O45" s="186"/>
      <c r="P45" s="186"/>
      <c r="Q45" s="187" t="s">
        <v>169</v>
      </c>
      <c r="R45" s="298">
        <v>16.5</v>
      </c>
      <c r="S45" s="187">
        <f t="shared" si="9"/>
        <v>2.36</v>
      </c>
      <c r="T45" s="181">
        <f t="shared" si="10"/>
        <v>1</v>
      </c>
      <c r="U45" s="181">
        <f t="shared" si="11"/>
        <v>2.36</v>
      </c>
      <c r="V45" s="278">
        <f t="shared" si="12"/>
        <v>82.22181</v>
      </c>
      <c r="W45" s="187">
        <f t="shared" ref="W45:X45" si="38">C45/100</f>
        <v>1.03</v>
      </c>
      <c r="X45" s="187">
        <f t="shared" si="38"/>
        <v>2.05</v>
      </c>
      <c r="Y45" s="187">
        <f t="shared" si="14"/>
        <v>2.36</v>
      </c>
      <c r="Z45" s="189">
        <f t="shared" si="15"/>
        <v>4.98314</v>
      </c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</row>
    <row r="46" ht="27.0" customHeight="1">
      <c r="A46" s="181">
        <v>21.0</v>
      </c>
      <c r="B46" s="191" t="s">
        <v>77</v>
      </c>
      <c r="C46" s="191">
        <v>103.0</v>
      </c>
      <c r="D46" s="191">
        <v>205.0</v>
      </c>
      <c r="E46" s="191">
        <v>236.0</v>
      </c>
      <c r="F46" s="191">
        <f t="shared" si="5"/>
        <v>0</v>
      </c>
      <c r="G46" s="191">
        <f t="shared" si="6"/>
        <v>82.22181</v>
      </c>
      <c r="H46" s="219">
        <f t="shared" si="7"/>
        <v>82.22181</v>
      </c>
      <c r="I46" s="218">
        <v>2.0</v>
      </c>
      <c r="J46" s="193">
        <f t="shared" si="8"/>
        <v>164.44362</v>
      </c>
      <c r="K46" s="186"/>
      <c r="L46" s="164"/>
      <c r="M46" s="195">
        <f t="shared" si="18"/>
        <v>2</v>
      </c>
      <c r="N46" s="195"/>
      <c r="O46" s="186"/>
      <c r="P46" s="186"/>
      <c r="Q46" s="187"/>
      <c r="R46" s="298">
        <v>16.5</v>
      </c>
      <c r="S46" s="187">
        <f t="shared" si="9"/>
        <v>2.36</v>
      </c>
      <c r="T46" s="181">
        <f t="shared" si="10"/>
        <v>2</v>
      </c>
      <c r="U46" s="181">
        <f t="shared" si="11"/>
        <v>4.72</v>
      </c>
      <c r="V46" s="278">
        <f t="shared" si="12"/>
        <v>82.22181</v>
      </c>
      <c r="W46" s="187">
        <f t="shared" ref="W46:X46" si="39">C46/100</f>
        <v>1.03</v>
      </c>
      <c r="X46" s="187">
        <f t="shared" si="39"/>
        <v>2.05</v>
      </c>
      <c r="Y46" s="187">
        <f t="shared" si="14"/>
        <v>4.72</v>
      </c>
      <c r="Z46" s="189">
        <f t="shared" si="15"/>
        <v>9.96628</v>
      </c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</row>
    <row r="47" ht="27.0" customHeight="1">
      <c r="A47" s="181">
        <v>22.0</v>
      </c>
      <c r="B47" s="191" t="s">
        <v>77</v>
      </c>
      <c r="C47" s="191">
        <v>104.0</v>
      </c>
      <c r="D47" s="191">
        <v>205.0</v>
      </c>
      <c r="E47" s="191">
        <v>236.0</v>
      </c>
      <c r="F47" s="191">
        <f t="shared" si="5"/>
        <v>0</v>
      </c>
      <c r="G47" s="191">
        <f t="shared" si="6"/>
        <v>83.02008</v>
      </c>
      <c r="H47" s="219">
        <f t="shared" si="7"/>
        <v>83.02008</v>
      </c>
      <c r="I47" s="218">
        <v>4.0</v>
      </c>
      <c r="J47" s="193">
        <f t="shared" si="8"/>
        <v>332.08032</v>
      </c>
      <c r="K47" s="186"/>
      <c r="L47" s="164"/>
      <c r="M47" s="195"/>
      <c r="N47" s="195"/>
      <c r="O47" s="186"/>
      <c r="P47" s="186"/>
      <c r="Q47" s="187"/>
      <c r="R47" s="298">
        <v>16.5</v>
      </c>
      <c r="S47" s="187">
        <f t="shared" si="9"/>
        <v>2.36</v>
      </c>
      <c r="T47" s="181">
        <f t="shared" si="10"/>
        <v>4</v>
      </c>
      <c r="U47" s="181">
        <f t="shared" si="11"/>
        <v>9.44</v>
      </c>
      <c r="V47" s="278">
        <f t="shared" si="12"/>
        <v>83.02008</v>
      </c>
      <c r="W47" s="187">
        <f t="shared" ref="W47:X47" si="40">C47/100</f>
        <v>1.04</v>
      </c>
      <c r="X47" s="187">
        <f t="shared" si="40"/>
        <v>2.05</v>
      </c>
      <c r="Y47" s="187">
        <f t="shared" si="14"/>
        <v>9.44</v>
      </c>
      <c r="Z47" s="189">
        <f t="shared" si="15"/>
        <v>20.12608</v>
      </c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</row>
    <row r="48" ht="27.0" customHeight="1">
      <c r="A48" s="181">
        <v>23.0</v>
      </c>
      <c r="B48" s="191" t="s">
        <v>77</v>
      </c>
      <c r="C48" s="191">
        <v>102.0</v>
      </c>
      <c r="D48" s="191">
        <v>205.0</v>
      </c>
      <c r="E48" s="191">
        <v>235.0</v>
      </c>
      <c r="F48" s="191">
        <f t="shared" si="5"/>
        <v>0</v>
      </c>
      <c r="G48" s="191">
        <f t="shared" si="6"/>
        <v>81.078525</v>
      </c>
      <c r="H48" s="219">
        <f t="shared" si="7"/>
        <v>81.078525</v>
      </c>
      <c r="I48" s="218">
        <v>1.0</v>
      </c>
      <c r="J48" s="193">
        <f t="shared" si="8"/>
        <v>81.078525</v>
      </c>
      <c r="K48" s="186"/>
      <c r="L48" s="164"/>
      <c r="M48" s="195"/>
      <c r="N48" s="195"/>
      <c r="O48" s="186"/>
      <c r="P48" s="186"/>
      <c r="Q48" s="187" t="s">
        <v>172</v>
      </c>
      <c r="R48" s="298">
        <v>16.5</v>
      </c>
      <c r="S48" s="187">
        <f t="shared" si="9"/>
        <v>2.35</v>
      </c>
      <c r="T48" s="181">
        <f t="shared" si="10"/>
        <v>1</v>
      </c>
      <c r="U48" s="181">
        <f t="shared" si="11"/>
        <v>2.35</v>
      </c>
      <c r="V48" s="278">
        <f t="shared" si="12"/>
        <v>81.078525</v>
      </c>
      <c r="W48" s="187">
        <f t="shared" ref="W48:X48" si="41">C48/100</f>
        <v>1.02</v>
      </c>
      <c r="X48" s="187">
        <f t="shared" si="41"/>
        <v>2.05</v>
      </c>
      <c r="Y48" s="187">
        <f t="shared" si="14"/>
        <v>2.35</v>
      </c>
      <c r="Z48" s="189">
        <f t="shared" si="15"/>
        <v>4.91385</v>
      </c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</row>
    <row r="49" ht="27.0" customHeight="1">
      <c r="A49" s="181">
        <v>23.0</v>
      </c>
      <c r="B49" s="191" t="s">
        <v>77</v>
      </c>
      <c r="C49" s="191">
        <v>102.0</v>
      </c>
      <c r="D49" s="191">
        <v>205.0</v>
      </c>
      <c r="E49" s="191">
        <v>235.0</v>
      </c>
      <c r="F49" s="191">
        <f t="shared" si="5"/>
        <v>0</v>
      </c>
      <c r="G49" s="191">
        <f t="shared" si="6"/>
        <v>81.078525</v>
      </c>
      <c r="H49" s="219">
        <f t="shared" si="7"/>
        <v>81.078525</v>
      </c>
      <c r="I49" s="218">
        <v>1.0</v>
      </c>
      <c r="J49" s="193">
        <f t="shared" si="8"/>
        <v>81.078525</v>
      </c>
      <c r="K49" s="186"/>
      <c r="L49" s="164"/>
      <c r="M49" s="195"/>
      <c r="N49" s="195"/>
      <c r="O49" s="186"/>
      <c r="P49" s="186"/>
      <c r="Q49" s="187"/>
      <c r="R49" s="298">
        <v>16.5</v>
      </c>
      <c r="S49" s="187">
        <f t="shared" si="9"/>
        <v>2.35</v>
      </c>
      <c r="T49" s="181">
        <f t="shared" si="10"/>
        <v>1</v>
      </c>
      <c r="U49" s="181">
        <f t="shared" si="11"/>
        <v>2.35</v>
      </c>
      <c r="V49" s="278">
        <f t="shared" si="12"/>
        <v>81.078525</v>
      </c>
      <c r="W49" s="187">
        <f t="shared" ref="W49:X49" si="42">C49/100</f>
        <v>1.02</v>
      </c>
      <c r="X49" s="187">
        <f t="shared" si="42"/>
        <v>2.05</v>
      </c>
      <c r="Y49" s="187">
        <f t="shared" si="14"/>
        <v>2.35</v>
      </c>
      <c r="Z49" s="189">
        <f t="shared" si="15"/>
        <v>4.91385</v>
      </c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</row>
    <row r="50" ht="27.0" customHeight="1">
      <c r="A50" s="181">
        <v>24.0</v>
      </c>
      <c r="B50" s="191" t="s">
        <v>77</v>
      </c>
      <c r="C50" s="191">
        <v>102.0</v>
      </c>
      <c r="D50" s="191">
        <v>205.0</v>
      </c>
      <c r="E50" s="191">
        <v>236.0</v>
      </c>
      <c r="F50" s="191">
        <f t="shared" si="5"/>
        <v>0</v>
      </c>
      <c r="G50" s="191">
        <f t="shared" si="6"/>
        <v>81.42354</v>
      </c>
      <c r="H50" s="219">
        <f t="shared" si="7"/>
        <v>81.42354</v>
      </c>
      <c r="I50" s="218">
        <v>1.0</v>
      </c>
      <c r="J50" s="193">
        <f t="shared" si="8"/>
        <v>81.42354</v>
      </c>
      <c r="K50" s="186"/>
      <c r="L50" s="164"/>
      <c r="M50" s="195"/>
      <c r="N50" s="195"/>
      <c r="O50" s="186"/>
      <c r="P50" s="186"/>
      <c r="Q50" s="187"/>
      <c r="R50" s="298">
        <v>16.5</v>
      </c>
      <c r="S50" s="187">
        <f t="shared" si="9"/>
        <v>2.36</v>
      </c>
      <c r="T50" s="181">
        <f t="shared" si="10"/>
        <v>1</v>
      </c>
      <c r="U50" s="181">
        <f t="shared" si="11"/>
        <v>2.36</v>
      </c>
      <c r="V50" s="278">
        <f t="shared" si="12"/>
        <v>81.42354</v>
      </c>
      <c r="W50" s="187">
        <f t="shared" ref="W50:X50" si="43">C50/100</f>
        <v>1.02</v>
      </c>
      <c r="X50" s="187">
        <f t="shared" si="43"/>
        <v>2.05</v>
      </c>
      <c r="Y50" s="187">
        <f t="shared" si="14"/>
        <v>2.36</v>
      </c>
      <c r="Z50" s="189">
        <f t="shared" si="15"/>
        <v>4.93476</v>
      </c>
      <c r="AA50" s="186"/>
      <c r="AB50" s="186"/>
      <c r="AC50" s="186"/>
      <c r="AD50" s="186"/>
      <c r="AE50" s="186"/>
      <c r="AF50" s="186"/>
      <c r="AG50" s="186"/>
      <c r="AH50" s="186"/>
      <c r="AI50" s="186"/>
      <c r="AJ50" s="186"/>
      <c r="AK50" s="186"/>
      <c r="AL50" s="186"/>
    </row>
    <row r="51" ht="27.0" customHeight="1">
      <c r="A51" s="181">
        <v>25.0</v>
      </c>
      <c r="B51" s="191" t="s">
        <v>77</v>
      </c>
      <c r="C51" s="191">
        <v>103.0</v>
      </c>
      <c r="D51" s="191">
        <v>205.0</v>
      </c>
      <c r="E51" s="191">
        <v>235.0</v>
      </c>
      <c r="F51" s="191">
        <f t="shared" si="5"/>
        <v>0</v>
      </c>
      <c r="G51" s="191">
        <f t="shared" si="6"/>
        <v>81.8734125</v>
      </c>
      <c r="H51" s="219">
        <f t="shared" si="7"/>
        <v>81.8734125</v>
      </c>
      <c r="I51" s="218">
        <v>1.0</v>
      </c>
      <c r="J51" s="193">
        <f t="shared" si="8"/>
        <v>81.8734125</v>
      </c>
      <c r="K51" s="186"/>
      <c r="L51" s="164"/>
      <c r="M51" s="195"/>
      <c r="N51" s="195"/>
      <c r="O51" s="186"/>
      <c r="P51" s="186"/>
      <c r="Q51" s="187" t="s">
        <v>172</v>
      </c>
      <c r="R51" s="298">
        <v>16.5</v>
      </c>
      <c r="S51" s="187">
        <f t="shared" si="9"/>
        <v>2.35</v>
      </c>
      <c r="T51" s="181">
        <f t="shared" si="10"/>
        <v>1</v>
      </c>
      <c r="U51" s="181">
        <f t="shared" si="11"/>
        <v>2.35</v>
      </c>
      <c r="V51" s="278">
        <f t="shared" si="12"/>
        <v>81.8734125</v>
      </c>
      <c r="W51" s="187">
        <f t="shared" ref="W51:X51" si="44">C51/100</f>
        <v>1.03</v>
      </c>
      <c r="X51" s="187">
        <f t="shared" si="44"/>
        <v>2.05</v>
      </c>
      <c r="Y51" s="187">
        <f t="shared" si="14"/>
        <v>2.35</v>
      </c>
      <c r="Z51" s="189">
        <f t="shared" si="15"/>
        <v>4.962025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</row>
    <row r="52" ht="27.0" customHeight="1">
      <c r="A52" s="181">
        <v>26.0</v>
      </c>
      <c r="B52" s="191" t="s">
        <v>77</v>
      </c>
      <c r="C52" s="191">
        <v>104.0</v>
      </c>
      <c r="D52" s="191">
        <v>205.0</v>
      </c>
      <c r="E52" s="191">
        <v>175.0</v>
      </c>
      <c r="F52" s="191">
        <f t="shared" si="5"/>
        <v>0</v>
      </c>
      <c r="G52" s="191">
        <f t="shared" si="6"/>
        <v>61.5615</v>
      </c>
      <c r="H52" s="219">
        <f t="shared" si="7"/>
        <v>61.5615</v>
      </c>
      <c r="I52" s="218">
        <v>1.0</v>
      </c>
      <c r="J52" s="193">
        <f t="shared" si="8"/>
        <v>61.5615</v>
      </c>
      <c r="K52" s="186"/>
      <c r="L52" s="164"/>
      <c r="M52" s="195"/>
      <c r="N52" s="195"/>
      <c r="O52" s="186"/>
      <c r="P52" s="186"/>
      <c r="Q52" s="187"/>
      <c r="R52" s="298">
        <v>16.5</v>
      </c>
      <c r="S52" s="187">
        <f t="shared" si="9"/>
        <v>1.75</v>
      </c>
      <c r="T52" s="181">
        <f t="shared" si="10"/>
        <v>1</v>
      </c>
      <c r="U52" s="181">
        <f t="shared" si="11"/>
        <v>1.75</v>
      </c>
      <c r="V52" s="278">
        <f t="shared" si="12"/>
        <v>61.5615</v>
      </c>
      <c r="W52" s="187">
        <f t="shared" ref="W52:X52" si="45">C52/100</f>
        <v>1.04</v>
      </c>
      <c r="X52" s="187">
        <f t="shared" si="45"/>
        <v>2.05</v>
      </c>
      <c r="Y52" s="187">
        <f t="shared" si="14"/>
        <v>1.75</v>
      </c>
      <c r="Z52" s="189">
        <f t="shared" si="15"/>
        <v>3.731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</row>
    <row r="53" ht="27.0" customHeight="1">
      <c r="A53" s="181">
        <v>27.0</v>
      </c>
      <c r="B53" s="182" t="s">
        <v>64</v>
      </c>
      <c r="C53" s="183">
        <v>88.0</v>
      </c>
      <c r="D53" s="183">
        <v>215.0</v>
      </c>
      <c r="E53" s="183">
        <v>201.0</v>
      </c>
      <c r="F53" s="183">
        <f t="shared" si="5"/>
        <v>0.8</v>
      </c>
      <c r="G53" s="183">
        <f t="shared" si="6"/>
        <v>112.18614</v>
      </c>
      <c r="H53" s="184">
        <f t="shared" si="7"/>
        <v>89.748912</v>
      </c>
      <c r="I53" s="183">
        <v>1.0</v>
      </c>
      <c r="J53" s="193">
        <f t="shared" si="8"/>
        <v>89.748912</v>
      </c>
      <c r="K53" s="186"/>
      <c r="L53" s="164"/>
      <c r="M53" s="195"/>
      <c r="N53" s="195"/>
      <c r="O53" s="186"/>
      <c r="P53" s="186"/>
      <c r="Q53" s="187"/>
      <c r="R53" s="196">
        <v>29.5</v>
      </c>
      <c r="S53" s="187">
        <f t="shared" si="9"/>
        <v>2.01</v>
      </c>
      <c r="T53" s="181">
        <f t="shared" si="10"/>
        <v>1</v>
      </c>
      <c r="U53" s="181">
        <f t="shared" si="11"/>
        <v>2.01</v>
      </c>
      <c r="V53" s="278">
        <f t="shared" si="12"/>
        <v>112.18614</v>
      </c>
      <c r="W53" s="187">
        <f t="shared" ref="W53:X53" si="46">C53/100</f>
        <v>0.88</v>
      </c>
      <c r="X53" s="187">
        <f t="shared" si="46"/>
        <v>2.15</v>
      </c>
      <c r="Y53" s="187">
        <f t="shared" si="14"/>
        <v>2.01</v>
      </c>
      <c r="Z53" s="189">
        <f t="shared" si="15"/>
        <v>3.80292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</row>
    <row r="54" ht="27.0" customHeight="1">
      <c r="A54" s="181">
        <v>28.0</v>
      </c>
      <c r="B54" s="191" t="s">
        <v>55</v>
      </c>
      <c r="C54" s="191">
        <v>95.0</v>
      </c>
      <c r="D54" s="191">
        <v>215.0</v>
      </c>
      <c r="E54" s="191">
        <v>226.0</v>
      </c>
      <c r="F54" s="191">
        <f t="shared" si="5"/>
        <v>0</v>
      </c>
      <c r="G54" s="191">
        <f t="shared" si="6"/>
        <v>136.173475</v>
      </c>
      <c r="H54" s="219">
        <f t="shared" si="7"/>
        <v>136.173475</v>
      </c>
      <c r="I54" s="218">
        <v>18.0</v>
      </c>
      <c r="J54" s="194">
        <f t="shared" si="8"/>
        <v>2451.12255</v>
      </c>
      <c r="K54" s="139"/>
      <c r="L54" s="197"/>
      <c r="M54" s="198"/>
      <c r="N54" s="198"/>
      <c r="O54" s="139"/>
      <c r="P54" s="139"/>
      <c r="Q54" s="176"/>
      <c r="R54" s="196">
        <v>29.5</v>
      </c>
      <c r="S54" s="187">
        <f t="shared" si="9"/>
        <v>2.26</v>
      </c>
      <c r="T54" s="181">
        <f t="shared" si="10"/>
        <v>18</v>
      </c>
      <c r="U54" s="181">
        <f t="shared" si="11"/>
        <v>40.68</v>
      </c>
      <c r="V54" s="278">
        <f t="shared" si="12"/>
        <v>136.173475</v>
      </c>
      <c r="W54" s="187">
        <f t="shared" ref="W54:X54" si="47">C54/100</f>
        <v>0.95</v>
      </c>
      <c r="X54" s="187">
        <f t="shared" si="47"/>
        <v>2.15</v>
      </c>
      <c r="Y54" s="187">
        <f t="shared" si="14"/>
        <v>40.68</v>
      </c>
      <c r="Z54" s="189">
        <f t="shared" si="15"/>
        <v>83.0889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</row>
    <row r="55" ht="27.0" customHeight="1">
      <c r="A55" s="181">
        <v>29.0</v>
      </c>
      <c r="B55" s="191" t="s">
        <v>55</v>
      </c>
      <c r="C55" s="191">
        <v>78.0</v>
      </c>
      <c r="D55" s="191">
        <v>215.0</v>
      </c>
      <c r="E55" s="191">
        <v>175.0</v>
      </c>
      <c r="F55" s="191">
        <f t="shared" si="5"/>
        <v>0</v>
      </c>
      <c r="G55" s="191">
        <f t="shared" si="6"/>
        <v>86.575125</v>
      </c>
      <c r="H55" s="219">
        <f t="shared" si="7"/>
        <v>86.575125</v>
      </c>
      <c r="I55" s="218">
        <v>1.0</v>
      </c>
      <c r="J55" s="194">
        <f t="shared" si="8"/>
        <v>86.575125</v>
      </c>
      <c r="K55" s="139"/>
      <c r="L55" s="197"/>
      <c r="M55" s="198"/>
      <c r="N55" s="198"/>
      <c r="O55" s="139"/>
      <c r="P55" s="139"/>
      <c r="Q55" s="176"/>
      <c r="R55" s="196">
        <v>29.5</v>
      </c>
      <c r="S55" s="187">
        <f t="shared" si="9"/>
        <v>1.75</v>
      </c>
      <c r="T55" s="181">
        <f t="shared" si="10"/>
        <v>1</v>
      </c>
      <c r="U55" s="181">
        <f t="shared" si="11"/>
        <v>1.75</v>
      </c>
      <c r="V55" s="278">
        <f t="shared" si="12"/>
        <v>86.575125</v>
      </c>
      <c r="W55" s="187">
        <f t="shared" ref="W55:X55" si="48">C55/100</f>
        <v>0.78</v>
      </c>
      <c r="X55" s="187">
        <f t="shared" si="48"/>
        <v>2.15</v>
      </c>
      <c r="Y55" s="187">
        <f t="shared" si="14"/>
        <v>1.75</v>
      </c>
      <c r="Z55" s="189">
        <f t="shared" si="15"/>
        <v>2.93475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</row>
    <row r="56" ht="27.0" customHeight="1">
      <c r="A56" s="181">
        <v>30.0</v>
      </c>
      <c r="B56" s="191" t="s">
        <v>55</v>
      </c>
      <c r="C56" s="191">
        <v>94.0</v>
      </c>
      <c r="D56" s="191">
        <v>215.0</v>
      </c>
      <c r="E56" s="191">
        <v>202.0</v>
      </c>
      <c r="F56" s="191">
        <f t="shared" si="5"/>
        <v>0</v>
      </c>
      <c r="G56" s="191">
        <f t="shared" si="6"/>
        <v>120.43139</v>
      </c>
      <c r="H56" s="219">
        <f t="shared" si="7"/>
        <v>120.43139</v>
      </c>
      <c r="I56" s="218">
        <v>2.0</v>
      </c>
      <c r="J56" s="194">
        <f t="shared" si="8"/>
        <v>240.86278</v>
      </c>
      <c r="K56" s="139"/>
      <c r="L56" s="197"/>
      <c r="M56" s="198"/>
      <c r="N56" s="198"/>
      <c r="O56" s="139"/>
      <c r="P56" s="139"/>
      <c r="Q56" s="176"/>
      <c r="R56" s="196">
        <v>29.5</v>
      </c>
      <c r="S56" s="187">
        <f t="shared" si="9"/>
        <v>2.02</v>
      </c>
      <c r="T56" s="181">
        <f t="shared" si="10"/>
        <v>2</v>
      </c>
      <c r="U56" s="181">
        <f t="shared" si="11"/>
        <v>4.04</v>
      </c>
      <c r="V56" s="278">
        <f t="shared" si="12"/>
        <v>120.43139</v>
      </c>
      <c r="W56" s="187">
        <f t="shared" ref="W56:X56" si="49">C56/100</f>
        <v>0.94</v>
      </c>
      <c r="X56" s="187">
        <f t="shared" si="49"/>
        <v>2.15</v>
      </c>
      <c r="Y56" s="187">
        <f t="shared" si="14"/>
        <v>4.04</v>
      </c>
      <c r="Z56" s="189">
        <f t="shared" si="15"/>
        <v>8.16484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</row>
    <row r="57" ht="27.0" customHeight="1">
      <c r="A57" s="181">
        <v>31.0</v>
      </c>
      <c r="B57" s="191" t="s">
        <v>55</v>
      </c>
      <c r="C57" s="191">
        <v>92.0</v>
      </c>
      <c r="D57" s="191">
        <v>215.0</v>
      </c>
      <c r="E57" s="191">
        <v>202.0</v>
      </c>
      <c r="F57" s="191">
        <f t="shared" si="5"/>
        <v>0</v>
      </c>
      <c r="G57" s="191">
        <f t="shared" si="6"/>
        <v>117.86902</v>
      </c>
      <c r="H57" s="219">
        <f t="shared" si="7"/>
        <v>117.86902</v>
      </c>
      <c r="I57" s="218">
        <v>3.0</v>
      </c>
      <c r="J57" s="194">
        <f t="shared" si="8"/>
        <v>353.60706</v>
      </c>
      <c r="K57" s="139"/>
      <c r="L57" s="197"/>
      <c r="M57" s="198"/>
      <c r="N57" s="198"/>
      <c r="O57" s="139"/>
      <c r="P57" s="139"/>
      <c r="Q57" s="176"/>
      <c r="R57" s="196">
        <v>29.5</v>
      </c>
      <c r="S57" s="187">
        <f t="shared" si="9"/>
        <v>2.02</v>
      </c>
      <c r="T57" s="181">
        <f t="shared" si="10"/>
        <v>3</v>
      </c>
      <c r="U57" s="181">
        <f t="shared" si="11"/>
        <v>6.06</v>
      </c>
      <c r="V57" s="278">
        <f t="shared" si="12"/>
        <v>117.86902</v>
      </c>
      <c r="W57" s="187">
        <f t="shared" ref="W57:X57" si="50">C57/100</f>
        <v>0.92</v>
      </c>
      <c r="X57" s="187">
        <f t="shared" si="50"/>
        <v>2.15</v>
      </c>
      <c r="Y57" s="187">
        <f t="shared" si="14"/>
        <v>6.06</v>
      </c>
      <c r="Z57" s="189">
        <f t="shared" si="15"/>
        <v>11.98668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</row>
    <row r="58" ht="27.0" customHeight="1">
      <c r="A58" s="181">
        <v>32.0</v>
      </c>
      <c r="B58" s="191" t="s">
        <v>55</v>
      </c>
      <c r="C58" s="191">
        <v>92.0</v>
      </c>
      <c r="D58" s="191">
        <v>215.0</v>
      </c>
      <c r="E58" s="191">
        <v>201.0</v>
      </c>
      <c r="F58" s="191">
        <f t="shared" si="5"/>
        <v>0</v>
      </c>
      <c r="G58" s="191">
        <f t="shared" si="6"/>
        <v>117.28551</v>
      </c>
      <c r="H58" s="219">
        <f t="shared" si="7"/>
        <v>117.28551</v>
      </c>
      <c r="I58" s="218">
        <v>1.0</v>
      </c>
      <c r="J58" s="194">
        <f t="shared" si="8"/>
        <v>117.28551</v>
      </c>
      <c r="K58" s="139"/>
      <c r="L58" s="197"/>
      <c r="M58" s="198"/>
      <c r="N58" s="198"/>
      <c r="O58" s="139"/>
      <c r="P58" s="139"/>
      <c r="Q58" s="176"/>
      <c r="R58" s="196">
        <v>29.5</v>
      </c>
      <c r="S58" s="187">
        <f t="shared" si="9"/>
        <v>2.01</v>
      </c>
      <c r="T58" s="181">
        <f t="shared" si="10"/>
        <v>1</v>
      </c>
      <c r="U58" s="181">
        <f t="shared" si="11"/>
        <v>2.01</v>
      </c>
      <c r="V58" s="278">
        <f t="shared" si="12"/>
        <v>117.28551</v>
      </c>
      <c r="W58" s="187">
        <f t="shared" ref="W58:X58" si="51">C58/100</f>
        <v>0.92</v>
      </c>
      <c r="X58" s="187">
        <f t="shared" si="51"/>
        <v>2.15</v>
      </c>
      <c r="Y58" s="187">
        <f t="shared" si="14"/>
        <v>2.01</v>
      </c>
      <c r="Z58" s="189">
        <f t="shared" si="15"/>
        <v>3.97578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</row>
    <row r="59" ht="27.0" customHeight="1">
      <c r="A59" s="181">
        <v>33.0</v>
      </c>
      <c r="B59" s="191" t="s">
        <v>55</v>
      </c>
      <c r="C59" s="191">
        <v>94.0</v>
      </c>
      <c r="D59" s="191">
        <v>215.0</v>
      </c>
      <c r="E59" s="191">
        <v>226.0</v>
      </c>
      <c r="F59" s="191">
        <f t="shared" si="5"/>
        <v>0</v>
      </c>
      <c r="G59" s="191">
        <f t="shared" si="6"/>
        <v>134.74007</v>
      </c>
      <c r="H59" s="219">
        <f t="shared" si="7"/>
        <v>134.74007</v>
      </c>
      <c r="I59" s="218">
        <v>1.0</v>
      </c>
      <c r="J59" s="194">
        <f t="shared" si="8"/>
        <v>134.74007</v>
      </c>
      <c r="K59" s="139"/>
      <c r="L59" s="197"/>
      <c r="M59" s="198"/>
      <c r="N59" s="198"/>
      <c r="O59" s="139"/>
      <c r="P59" s="139"/>
      <c r="Q59" s="176"/>
      <c r="R59" s="196">
        <v>29.5</v>
      </c>
      <c r="S59" s="187">
        <f t="shared" si="9"/>
        <v>2.26</v>
      </c>
      <c r="T59" s="181">
        <f t="shared" si="10"/>
        <v>1</v>
      </c>
      <c r="U59" s="181">
        <f t="shared" si="11"/>
        <v>2.26</v>
      </c>
      <c r="V59" s="278">
        <f t="shared" si="12"/>
        <v>134.74007</v>
      </c>
      <c r="W59" s="187">
        <f t="shared" ref="W59:X59" si="52">C59/100</f>
        <v>0.94</v>
      </c>
      <c r="X59" s="187">
        <f t="shared" si="52"/>
        <v>2.15</v>
      </c>
      <c r="Y59" s="187">
        <f t="shared" si="14"/>
        <v>2.26</v>
      </c>
      <c r="Z59" s="189">
        <f t="shared" si="15"/>
        <v>4.56746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</row>
    <row r="60" ht="27.0" customHeight="1">
      <c r="A60" s="181">
        <v>34.0</v>
      </c>
      <c r="B60" s="191" t="s">
        <v>55</v>
      </c>
      <c r="C60" s="191">
        <v>95.0</v>
      </c>
      <c r="D60" s="191">
        <v>215.0</v>
      </c>
      <c r="E60" s="191">
        <v>202.0</v>
      </c>
      <c r="F60" s="191">
        <f t="shared" si="5"/>
        <v>0</v>
      </c>
      <c r="G60" s="191">
        <f t="shared" si="6"/>
        <v>121.712575</v>
      </c>
      <c r="H60" s="219">
        <f t="shared" si="7"/>
        <v>121.712575</v>
      </c>
      <c r="I60" s="218">
        <v>1.0</v>
      </c>
      <c r="J60" s="194">
        <f t="shared" si="8"/>
        <v>121.712575</v>
      </c>
      <c r="K60" s="139"/>
      <c r="L60" s="197"/>
      <c r="M60" s="198"/>
      <c r="N60" s="198"/>
      <c r="O60" s="139"/>
      <c r="P60" s="139"/>
      <c r="Q60" s="176" t="s">
        <v>151</v>
      </c>
      <c r="R60" s="196">
        <v>29.5</v>
      </c>
      <c r="S60" s="187">
        <f t="shared" si="9"/>
        <v>2.02</v>
      </c>
      <c r="T60" s="181">
        <f t="shared" si="10"/>
        <v>1</v>
      </c>
      <c r="U60" s="181">
        <f t="shared" si="11"/>
        <v>2.02</v>
      </c>
      <c r="V60" s="278">
        <f t="shared" si="12"/>
        <v>121.712575</v>
      </c>
      <c r="W60" s="187">
        <f t="shared" ref="W60:X60" si="53">C60/100</f>
        <v>0.95</v>
      </c>
      <c r="X60" s="187">
        <f t="shared" si="53"/>
        <v>2.15</v>
      </c>
      <c r="Y60" s="187">
        <f t="shared" si="14"/>
        <v>2.02</v>
      </c>
      <c r="Z60" s="189">
        <f t="shared" si="15"/>
        <v>4.12585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</row>
    <row r="61" ht="27.0" customHeight="1">
      <c r="A61" s="181">
        <v>34.0</v>
      </c>
      <c r="B61" s="191" t="s">
        <v>55</v>
      </c>
      <c r="C61" s="191">
        <v>95.0</v>
      </c>
      <c r="D61" s="191">
        <v>215.0</v>
      </c>
      <c r="E61" s="191">
        <v>202.0</v>
      </c>
      <c r="F61" s="191">
        <f t="shared" si="5"/>
        <v>0</v>
      </c>
      <c r="G61" s="191">
        <f t="shared" si="6"/>
        <v>121.712575</v>
      </c>
      <c r="H61" s="219">
        <f t="shared" si="7"/>
        <v>121.712575</v>
      </c>
      <c r="I61" s="218">
        <v>1.0</v>
      </c>
      <c r="J61" s="194">
        <f t="shared" si="8"/>
        <v>121.712575</v>
      </c>
      <c r="K61" s="139"/>
      <c r="L61" s="197"/>
      <c r="M61" s="198"/>
      <c r="N61" s="198"/>
      <c r="O61" s="139"/>
      <c r="P61" s="139"/>
      <c r="Q61" s="176" t="s">
        <v>151</v>
      </c>
      <c r="R61" s="196">
        <v>29.5</v>
      </c>
      <c r="S61" s="187">
        <f t="shared" si="9"/>
        <v>2.02</v>
      </c>
      <c r="T61" s="181">
        <f t="shared" si="10"/>
        <v>1</v>
      </c>
      <c r="U61" s="181">
        <f t="shared" si="11"/>
        <v>2.02</v>
      </c>
      <c r="V61" s="278">
        <f t="shared" si="12"/>
        <v>121.712575</v>
      </c>
      <c r="W61" s="187">
        <f t="shared" ref="W61:X61" si="54">C61/100</f>
        <v>0.95</v>
      </c>
      <c r="X61" s="187">
        <f t="shared" si="54"/>
        <v>2.15</v>
      </c>
      <c r="Y61" s="187">
        <f t="shared" si="14"/>
        <v>2.02</v>
      </c>
      <c r="Z61" s="189">
        <f t="shared" si="15"/>
        <v>4.12585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</row>
    <row r="62" ht="27.0" customHeight="1">
      <c r="A62" s="181">
        <v>35.0</v>
      </c>
      <c r="B62" s="191" t="s">
        <v>55</v>
      </c>
      <c r="C62" s="191">
        <v>95.0</v>
      </c>
      <c r="D62" s="191">
        <v>215.0</v>
      </c>
      <c r="E62" s="191">
        <v>201.0</v>
      </c>
      <c r="F62" s="191">
        <f t="shared" si="5"/>
        <v>0</v>
      </c>
      <c r="G62" s="191">
        <f t="shared" si="6"/>
        <v>121.1100375</v>
      </c>
      <c r="H62" s="219">
        <f t="shared" si="7"/>
        <v>121.1100375</v>
      </c>
      <c r="I62" s="218">
        <v>6.0</v>
      </c>
      <c r="J62" s="194">
        <f t="shared" si="8"/>
        <v>726.660225</v>
      </c>
      <c r="K62" s="139"/>
      <c r="L62" s="197"/>
      <c r="M62" s="198"/>
      <c r="N62" s="198"/>
      <c r="O62" s="139"/>
      <c r="P62" s="139"/>
      <c r="Q62" s="176"/>
      <c r="R62" s="196">
        <v>29.5</v>
      </c>
      <c r="S62" s="187">
        <f t="shared" si="9"/>
        <v>2.01</v>
      </c>
      <c r="T62" s="181">
        <f t="shared" si="10"/>
        <v>6</v>
      </c>
      <c r="U62" s="181">
        <f t="shared" si="11"/>
        <v>12.06</v>
      </c>
      <c r="V62" s="278">
        <f t="shared" si="12"/>
        <v>121.1100375</v>
      </c>
      <c r="W62" s="187">
        <f t="shared" ref="W62:X62" si="55">C62/100</f>
        <v>0.95</v>
      </c>
      <c r="X62" s="187">
        <f t="shared" si="55"/>
        <v>2.15</v>
      </c>
      <c r="Y62" s="187">
        <f t="shared" si="14"/>
        <v>12.06</v>
      </c>
      <c r="Z62" s="189">
        <f t="shared" si="15"/>
        <v>24.63255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</row>
    <row r="63" ht="27.0" customHeight="1">
      <c r="A63" s="181">
        <v>34.0</v>
      </c>
      <c r="B63" s="191" t="s">
        <v>55</v>
      </c>
      <c r="C63" s="191">
        <v>95.0</v>
      </c>
      <c r="D63" s="191">
        <v>215.0</v>
      </c>
      <c r="E63" s="191">
        <v>202.0</v>
      </c>
      <c r="F63" s="191">
        <f t="shared" si="5"/>
        <v>0</v>
      </c>
      <c r="G63" s="191">
        <f t="shared" si="6"/>
        <v>121.712575</v>
      </c>
      <c r="H63" s="219">
        <f t="shared" si="7"/>
        <v>121.712575</v>
      </c>
      <c r="I63" s="218">
        <v>1.0</v>
      </c>
      <c r="J63" s="194">
        <f t="shared" si="8"/>
        <v>121.712575</v>
      </c>
      <c r="K63" s="139"/>
      <c r="L63" s="197"/>
      <c r="M63" s="198"/>
      <c r="N63" s="198"/>
      <c r="O63" s="139"/>
      <c r="P63" s="139"/>
      <c r="Q63" s="176" t="s">
        <v>151</v>
      </c>
      <c r="R63" s="196">
        <v>29.5</v>
      </c>
      <c r="S63" s="187">
        <f t="shared" si="9"/>
        <v>2.02</v>
      </c>
      <c r="T63" s="181">
        <f t="shared" si="10"/>
        <v>1</v>
      </c>
      <c r="U63" s="181">
        <f t="shared" si="11"/>
        <v>2.02</v>
      </c>
      <c r="V63" s="278">
        <f t="shared" si="12"/>
        <v>121.712575</v>
      </c>
      <c r="W63" s="187">
        <f t="shared" ref="W63:X63" si="56">C63/100</f>
        <v>0.95</v>
      </c>
      <c r="X63" s="187">
        <f t="shared" si="56"/>
        <v>2.15</v>
      </c>
      <c r="Y63" s="187">
        <f t="shared" si="14"/>
        <v>2.02</v>
      </c>
      <c r="Z63" s="189">
        <f t="shared" si="15"/>
        <v>4.12585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</row>
    <row r="64" ht="27.0" customHeight="1">
      <c r="A64" s="181">
        <v>35.0</v>
      </c>
      <c r="B64" s="191" t="s">
        <v>55</v>
      </c>
      <c r="C64" s="191">
        <v>95.0</v>
      </c>
      <c r="D64" s="191">
        <v>215.0</v>
      </c>
      <c r="E64" s="191">
        <v>201.0</v>
      </c>
      <c r="F64" s="191">
        <f t="shared" si="5"/>
        <v>0</v>
      </c>
      <c r="G64" s="191">
        <f t="shared" si="6"/>
        <v>121.1100375</v>
      </c>
      <c r="H64" s="219">
        <f t="shared" si="7"/>
        <v>121.1100375</v>
      </c>
      <c r="I64" s="218">
        <v>1.0</v>
      </c>
      <c r="J64" s="194">
        <f t="shared" si="8"/>
        <v>121.1100375</v>
      </c>
      <c r="K64" s="139"/>
      <c r="L64" s="197"/>
      <c r="M64" s="198"/>
      <c r="N64" s="198"/>
      <c r="O64" s="139"/>
      <c r="P64" s="139"/>
      <c r="Q64" s="176" t="s">
        <v>152</v>
      </c>
      <c r="R64" s="196">
        <v>29.5</v>
      </c>
      <c r="S64" s="187">
        <f t="shared" si="9"/>
        <v>2.01</v>
      </c>
      <c r="T64" s="181">
        <f t="shared" si="10"/>
        <v>1</v>
      </c>
      <c r="U64" s="181">
        <f t="shared" si="11"/>
        <v>2.01</v>
      </c>
      <c r="V64" s="278">
        <f t="shared" si="12"/>
        <v>121.1100375</v>
      </c>
      <c r="W64" s="187">
        <f t="shared" ref="W64:X64" si="57">C64/100</f>
        <v>0.95</v>
      </c>
      <c r="X64" s="187">
        <f t="shared" si="57"/>
        <v>2.15</v>
      </c>
      <c r="Y64" s="187">
        <f t="shared" si="14"/>
        <v>2.01</v>
      </c>
      <c r="Z64" s="189">
        <f t="shared" si="15"/>
        <v>4.105425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</row>
    <row r="65" ht="27.0" customHeight="1">
      <c r="A65" s="181">
        <v>35.0</v>
      </c>
      <c r="B65" s="191" t="s">
        <v>55</v>
      </c>
      <c r="C65" s="191">
        <v>95.0</v>
      </c>
      <c r="D65" s="191">
        <v>215.0</v>
      </c>
      <c r="E65" s="191">
        <v>201.0</v>
      </c>
      <c r="F65" s="191">
        <f t="shared" si="5"/>
        <v>0</v>
      </c>
      <c r="G65" s="191">
        <f t="shared" si="6"/>
        <v>121.1100375</v>
      </c>
      <c r="H65" s="219">
        <f t="shared" si="7"/>
        <v>121.1100375</v>
      </c>
      <c r="I65" s="218">
        <v>4.0</v>
      </c>
      <c r="J65" s="194">
        <f t="shared" si="8"/>
        <v>484.44015</v>
      </c>
      <c r="K65" s="139"/>
      <c r="L65" s="197"/>
      <c r="M65" s="198"/>
      <c r="N65" s="198"/>
      <c r="O65" s="139"/>
      <c r="P65" s="139"/>
      <c r="Q65" s="176"/>
      <c r="R65" s="196">
        <v>29.5</v>
      </c>
      <c r="S65" s="187">
        <f t="shared" si="9"/>
        <v>2.01</v>
      </c>
      <c r="T65" s="181">
        <f t="shared" si="10"/>
        <v>4</v>
      </c>
      <c r="U65" s="181">
        <f t="shared" si="11"/>
        <v>8.04</v>
      </c>
      <c r="V65" s="278">
        <f t="shared" si="12"/>
        <v>121.1100375</v>
      </c>
      <c r="W65" s="187">
        <f t="shared" ref="W65:X65" si="58">C65/100</f>
        <v>0.95</v>
      </c>
      <c r="X65" s="187">
        <f t="shared" si="58"/>
        <v>2.15</v>
      </c>
      <c r="Y65" s="187">
        <f t="shared" si="14"/>
        <v>8.04</v>
      </c>
      <c r="Z65" s="189">
        <f t="shared" si="15"/>
        <v>16.4217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</row>
    <row r="66" ht="27.0" customHeight="1">
      <c r="A66" s="181">
        <v>36.0</v>
      </c>
      <c r="B66" s="191" t="s">
        <v>55</v>
      </c>
      <c r="C66" s="191">
        <v>89.0</v>
      </c>
      <c r="D66" s="191">
        <v>215.0</v>
      </c>
      <c r="E66" s="191">
        <v>228.0</v>
      </c>
      <c r="F66" s="191">
        <f t="shared" si="5"/>
        <v>0</v>
      </c>
      <c r="G66" s="191">
        <f t="shared" si="6"/>
        <v>128.70201</v>
      </c>
      <c r="H66" s="219">
        <f t="shared" si="7"/>
        <v>128.70201</v>
      </c>
      <c r="I66" s="218">
        <v>1.0</v>
      </c>
      <c r="J66" s="194">
        <f t="shared" si="8"/>
        <v>128.70201</v>
      </c>
      <c r="K66" s="139"/>
      <c r="L66" s="197"/>
      <c r="M66" s="198"/>
      <c r="N66" s="198"/>
      <c r="O66" s="139"/>
      <c r="P66" s="139"/>
      <c r="Q66" s="176"/>
      <c r="R66" s="196">
        <v>29.5</v>
      </c>
      <c r="S66" s="187">
        <f t="shared" si="9"/>
        <v>2.28</v>
      </c>
      <c r="T66" s="181">
        <f t="shared" si="10"/>
        <v>1</v>
      </c>
      <c r="U66" s="181">
        <f t="shared" si="11"/>
        <v>2.28</v>
      </c>
      <c r="V66" s="278">
        <f t="shared" si="12"/>
        <v>128.70201</v>
      </c>
      <c r="W66" s="187">
        <f t="shared" ref="W66:X66" si="59">C66/100</f>
        <v>0.89</v>
      </c>
      <c r="X66" s="187">
        <f t="shared" si="59"/>
        <v>2.15</v>
      </c>
      <c r="Y66" s="187">
        <f t="shared" si="14"/>
        <v>2.28</v>
      </c>
      <c r="Z66" s="189">
        <f t="shared" si="15"/>
        <v>4.36278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</row>
    <row r="67" ht="27.0" customHeight="1">
      <c r="A67" s="181">
        <v>37.0</v>
      </c>
      <c r="B67" s="191" t="s">
        <v>55</v>
      </c>
      <c r="C67" s="191">
        <v>96.0</v>
      </c>
      <c r="D67" s="191">
        <v>215.0</v>
      </c>
      <c r="E67" s="191">
        <v>202.0</v>
      </c>
      <c r="F67" s="191">
        <f t="shared" si="5"/>
        <v>0</v>
      </c>
      <c r="G67" s="191">
        <f t="shared" si="6"/>
        <v>122.99376</v>
      </c>
      <c r="H67" s="219">
        <f t="shared" si="7"/>
        <v>122.99376</v>
      </c>
      <c r="I67" s="218">
        <v>1.0</v>
      </c>
      <c r="J67" s="194">
        <f t="shared" si="8"/>
        <v>122.99376</v>
      </c>
      <c r="K67" s="139"/>
      <c r="L67" s="197"/>
      <c r="M67" s="198"/>
      <c r="N67" s="198"/>
      <c r="O67" s="139"/>
      <c r="P67" s="139"/>
      <c r="Q67" s="176"/>
      <c r="R67" s="196">
        <v>29.5</v>
      </c>
      <c r="S67" s="187">
        <f t="shared" si="9"/>
        <v>2.02</v>
      </c>
      <c r="T67" s="181">
        <f t="shared" si="10"/>
        <v>1</v>
      </c>
      <c r="U67" s="181">
        <f t="shared" si="11"/>
        <v>2.02</v>
      </c>
      <c r="V67" s="278">
        <f t="shared" si="12"/>
        <v>122.99376</v>
      </c>
      <c r="W67" s="187">
        <f t="shared" ref="W67:X67" si="60">C67/100</f>
        <v>0.96</v>
      </c>
      <c r="X67" s="187">
        <f t="shared" si="60"/>
        <v>2.15</v>
      </c>
      <c r="Y67" s="187">
        <f t="shared" si="14"/>
        <v>2.02</v>
      </c>
      <c r="Z67" s="189">
        <f t="shared" si="15"/>
        <v>4.16928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</row>
    <row r="68" ht="27.0" customHeight="1">
      <c r="A68" s="181">
        <v>38.0</v>
      </c>
      <c r="B68" s="191" t="s">
        <v>55</v>
      </c>
      <c r="C68" s="191">
        <v>94.0</v>
      </c>
      <c r="D68" s="191">
        <v>215.0</v>
      </c>
      <c r="E68" s="191">
        <v>201.0</v>
      </c>
      <c r="F68" s="191">
        <f t="shared" si="5"/>
        <v>0</v>
      </c>
      <c r="G68" s="191">
        <f t="shared" si="6"/>
        <v>119.835195</v>
      </c>
      <c r="H68" s="219">
        <f t="shared" si="7"/>
        <v>119.835195</v>
      </c>
      <c r="I68" s="218">
        <v>1.0</v>
      </c>
      <c r="J68" s="194">
        <f t="shared" si="8"/>
        <v>119.835195</v>
      </c>
      <c r="K68" s="139"/>
      <c r="L68" s="197"/>
      <c r="M68" s="198"/>
      <c r="N68" s="198"/>
      <c r="O68" s="139"/>
      <c r="P68" s="139"/>
      <c r="Q68" s="176"/>
      <c r="R68" s="196">
        <v>29.5</v>
      </c>
      <c r="S68" s="187">
        <f t="shared" si="9"/>
        <v>2.01</v>
      </c>
      <c r="T68" s="181">
        <f t="shared" si="10"/>
        <v>1</v>
      </c>
      <c r="U68" s="181">
        <f t="shared" si="11"/>
        <v>2.01</v>
      </c>
      <c r="V68" s="278">
        <f t="shared" si="12"/>
        <v>119.835195</v>
      </c>
      <c r="W68" s="187">
        <f t="shared" ref="W68:X68" si="61">C68/100</f>
        <v>0.94</v>
      </c>
      <c r="X68" s="187">
        <f t="shared" si="61"/>
        <v>2.15</v>
      </c>
      <c r="Y68" s="187">
        <f t="shared" si="14"/>
        <v>2.01</v>
      </c>
      <c r="Z68" s="189">
        <f t="shared" si="15"/>
        <v>4.06221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</row>
    <row r="69" ht="27.0" customHeight="1">
      <c r="A69" s="181">
        <v>39.0</v>
      </c>
      <c r="B69" s="191" t="s">
        <v>55</v>
      </c>
      <c r="C69" s="191">
        <v>93.0</v>
      </c>
      <c r="D69" s="191">
        <v>215.0</v>
      </c>
      <c r="E69" s="191">
        <v>202.0</v>
      </c>
      <c r="F69" s="191">
        <f t="shared" si="5"/>
        <v>0</v>
      </c>
      <c r="G69" s="191">
        <f t="shared" si="6"/>
        <v>119.150205</v>
      </c>
      <c r="H69" s="219">
        <f t="shared" si="7"/>
        <v>119.150205</v>
      </c>
      <c r="I69" s="218">
        <v>3.0</v>
      </c>
      <c r="J69" s="194">
        <f t="shared" si="8"/>
        <v>357.450615</v>
      </c>
      <c r="K69" s="139"/>
      <c r="L69" s="197"/>
      <c r="M69" s="198"/>
      <c r="N69" s="198"/>
      <c r="O69" s="139"/>
      <c r="P69" s="139"/>
      <c r="Q69" s="176"/>
      <c r="R69" s="196">
        <v>29.5</v>
      </c>
      <c r="S69" s="187">
        <f t="shared" si="9"/>
        <v>2.02</v>
      </c>
      <c r="T69" s="181">
        <f t="shared" si="10"/>
        <v>3</v>
      </c>
      <c r="U69" s="181">
        <f t="shared" si="11"/>
        <v>6.06</v>
      </c>
      <c r="V69" s="278">
        <f t="shared" si="12"/>
        <v>119.150205</v>
      </c>
      <c r="W69" s="187">
        <f t="shared" ref="W69:X69" si="62">C69/100</f>
        <v>0.93</v>
      </c>
      <c r="X69" s="187">
        <f t="shared" si="62"/>
        <v>2.15</v>
      </c>
      <c r="Y69" s="187">
        <f t="shared" si="14"/>
        <v>6.06</v>
      </c>
      <c r="Z69" s="189">
        <f t="shared" si="15"/>
        <v>12.11697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</row>
    <row r="70" ht="27.0" customHeight="1">
      <c r="A70" s="181">
        <v>40.0</v>
      </c>
      <c r="B70" s="191" t="s">
        <v>55</v>
      </c>
      <c r="C70" s="191">
        <v>97.0</v>
      </c>
      <c r="D70" s="191">
        <v>215.0</v>
      </c>
      <c r="E70" s="191">
        <v>202.0</v>
      </c>
      <c r="F70" s="191">
        <f t="shared" si="5"/>
        <v>0</v>
      </c>
      <c r="G70" s="191">
        <f t="shared" si="6"/>
        <v>124.274945</v>
      </c>
      <c r="H70" s="219">
        <f t="shared" si="7"/>
        <v>124.274945</v>
      </c>
      <c r="I70" s="218">
        <v>1.0</v>
      </c>
      <c r="J70" s="194">
        <f t="shared" si="8"/>
        <v>124.274945</v>
      </c>
      <c r="K70" s="139"/>
      <c r="L70" s="197"/>
      <c r="M70" s="198"/>
      <c r="N70" s="198"/>
      <c r="O70" s="139"/>
      <c r="P70" s="139"/>
      <c r="Q70" s="176"/>
      <c r="R70" s="196">
        <v>29.5</v>
      </c>
      <c r="S70" s="187">
        <f t="shared" si="9"/>
        <v>2.02</v>
      </c>
      <c r="T70" s="181">
        <f t="shared" si="10"/>
        <v>1</v>
      </c>
      <c r="U70" s="181">
        <f t="shared" si="11"/>
        <v>2.02</v>
      </c>
      <c r="V70" s="278">
        <f t="shared" si="12"/>
        <v>124.274945</v>
      </c>
      <c r="W70" s="187">
        <f t="shared" ref="W70:X70" si="63">C70/100</f>
        <v>0.97</v>
      </c>
      <c r="X70" s="187">
        <f t="shared" si="63"/>
        <v>2.15</v>
      </c>
      <c r="Y70" s="187">
        <f t="shared" si="14"/>
        <v>2.02</v>
      </c>
      <c r="Z70" s="189">
        <f t="shared" si="15"/>
        <v>4.21271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</row>
    <row r="71" ht="27.0" customHeight="1">
      <c r="A71" s="181">
        <v>41.0</v>
      </c>
      <c r="B71" s="191" t="s">
        <v>55</v>
      </c>
      <c r="C71" s="191">
        <v>97.0</v>
      </c>
      <c r="D71" s="191">
        <v>215.0</v>
      </c>
      <c r="E71" s="191">
        <v>201.0</v>
      </c>
      <c r="F71" s="191">
        <f t="shared" si="5"/>
        <v>0</v>
      </c>
      <c r="G71" s="191">
        <f t="shared" si="6"/>
        <v>123.6597225</v>
      </c>
      <c r="H71" s="219">
        <f t="shared" si="7"/>
        <v>123.6597225</v>
      </c>
      <c r="I71" s="218">
        <v>1.0</v>
      </c>
      <c r="J71" s="194">
        <f t="shared" si="8"/>
        <v>123.6597225</v>
      </c>
      <c r="K71" s="139"/>
      <c r="L71" s="197"/>
      <c r="M71" s="198"/>
      <c r="N71" s="198"/>
      <c r="O71" s="139"/>
      <c r="P71" s="139"/>
      <c r="Q71" s="176"/>
      <c r="R71" s="196">
        <v>29.5</v>
      </c>
      <c r="S71" s="187">
        <f t="shared" si="9"/>
        <v>2.01</v>
      </c>
      <c r="T71" s="181">
        <f t="shared" si="10"/>
        <v>1</v>
      </c>
      <c r="U71" s="181">
        <f t="shared" si="11"/>
        <v>2.01</v>
      </c>
      <c r="V71" s="278">
        <f t="shared" si="12"/>
        <v>123.6597225</v>
      </c>
      <c r="W71" s="187">
        <f t="shared" ref="W71:X71" si="64">C71/100</f>
        <v>0.97</v>
      </c>
      <c r="X71" s="187">
        <f t="shared" si="64"/>
        <v>2.15</v>
      </c>
      <c r="Y71" s="187">
        <f t="shared" si="14"/>
        <v>2.01</v>
      </c>
      <c r="Z71" s="189">
        <f t="shared" si="15"/>
        <v>4.191855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</row>
    <row r="72" ht="27.0" customHeight="1">
      <c r="A72" s="181">
        <v>42.0</v>
      </c>
      <c r="B72" s="182" t="s">
        <v>64</v>
      </c>
      <c r="C72" s="183">
        <v>89.0</v>
      </c>
      <c r="D72" s="183">
        <v>203.0</v>
      </c>
      <c r="E72" s="183">
        <v>232.0</v>
      </c>
      <c r="F72" s="183">
        <f t="shared" si="5"/>
        <v>0.8</v>
      </c>
      <c r="G72" s="183">
        <f t="shared" si="6"/>
        <v>123.650548</v>
      </c>
      <c r="H72" s="184">
        <f t="shared" si="7"/>
        <v>98.9204384</v>
      </c>
      <c r="I72" s="183">
        <v>1.0</v>
      </c>
      <c r="J72" s="194">
        <f t="shared" si="8"/>
        <v>98.9204384</v>
      </c>
      <c r="K72" s="139"/>
      <c r="L72" s="197"/>
      <c r="M72" s="198"/>
      <c r="N72" s="198"/>
      <c r="O72" s="139"/>
      <c r="P72" s="139"/>
      <c r="Q72" s="176"/>
      <c r="R72" s="196">
        <v>29.5</v>
      </c>
      <c r="S72" s="187">
        <f t="shared" si="9"/>
        <v>2.32</v>
      </c>
      <c r="T72" s="181">
        <f t="shared" si="10"/>
        <v>1</v>
      </c>
      <c r="U72" s="181">
        <f t="shared" si="11"/>
        <v>2.32</v>
      </c>
      <c r="V72" s="278">
        <f t="shared" si="12"/>
        <v>123.650548</v>
      </c>
      <c r="W72" s="187">
        <f t="shared" ref="W72:X72" si="65">C72/100</f>
        <v>0.89</v>
      </c>
      <c r="X72" s="187">
        <f t="shared" si="65"/>
        <v>2.03</v>
      </c>
      <c r="Y72" s="187">
        <f t="shared" si="14"/>
        <v>2.32</v>
      </c>
      <c r="Z72" s="189">
        <f t="shared" si="15"/>
        <v>4.191544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</row>
    <row r="73" ht="27.0" customHeight="1">
      <c r="A73" s="181">
        <v>43.0</v>
      </c>
      <c r="B73" s="191" t="s">
        <v>55</v>
      </c>
      <c r="C73" s="191">
        <v>97.0</v>
      </c>
      <c r="D73" s="191">
        <v>203.0</v>
      </c>
      <c r="E73" s="191">
        <v>232.0</v>
      </c>
      <c r="F73" s="191">
        <f t="shared" si="5"/>
        <v>0</v>
      </c>
      <c r="G73" s="191">
        <f t="shared" si="6"/>
        <v>134.765204</v>
      </c>
      <c r="H73" s="219">
        <f t="shared" si="7"/>
        <v>134.765204</v>
      </c>
      <c r="I73" s="218">
        <v>1.0</v>
      </c>
      <c r="J73" s="194">
        <f t="shared" si="8"/>
        <v>134.765204</v>
      </c>
      <c r="K73" s="139"/>
      <c r="L73" s="197"/>
      <c r="M73" s="198"/>
      <c r="N73" s="198"/>
      <c r="O73" s="139"/>
      <c r="P73" s="139"/>
      <c r="Q73" s="176" t="s">
        <v>154</v>
      </c>
      <c r="R73" s="196">
        <v>29.5</v>
      </c>
      <c r="S73" s="187">
        <f t="shared" si="9"/>
        <v>2.32</v>
      </c>
      <c r="T73" s="181">
        <f t="shared" si="10"/>
        <v>1</v>
      </c>
      <c r="U73" s="181">
        <f t="shared" si="11"/>
        <v>2.32</v>
      </c>
      <c r="V73" s="278">
        <f t="shared" si="12"/>
        <v>134.765204</v>
      </c>
      <c r="W73" s="187">
        <f t="shared" ref="W73:X73" si="66">C73/100</f>
        <v>0.97</v>
      </c>
      <c r="X73" s="187">
        <f t="shared" si="66"/>
        <v>2.03</v>
      </c>
      <c r="Y73" s="187">
        <f t="shared" si="14"/>
        <v>2.32</v>
      </c>
      <c r="Z73" s="189">
        <f t="shared" si="15"/>
        <v>4.568312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</row>
    <row r="74" ht="27.0" customHeight="1">
      <c r="A74" s="181">
        <v>43.0</v>
      </c>
      <c r="B74" s="191" t="s">
        <v>55</v>
      </c>
      <c r="C74" s="191">
        <v>97.0</v>
      </c>
      <c r="D74" s="191">
        <v>203.0</v>
      </c>
      <c r="E74" s="191">
        <v>232.0</v>
      </c>
      <c r="F74" s="191">
        <f t="shared" si="5"/>
        <v>0</v>
      </c>
      <c r="G74" s="191">
        <f t="shared" si="6"/>
        <v>134.765204</v>
      </c>
      <c r="H74" s="219">
        <f t="shared" si="7"/>
        <v>134.765204</v>
      </c>
      <c r="I74" s="218">
        <v>1.0</v>
      </c>
      <c r="J74" s="194">
        <f t="shared" si="8"/>
        <v>134.765204</v>
      </c>
      <c r="K74" s="139"/>
      <c r="L74" s="197"/>
      <c r="M74" s="198"/>
      <c r="N74" s="198"/>
      <c r="O74" s="139"/>
      <c r="P74" s="139"/>
      <c r="Q74" s="176" t="s">
        <v>154</v>
      </c>
      <c r="R74" s="196">
        <v>29.5</v>
      </c>
      <c r="S74" s="187">
        <f t="shared" si="9"/>
        <v>2.32</v>
      </c>
      <c r="T74" s="181">
        <f t="shared" si="10"/>
        <v>1</v>
      </c>
      <c r="U74" s="181">
        <f t="shared" si="11"/>
        <v>2.32</v>
      </c>
      <c r="V74" s="278">
        <f t="shared" si="12"/>
        <v>134.765204</v>
      </c>
      <c r="W74" s="187">
        <f t="shared" ref="W74:X74" si="67">C74/100</f>
        <v>0.97</v>
      </c>
      <c r="X74" s="187">
        <f t="shared" si="67"/>
        <v>2.03</v>
      </c>
      <c r="Y74" s="187">
        <f t="shared" si="14"/>
        <v>2.32</v>
      </c>
      <c r="Z74" s="189">
        <f t="shared" si="15"/>
        <v>4.568312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</row>
    <row r="75" ht="27.0" customHeight="1">
      <c r="A75" s="181">
        <v>43.0</v>
      </c>
      <c r="B75" s="191" t="s">
        <v>55</v>
      </c>
      <c r="C75" s="191">
        <v>97.0</v>
      </c>
      <c r="D75" s="191">
        <v>203.0</v>
      </c>
      <c r="E75" s="191">
        <v>232.0</v>
      </c>
      <c r="F75" s="191">
        <f t="shared" si="5"/>
        <v>0</v>
      </c>
      <c r="G75" s="191">
        <f t="shared" si="6"/>
        <v>134.765204</v>
      </c>
      <c r="H75" s="219">
        <f t="shared" si="7"/>
        <v>134.765204</v>
      </c>
      <c r="I75" s="218">
        <v>1.0</v>
      </c>
      <c r="J75" s="194">
        <f t="shared" si="8"/>
        <v>134.765204</v>
      </c>
      <c r="K75" s="139"/>
      <c r="L75" s="197"/>
      <c r="M75" s="198"/>
      <c r="N75" s="198"/>
      <c r="O75" s="139"/>
      <c r="P75" s="139"/>
      <c r="Q75" s="176" t="s">
        <v>160</v>
      </c>
      <c r="R75" s="196">
        <v>29.5</v>
      </c>
      <c r="S75" s="187">
        <f t="shared" si="9"/>
        <v>2.32</v>
      </c>
      <c r="T75" s="181">
        <f t="shared" si="10"/>
        <v>1</v>
      </c>
      <c r="U75" s="181">
        <f t="shared" si="11"/>
        <v>2.32</v>
      </c>
      <c r="V75" s="278">
        <f t="shared" si="12"/>
        <v>134.765204</v>
      </c>
      <c r="W75" s="187">
        <f t="shared" ref="W75:X75" si="68">C75/100</f>
        <v>0.97</v>
      </c>
      <c r="X75" s="187">
        <f t="shared" si="68"/>
        <v>2.03</v>
      </c>
      <c r="Y75" s="187">
        <f t="shared" si="14"/>
        <v>2.32</v>
      </c>
      <c r="Z75" s="189">
        <f t="shared" si="15"/>
        <v>4.568312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</row>
    <row r="76" ht="27.0" customHeight="1">
      <c r="A76" s="181">
        <v>43.0</v>
      </c>
      <c r="B76" s="191" t="s">
        <v>55</v>
      </c>
      <c r="C76" s="191">
        <v>97.0</v>
      </c>
      <c r="D76" s="191">
        <v>203.0</v>
      </c>
      <c r="E76" s="191">
        <v>232.0</v>
      </c>
      <c r="F76" s="191">
        <f t="shared" si="5"/>
        <v>0</v>
      </c>
      <c r="G76" s="191">
        <f t="shared" si="6"/>
        <v>134.765204</v>
      </c>
      <c r="H76" s="219">
        <f t="shared" si="7"/>
        <v>134.765204</v>
      </c>
      <c r="I76" s="218">
        <v>1.0</v>
      </c>
      <c r="J76" s="194">
        <f t="shared" si="8"/>
        <v>134.765204</v>
      </c>
      <c r="K76" s="139"/>
      <c r="L76" s="197"/>
      <c r="M76" s="198"/>
      <c r="N76" s="198"/>
      <c r="O76" s="139"/>
      <c r="P76" s="139"/>
      <c r="Q76" s="176" t="s">
        <v>160</v>
      </c>
      <c r="R76" s="196">
        <v>29.5</v>
      </c>
      <c r="S76" s="187">
        <f t="shared" si="9"/>
        <v>2.32</v>
      </c>
      <c r="T76" s="181">
        <f t="shared" si="10"/>
        <v>1</v>
      </c>
      <c r="U76" s="181">
        <f t="shared" si="11"/>
        <v>2.32</v>
      </c>
      <c r="V76" s="278">
        <f t="shared" si="12"/>
        <v>134.765204</v>
      </c>
      <c r="W76" s="187">
        <f t="shared" ref="W76:X76" si="69">C76/100</f>
        <v>0.97</v>
      </c>
      <c r="X76" s="187">
        <f t="shared" si="69"/>
        <v>2.03</v>
      </c>
      <c r="Y76" s="187">
        <f t="shared" si="14"/>
        <v>2.32</v>
      </c>
      <c r="Z76" s="189">
        <f t="shared" si="15"/>
        <v>4.568312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</row>
    <row r="77" ht="27.0" customHeight="1">
      <c r="A77" s="181">
        <v>43.0</v>
      </c>
      <c r="B77" s="191" t="s">
        <v>55</v>
      </c>
      <c r="C77" s="191">
        <v>97.0</v>
      </c>
      <c r="D77" s="191">
        <v>203.0</v>
      </c>
      <c r="E77" s="191">
        <v>232.0</v>
      </c>
      <c r="F77" s="191">
        <f t="shared" si="5"/>
        <v>0</v>
      </c>
      <c r="G77" s="191">
        <f t="shared" si="6"/>
        <v>134.765204</v>
      </c>
      <c r="H77" s="219">
        <f t="shared" si="7"/>
        <v>134.765204</v>
      </c>
      <c r="I77" s="218">
        <v>1.0</v>
      </c>
      <c r="J77" s="194">
        <f t="shared" si="8"/>
        <v>134.765204</v>
      </c>
      <c r="K77" s="139"/>
      <c r="L77" s="197"/>
      <c r="M77" s="198"/>
      <c r="N77" s="198"/>
      <c r="O77" s="139"/>
      <c r="P77" s="139"/>
      <c r="Q77" s="176" t="s">
        <v>160</v>
      </c>
      <c r="R77" s="196">
        <v>29.5</v>
      </c>
      <c r="S77" s="187">
        <f t="shared" si="9"/>
        <v>2.32</v>
      </c>
      <c r="T77" s="181">
        <f t="shared" si="10"/>
        <v>1</v>
      </c>
      <c r="U77" s="181">
        <f t="shared" si="11"/>
        <v>2.32</v>
      </c>
      <c r="V77" s="278">
        <f t="shared" si="12"/>
        <v>134.765204</v>
      </c>
      <c r="W77" s="187">
        <f t="shared" ref="W77:X77" si="70">C77/100</f>
        <v>0.97</v>
      </c>
      <c r="X77" s="187">
        <f t="shared" si="70"/>
        <v>2.03</v>
      </c>
      <c r="Y77" s="187">
        <f t="shared" si="14"/>
        <v>2.32</v>
      </c>
      <c r="Z77" s="189">
        <f t="shared" si="15"/>
        <v>4.568312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</row>
    <row r="78" ht="27.0" customHeight="1">
      <c r="A78" s="181">
        <v>43.0</v>
      </c>
      <c r="B78" s="191" t="s">
        <v>55</v>
      </c>
      <c r="C78" s="191">
        <v>97.0</v>
      </c>
      <c r="D78" s="191">
        <v>203.0</v>
      </c>
      <c r="E78" s="191">
        <v>232.0</v>
      </c>
      <c r="F78" s="191">
        <f t="shared" si="5"/>
        <v>0</v>
      </c>
      <c r="G78" s="191">
        <f t="shared" si="6"/>
        <v>134.765204</v>
      </c>
      <c r="H78" s="219">
        <f t="shared" si="7"/>
        <v>134.765204</v>
      </c>
      <c r="I78" s="218">
        <v>68.0</v>
      </c>
      <c r="J78" s="194">
        <f t="shared" si="8"/>
        <v>9164.033872</v>
      </c>
      <c r="K78" s="139"/>
      <c r="L78" s="197"/>
      <c r="M78" s="198"/>
      <c r="N78" s="198"/>
      <c r="O78" s="139"/>
      <c r="P78" s="139"/>
      <c r="Q78" s="176"/>
      <c r="R78" s="196">
        <v>29.5</v>
      </c>
      <c r="S78" s="187">
        <f t="shared" si="9"/>
        <v>2.32</v>
      </c>
      <c r="T78" s="181">
        <f t="shared" si="10"/>
        <v>68</v>
      </c>
      <c r="U78" s="181">
        <f t="shared" si="11"/>
        <v>157.76</v>
      </c>
      <c r="V78" s="278">
        <f t="shared" si="12"/>
        <v>134.765204</v>
      </c>
      <c r="W78" s="187">
        <f t="shared" ref="W78:X78" si="71">C78/100</f>
        <v>0.97</v>
      </c>
      <c r="X78" s="187">
        <f t="shared" si="71"/>
        <v>2.03</v>
      </c>
      <c r="Y78" s="187">
        <f t="shared" si="14"/>
        <v>157.76</v>
      </c>
      <c r="Z78" s="189">
        <f t="shared" si="15"/>
        <v>310.645216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</row>
    <row r="79" ht="27.0" customHeight="1">
      <c r="A79" s="181">
        <v>44.0</v>
      </c>
      <c r="B79" s="191" t="s">
        <v>55</v>
      </c>
      <c r="C79" s="191">
        <v>96.0</v>
      </c>
      <c r="D79" s="191">
        <v>203.0</v>
      </c>
      <c r="E79" s="191">
        <v>232.0</v>
      </c>
      <c r="F79" s="191">
        <f t="shared" si="5"/>
        <v>0</v>
      </c>
      <c r="G79" s="191">
        <f t="shared" si="6"/>
        <v>133.375872</v>
      </c>
      <c r="H79" s="219">
        <f t="shared" si="7"/>
        <v>133.375872</v>
      </c>
      <c r="I79" s="218">
        <v>21.0</v>
      </c>
      <c r="J79" s="194">
        <f t="shared" si="8"/>
        <v>2800.893312</v>
      </c>
      <c r="K79" s="139"/>
      <c r="L79" s="197"/>
      <c r="M79" s="198"/>
      <c r="N79" s="198"/>
      <c r="O79" s="139"/>
      <c r="P79" s="139"/>
      <c r="Q79" s="176"/>
      <c r="R79" s="196">
        <v>29.5</v>
      </c>
      <c r="S79" s="187">
        <f t="shared" si="9"/>
        <v>2.32</v>
      </c>
      <c r="T79" s="181">
        <f t="shared" si="10"/>
        <v>21</v>
      </c>
      <c r="U79" s="181">
        <f t="shared" si="11"/>
        <v>48.72</v>
      </c>
      <c r="V79" s="278">
        <f t="shared" si="12"/>
        <v>133.375872</v>
      </c>
      <c r="W79" s="187">
        <f t="shared" ref="W79:X79" si="72">C79/100</f>
        <v>0.96</v>
      </c>
      <c r="X79" s="187">
        <f t="shared" si="72"/>
        <v>2.03</v>
      </c>
      <c r="Y79" s="187">
        <f t="shared" si="14"/>
        <v>48.72</v>
      </c>
      <c r="Z79" s="189">
        <f t="shared" si="15"/>
        <v>94.945536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</row>
    <row r="80" ht="27.0" customHeight="1">
      <c r="A80" s="181">
        <v>45.0</v>
      </c>
      <c r="B80" s="191" t="s">
        <v>55</v>
      </c>
      <c r="C80" s="191">
        <v>98.0</v>
      </c>
      <c r="D80" s="191">
        <v>203.0</v>
      </c>
      <c r="E80" s="191">
        <v>232.0</v>
      </c>
      <c r="F80" s="191">
        <f t="shared" si="5"/>
        <v>0</v>
      </c>
      <c r="G80" s="191">
        <f t="shared" si="6"/>
        <v>136.154536</v>
      </c>
      <c r="H80" s="219">
        <f t="shared" si="7"/>
        <v>136.154536</v>
      </c>
      <c r="I80" s="218">
        <v>4.0</v>
      </c>
      <c r="J80" s="194">
        <f t="shared" si="8"/>
        <v>544.618144</v>
      </c>
      <c r="K80" s="139"/>
      <c r="L80" s="197"/>
      <c r="M80" s="198"/>
      <c r="N80" s="198"/>
      <c r="O80" s="139"/>
      <c r="P80" s="139"/>
      <c r="Q80" s="176"/>
      <c r="R80" s="196">
        <v>29.5</v>
      </c>
      <c r="S80" s="187">
        <f t="shared" si="9"/>
        <v>2.32</v>
      </c>
      <c r="T80" s="181">
        <f t="shared" si="10"/>
        <v>4</v>
      </c>
      <c r="U80" s="181">
        <f t="shared" si="11"/>
        <v>9.28</v>
      </c>
      <c r="V80" s="278">
        <f t="shared" si="12"/>
        <v>136.154536</v>
      </c>
      <c r="W80" s="187">
        <f t="shared" ref="W80:X80" si="73">C80/100</f>
        <v>0.98</v>
      </c>
      <c r="X80" s="187">
        <f t="shared" si="73"/>
        <v>2.03</v>
      </c>
      <c r="Y80" s="187">
        <f t="shared" si="14"/>
        <v>9.28</v>
      </c>
      <c r="Z80" s="189">
        <f t="shared" si="15"/>
        <v>18.461632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</row>
    <row r="81" ht="27.0" customHeight="1">
      <c r="A81" s="181">
        <v>46.0</v>
      </c>
      <c r="B81" s="191" t="s">
        <v>55</v>
      </c>
      <c r="C81" s="191">
        <v>100.0</v>
      </c>
      <c r="D81" s="191">
        <v>203.0</v>
      </c>
      <c r="E81" s="191">
        <v>232.0</v>
      </c>
      <c r="F81" s="191">
        <f t="shared" si="5"/>
        <v>0</v>
      </c>
      <c r="G81" s="191">
        <f t="shared" si="6"/>
        <v>138.9332</v>
      </c>
      <c r="H81" s="219">
        <f t="shared" si="7"/>
        <v>138.9332</v>
      </c>
      <c r="I81" s="218">
        <v>1.0</v>
      </c>
      <c r="J81" s="194">
        <f t="shared" si="8"/>
        <v>138.9332</v>
      </c>
      <c r="K81" s="139"/>
      <c r="L81" s="197"/>
      <c r="M81" s="198"/>
      <c r="N81" s="198"/>
      <c r="O81" s="139"/>
      <c r="P81" s="139"/>
      <c r="Q81" s="176"/>
      <c r="R81" s="196">
        <v>29.5</v>
      </c>
      <c r="S81" s="187">
        <f t="shared" si="9"/>
        <v>2.32</v>
      </c>
      <c r="T81" s="181">
        <f t="shared" si="10"/>
        <v>1</v>
      </c>
      <c r="U81" s="181">
        <f t="shared" si="11"/>
        <v>2.32</v>
      </c>
      <c r="V81" s="278">
        <f t="shared" si="12"/>
        <v>138.9332</v>
      </c>
      <c r="W81" s="187">
        <f t="shared" ref="W81:X81" si="74">C81/100</f>
        <v>1</v>
      </c>
      <c r="X81" s="187">
        <f t="shared" si="74"/>
        <v>2.03</v>
      </c>
      <c r="Y81" s="187">
        <f t="shared" si="14"/>
        <v>2.32</v>
      </c>
      <c r="Z81" s="189">
        <f t="shared" si="15"/>
        <v>4.7096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</row>
    <row r="82" ht="27.0" customHeight="1">
      <c r="A82" s="181">
        <v>47.0</v>
      </c>
      <c r="B82" s="191" t="s">
        <v>55</v>
      </c>
      <c r="C82" s="191">
        <v>102.0</v>
      </c>
      <c r="D82" s="191">
        <v>203.0</v>
      </c>
      <c r="E82" s="191">
        <v>232.0</v>
      </c>
      <c r="F82" s="191">
        <f t="shared" si="5"/>
        <v>0</v>
      </c>
      <c r="G82" s="191">
        <f t="shared" si="6"/>
        <v>141.711864</v>
      </c>
      <c r="H82" s="219">
        <f t="shared" si="7"/>
        <v>141.711864</v>
      </c>
      <c r="I82" s="218">
        <v>2.0</v>
      </c>
      <c r="J82" s="194">
        <f t="shared" si="8"/>
        <v>283.423728</v>
      </c>
      <c r="K82" s="139"/>
      <c r="L82" s="197"/>
      <c r="M82" s="198"/>
      <c r="N82" s="198"/>
      <c r="O82" s="139"/>
      <c r="P82" s="139"/>
      <c r="Q82" s="176"/>
      <c r="R82" s="196">
        <v>29.5</v>
      </c>
      <c r="S82" s="187">
        <f t="shared" si="9"/>
        <v>2.32</v>
      </c>
      <c r="T82" s="181">
        <f t="shared" si="10"/>
        <v>2</v>
      </c>
      <c r="U82" s="181">
        <f t="shared" si="11"/>
        <v>4.64</v>
      </c>
      <c r="V82" s="278">
        <f t="shared" si="12"/>
        <v>141.711864</v>
      </c>
      <c r="W82" s="187">
        <f t="shared" ref="W82:X82" si="75">C82/100</f>
        <v>1.02</v>
      </c>
      <c r="X82" s="187">
        <f t="shared" si="75"/>
        <v>2.03</v>
      </c>
      <c r="Y82" s="187">
        <f t="shared" si="14"/>
        <v>4.64</v>
      </c>
      <c r="Z82" s="189">
        <f t="shared" si="15"/>
        <v>9.607584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</row>
    <row r="83" ht="27.0" customHeight="1">
      <c r="A83" s="181">
        <v>48.0</v>
      </c>
      <c r="B83" s="191" t="s">
        <v>55</v>
      </c>
      <c r="C83" s="191">
        <v>99.0</v>
      </c>
      <c r="D83" s="191">
        <v>203.0</v>
      </c>
      <c r="E83" s="191">
        <v>232.0</v>
      </c>
      <c r="F83" s="191">
        <f t="shared" si="5"/>
        <v>0</v>
      </c>
      <c r="G83" s="191">
        <f t="shared" si="6"/>
        <v>137.543868</v>
      </c>
      <c r="H83" s="219">
        <f t="shared" si="7"/>
        <v>137.543868</v>
      </c>
      <c r="I83" s="218">
        <v>2.0</v>
      </c>
      <c r="J83" s="194">
        <f t="shared" si="8"/>
        <v>275.087736</v>
      </c>
      <c r="K83" s="139"/>
      <c r="L83" s="197"/>
      <c r="M83" s="198"/>
      <c r="N83" s="198"/>
      <c r="O83" s="139"/>
      <c r="P83" s="139"/>
      <c r="Q83" s="176"/>
      <c r="R83" s="196">
        <v>29.5</v>
      </c>
      <c r="S83" s="187">
        <f t="shared" si="9"/>
        <v>2.32</v>
      </c>
      <c r="T83" s="181">
        <f t="shared" si="10"/>
        <v>2</v>
      </c>
      <c r="U83" s="181">
        <f t="shared" si="11"/>
        <v>4.64</v>
      </c>
      <c r="V83" s="278">
        <f t="shared" si="12"/>
        <v>137.543868</v>
      </c>
      <c r="W83" s="187">
        <f t="shared" ref="W83:X83" si="76">C83/100</f>
        <v>0.99</v>
      </c>
      <c r="X83" s="187">
        <f t="shared" si="76"/>
        <v>2.03</v>
      </c>
      <c r="Y83" s="187">
        <f t="shared" si="14"/>
        <v>4.64</v>
      </c>
      <c r="Z83" s="189">
        <f t="shared" si="15"/>
        <v>9.325008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</row>
    <row r="84" ht="27.0" customHeight="1">
      <c r="A84" s="181">
        <v>49.0</v>
      </c>
      <c r="B84" s="191" t="s">
        <v>55</v>
      </c>
      <c r="C84" s="191">
        <v>77.0</v>
      </c>
      <c r="D84" s="191">
        <v>203.0</v>
      </c>
      <c r="E84" s="191">
        <v>278.0</v>
      </c>
      <c r="F84" s="191">
        <f t="shared" si="5"/>
        <v>0</v>
      </c>
      <c r="G84" s="191">
        <f t="shared" si="6"/>
        <v>128.189831</v>
      </c>
      <c r="H84" s="219">
        <f t="shared" si="7"/>
        <v>128.189831</v>
      </c>
      <c r="I84" s="218">
        <v>1.0</v>
      </c>
      <c r="J84" s="194">
        <f t="shared" si="8"/>
        <v>128.189831</v>
      </c>
      <c r="K84" s="139"/>
      <c r="L84" s="197"/>
      <c r="M84" s="198"/>
      <c r="N84" s="198"/>
      <c r="O84" s="139"/>
      <c r="P84" s="139"/>
      <c r="Q84" s="176"/>
      <c r="R84" s="196">
        <v>29.5</v>
      </c>
      <c r="S84" s="187">
        <f t="shared" si="9"/>
        <v>2.78</v>
      </c>
      <c r="T84" s="181">
        <f t="shared" si="10"/>
        <v>1</v>
      </c>
      <c r="U84" s="181">
        <f t="shared" si="11"/>
        <v>2.78</v>
      </c>
      <c r="V84" s="278">
        <f t="shared" si="12"/>
        <v>128.189831</v>
      </c>
      <c r="W84" s="187">
        <f t="shared" ref="W84:X84" si="77">C84/100</f>
        <v>0.77</v>
      </c>
      <c r="X84" s="187">
        <f t="shared" si="77"/>
        <v>2.03</v>
      </c>
      <c r="Y84" s="187">
        <f t="shared" si="14"/>
        <v>2.78</v>
      </c>
      <c r="Z84" s="189">
        <f t="shared" si="15"/>
        <v>4.345418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</row>
    <row r="85" ht="27.0" customHeight="1">
      <c r="A85" s="181">
        <v>50.0</v>
      </c>
      <c r="B85" s="191" t="s">
        <v>55</v>
      </c>
      <c r="C85" s="191">
        <v>92.0</v>
      </c>
      <c r="D85" s="191">
        <v>203.0</v>
      </c>
      <c r="E85" s="191">
        <v>230.0</v>
      </c>
      <c r="F85" s="191">
        <f t="shared" si="5"/>
        <v>0</v>
      </c>
      <c r="G85" s="191">
        <f t="shared" si="6"/>
        <v>126.71666</v>
      </c>
      <c r="H85" s="219">
        <f t="shared" si="7"/>
        <v>126.71666</v>
      </c>
      <c r="I85" s="218">
        <v>1.0</v>
      </c>
      <c r="J85" s="194">
        <f t="shared" si="8"/>
        <v>126.71666</v>
      </c>
      <c r="K85" s="139"/>
      <c r="L85" s="197"/>
      <c r="M85" s="198"/>
      <c r="N85" s="198"/>
      <c r="O85" s="139"/>
      <c r="P85" s="139"/>
      <c r="Q85" s="176"/>
      <c r="R85" s="196">
        <v>29.5</v>
      </c>
      <c r="S85" s="187">
        <f t="shared" si="9"/>
        <v>2.3</v>
      </c>
      <c r="T85" s="181">
        <f t="shared" si="10"/>
        <v>1</v>
      </c>
      <c r="U85" s="181">
        <f t="shared" si="11"/>
        <v>2.3</v>
      </c>
      <c r="V85" s="278">
        <f t="shared" si="12"/>
        <v>126.71666</v>
      </c>
      <c r="W85" s="187">
        <f t="shared" ref="W85:X85" si="78">C85/100</f>
        <v>0.92</v>
      </c>
      <c r="X85" s="187">
        <f t="shared" si="78"/>
        <v>2.03</v>
      </c>
      <c r="Y85" s="187">
        <f t="shared" si="14"/>
        <v>2.3</v>
      </c>
      <c r="Z85" s="189">
        <f t="shared" si="15"/>
        <v>4.29548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</row>
    <row r="86" ht="27.0" customHeight="1">
      <c r="A86" s="181">
        <v>51.0</v>
      </c>
      <c r="B86" s="182" t="s">
        <v>79</v>
      </c>
      <c r="C86" s="191">
        <v>99.0</v>
      </c>
      <c r="D86" s="191">
        <v>207.0</v>
      </c>
      <c r="E86" s="277">
        <v>3000.0</v>
      </c>
      <c r="F86" s="277">
        <f t="shared" si="5"/>
        <v>0.8</v>
      </c>
      <c r="G86" s="277">
        <f t="shared" si="6"/>
        <v>1383.2775</v>
      </c>
      <c r="H86" s="219">
        <f t="shared" si="7"/>
        <v>1106.622</v>
      </c>
      <c r="I86" s="218">
        <v>3.0</v>
      </c>
      <c r="J86" s="194">
        <f t="shared" si="8"/>
        <v>3319.866</v>
      </c>
      <c r="K86" s="139"/>
      <c r="L86" s="197"/>
      <c r="M86" s="198"/>
      <c r="N86" s="198"/>
      <c r="O86" s="139"/>
      <c r="P86" s="139"/>
      <c r="Q86" s="176"/>
      <c r="R86" s="141">
        <v>22.5</v>
      </c>
      <c r="S86" s="187">
        <f t="shared" si="9"/>
        <v>30</v>
      </c>
      <c r="T86" s="181">
        <f t="shared" si="10"/>
        <v>3</v>
      </c>
      <c r="U86" s="181">
        <f t="shared" si="11"/>
        <v>90</v>
      </c>
      <c r="V86" s="278">
        <f t="shared" si="12"/>
        <v>1383.2775</v>
      </c>
      <c r="W86" s="187">
        <f t="shared" ref="W86:X86" si="79">C86/100</f>
        <v>0.99</v>
      </c>
      <c r="X86" s="187">
        <f t="shared" si="79"/>
        <v>2.07</v>
      </c>
      <c r="Y86" s="187">
        <f t="shared" si="14"/>
        <v>90</v>
      </c>
      <c r="Z86" s="189">
        <f t="shared" si="15"/>
        <v>184.437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</row>
    <row r="87" ht="27.0" customHeight="1">
      <c r="A87" s="181">
        <v>52.0</v>
      </c>
      <c r="B87" s="191" t="s">
        <v>76</v>
      </c>
      <c r="C87" s="191">
        <v>99.0</v>
      </c>
      <c r="D87" s="191">
        <v>207.0</v>
      </c>
      <c r="E87" s="191">
        <v>216.0</v>
      </c>
      <c r="F87" s="191">
        <f t="shared" si="5"/>
        <v>0</v>
      </c>
      <c r="G87" s="191">
        <f t="shared" si="6"/>
        <v>99.59598</v>
      </c>
      <c r="H87" s="219">
        <f t="shared" si="7"/>
        <v>99.59598</v>
      </c>
      <c r="I87" s="218">
        <v>1.0</v>
      </c>
      <c r="J87" s="194">
        <f t="shared" si="8"/>
        <v>99.59598</v>
      </c>
      <c r="K87" s="139"/>
      <c r="L87" s="197"/>
      <c r="M87" s="198"/>
      <c r="N87" s="198"/>
      <c r="O87" s="139"/>
      <c r="P87" s="139"/>
      <c r="Q87" s="176"/>
      <c r="R87" s="141">
        <v>22.5</v>
      </c>
      <c r="S87" s="187">
        <f t="shared" si="9"/>
        <v>2.16</v>
      </c>
      <c r="T87" s="181">
        <f t="shared" si="10"/>
        <v>1</v>
      </c>
      <c r="U87" s="181">
        <f t="shared" si="11"/>
        <v>2.16</v>
      </c>
      <c r="V87" s="278">
        <f t="shared" si="12"/>
        <v>99.59598</v>
      </c>
      <c r="W87" s="187">
        <f t="shared" ref="W87:X87" si="80">C87/100</f>
        <v>0.99</v>
      </c>
      <c r="X87" s="187">
        <f t="shared" si="80"/>
        <v>2.07</v>
      </c>
      <c r="Y87" s="187">
        <f t="shared" si="14"/>
        <v>2.16</v>
      </c>
      <c r="Z87" s="189">
        <f t="shared" si="15"/>
        <v>4.426488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</row>
    <row r="88" ht="27.0" customHeight="1">
      <c r="A88" s="181">
        <v>53.0</v>
      </c>
      <c r="B88" s="191" t="s">
        <v>76</v>
      </c>
      <c r="C88" s="191">
        <v>99.0</v>
      </c>
      <c r="D88" s="191">
        <v>207.0</v>
      </c>
      <c r="E88" s="191">
        <v>288.0</v>
      </c>
      <c r="F88" s="191">
        <f t="shared" si="5"/>
        <v>0</v>
      </c>
      <c r="G88" s="191">
        <f t="shared" si="6"/>
        <v>132.79464</v>
      </c>
      <c r="H88" s="219">
        <f t="shared" si="7"/>
        <v>132.79464</v>
      </c>
      <c r="I88" s="218">
        <v>1.0</v>
      </c>
      <c r="J88" s="194">
        <f t="shared" si="8"/>
        <v>132.79464</v>
      </c>
      <c r="K88" s="139"/>
      <c r="L88" s="197"/>
      <c r="M88" s="198"/>
      <c r="N88" s="198"/>
      <c r="O88" s="139"/>
      <c r="P88" s="139"/>
      <c r="Q88" s="176"/>
      <c r="R88" s="141">
        <v>22.5</v>
      </c>
      <c r="S88" s="187">
        <f t="shared" si="9"/>
        <v>2.88</v>
      </c>
      <c r="T88" s="181">
        <f t="shared" si="10"/>
        <v>1</v>
      </c>
      <c r="U88" s="181">
        <f t="shared" si="11"/>
        <v>2.88</v>
      </c>
      <c r="V88" s="278">
        <f t="shared" si="12"/>
        <v>132.79464</v>
      </c>
      <c r="W88" s="187">
        <f t="shared" ref="W88:X88" si="81">C88/100</f>
        <v>0.99</v>
      </c>
      <c r="X88" s="187">
        <f t="shared" si="81"/>
        <v>2.07</v>
      </c>
      <c r="Y88" s="187">
        <f t="shared" si="14"/>
        <v>2.88</v>
      </c>
      <c r="Z88" s="189">
        <f t="shared" si="15"/>
        <v>5.901984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</row>
    <row r="89" ht="27.0" customHeight="1">
      <c r="A89" s="181">
        <v>54.0</v>
      </c>
      <c r="B89" s="191" t="s">
        <v>76</v>
      </c>
      <c r="C89" s="191">
        <v>94.0</v>
      </c>
      <c r="D89" s="191">
        <v>207.0</v>
      </c>
      <c r="E89" s="191">
        <v>290.0</v>
      </c>
      <c r="F89" s="191">
        <f t="shared" si="5"/>
        <v>0</v>
      </c>
      <c r="G89" s="191">
        <f t="shared" si="6"/>
        <v>126.96345</v>
      </c>
      <c r="H89" s="219">
        <f t="shared" si="7"/>
        <v>126.96345</v>
      </c>
      <c r="I89" s="218">
        <v>1.0</v>
      </c>
      <c r="J89" s="194">
        <f t="shared" si="8"/>
        <v>126.96345</v>
      </c>
      <c r="K89" s="139"/>
      <c r="L89" s="197"/>
      <c r="M89" s="198"/>
      <c r="N89" s="198"/>
      <c r="O89" s="139"/>
      <c r="P89" s="139"/>
      <c r="Q89" s="176"/>
      <c r="R89" s="141">
        <v>22.5</v>
      </c>
      <c r="S89" s="187">
        <f t="shared" si="9"/>
        <v>2.9</v>
      </c>
      <c r="T89" s="181">
        <f t="shared" si="10"/>
        <v>1</v>
      </c>
      <c r="U89" s="181">
        <f t="shared" si="11"/>
        <v>2.9</v>
      </c>
      <c r="V89" s="278">
        <f t="shared" si="12"/>
        <v>126.96345</v>
      </c>
      <c r="W89" s="187">
        <f t="shared" ref="W89:X89" si="82">C89/100</f>
        <v>0.94</v>
      </c>
      <c r="X89" s="187">
        <f t="shared" si="82"/>
        <v>2.07</v>
      </c>
      <c r="Y89" s="187">
        <f t="shared" si="14"/>
        <v>2.9</v>
      </c>
      <c r="Z89" s="189">
        <f t="shared" si="15"/>
        <v>5.64282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</row>
    <row r="90" ht="27.0" customHeight="1">
      <c r="A90" s="181">
        <v>55.0</v>
      </c>
      <c r="B90" s="191" t="s">
        <v>76</v>
      </c>
      <c r="C90" s="191">
        <v>77.0</v>
      </c>
      <c r="D90" s="191">
        <v>207.0</v>
      </c>
      <c r="E90" s="191">
        <v>97.0</v>
      </c>
      <c r="F90" s="191">
        <f t="shared" si="5"/>
        <v>0</v>
      </c>
      <c r="G90" s="191">
        <f t="shared" si="6"/>
        <v>34.7868675</v>
      </c>
      <c r="H90" s="219">
        <f t="shared" si="7"/>
        <v>34.7868675</v>
      </c>
      <c r="I90" s="218">
        <v>1.0</v>
      </c>
      <c r="J90" s="194">
        <f t="shared" si="8"/>
        <v>34.7868675</v>
      </c>
      <c r="K90" s="139"/>
      <c r="L90" s="197"/>
      <c r="M90" s="198"/>
      <c r="N90" s="198"/>
      <c r="O90" s="139"/>
      <c r="P90" s="139"/>
      <c r="Q90" s="176"/>
      <c r="R90" s="141">
        <v>22.5</v>
      </c>
      <c r="S90" s="187">
        <f t="shared" si="9"/>
        <v>0.97</v>
      </c>
      <c r="T90" s="181">
        <f t="shared" si="10"/>
        <v>1</v>
      </c>
      <c r="U90" s="181">
        <f t="shared" si="11"/>
        <v>0.97</v>
      </c>
      <c r="V90" s="278">
        <f t="shared" si="12"/>
        <v>34.7868675</v>
      </c>
      <c r="W90" s="187">
        <f t="shared" ref="W90:X90" si="83">C90/100</f>
        <v>0.77</v>
      </c>
      <c r="X90" s="187">
        <f t="shared" si="83"/>
        <v>2.07</v>
      </c>
      <c r="Y90" s="187">
        <f t="shared" si="14"/>
        <v>0.97</v>
      </c>
      <c r="Z90" s="189">
        <f t="shared" si="15"/>
        <v>1.546083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</row>
    <row r="91" ht="27.0" customHeight="1">
      <c r="A91" s="181">
        <v>56.0</v>
      </c>
      <c r="B91" s="182" t="s">
        <v>104</v>
      </c>
      <c r="C91" s="183">
        <v>86.0</v>
      </c>
      <c r="D91" s="183">
        <v>187.0</v>
      </c>
      <c r="E91" s="183">
        <v>244.0</v>
      </c>
      <c r="F91" s="183">
        <f t="shared" si="5"/>
        <v>0.8</v>
      </c>
      <c r="G91" s="183">
        <f t="shared" si="6"/>
        <v>115.758236</v>
      </c>
      <c r="H91" s="184">
        <f t="shared" si="7"/>
        <v>92.6065888</v>
      </c>
      <c r="I91" s="183">
        <v>1.0</v>
      </c>
      <c r="J91" s="194">
        <f t="shared" si="8"/>
        <v>92.6065888</v>
      </c>
      <c r="K91" s="139"/>
      <c r="L91" s="197"/>
      <c r="M91" s="198"/>
      <c r="N91" s="198"/>
      <c r="O91" s="139"/>
      <c r="P91" s="139"/>
      <c r="Q91" s="176"/>
      <c r="R91" s="141">
        <v>29.5</v>
      </c>
      <c r="S91" s="187">
        <f t="shared" si="9"/>
        <v>2.44</v>
      </c>
      <c r="T91" s="181">
        <f t="shared" si="10"/>
        <v>1</v>
      </c>
      <c r="U91" s="181">
        <f t="shared" si="11"/>
        <v>2.44</v>
      </c>
      <c r="V91" s="278">
        <f t="shared" si="12"/>
        <v>115.758236</v>
      </c>
      <c r="W91" s="187">
        <f t="shared" ref="W91:X91" si="84">C91/100</f>
        <v>0.86</v>
      </c>
      <c r="X91" s="187">
        <f t="shared" si="84"/>
        <v>1.87</v>
      </c>
      <c r="Y91" s="187">
        <f t="shared" si="14"/>
        <v>2.44</v>
      </c>
      <c r="Z91" s="189">
        <f t="shared" si="15"/>
        <v>3.924008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</row>
    <row r="92" ht="27.0" customHeight="1">
      <c r="A92" s="181">
        <v>57.0</v>
      </c>
      <c r="B92" s="191" t="s">
        <v>99</v>
      </c>
      <c r="C92" s="191">
        <v>99.0</v>
      </c>
      <c r="D92" s="191">
        <v>187.0</v>
      </c>
      <c r="E92" s="191">
        <v>244.0</v>
      </c>
      <c r="F92" s="191">
        <f t="shared" si="5"/>
        <v>0</v>
      </c>
      <c r="G92" s="191">
        <f t="shared" si="6"/>
        <v>133.256574</v>
      </c>
      <c r="H92" s="219">
        <f t="shared" si="7"/>
        <v>133.256574</v>
      </c>
      <c r="I92" s="218">
        <v>4.0</v>
      </c>
      <c r="J92" s="194">
        <f t="shared" si="8"/>
        <v>533.026296</v>
      </c>
      <c r="K92" s="139"/>
      <c r="L92" s="197"/>
      <c r="M92" s="198"/>
      <c r="N92" s="198"/>
      <c r="O92" s="139"/>
      <c r="P92" s="139"/>
      <c r="Q92" s="176"/>
      <c r="R92" s="141">
        <v>29.5</v>
      </c>
      <c r="S92" s="187">
        <f t="shared" si="9"/>
        <v>2.44</v>
      </c>
      <c r="T92" s="181">
        <f t="shared" si="10"/>
        <v>4</v>
      </c>
      <c r="U92" s="181">
        <f t="shared" si="11"/>
        <v>9.76</v>
      </c>
      <c r="V92" s="278">
        <f t="shared" si="12"/>
        <v>133.256574</v>
      </c>
      <c r="W92" s="187">
        <f t="shared" ref="W92:X92" si="85">C92/100</f>
        <v>0.99</v>
      </c>
      <c r="X92" s="187">
        <f t="shared" si="85"/>
        <v>1.87</v>
      </c>
      <c r="Y92" s="187">
        <f t="shared" si="14"/>
        <v>9.76</v>
      </c>
      <c r="Z92" s="189">
        <f t="shared" si="15"/>
        <v>18.068688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</row>
    <row r="93" ht="27.0" customHeight="1">
      <c r="A93" s="181">
        <v>58.0</v>
      </c>
      <c r="B93" s="191" t="s">
        <v>99</v>
      </c>
      <c r="C93" s="191">
        <v>100.0</v>
      </c>
      <c r="D93" s="191">
        <v>187.0</v>
      </c>
      <c r="E93" s="191">
        <v>244.0</v>
      </c>
      <c r="F93" s="191">
        <f t="shared" si="5"/>
        <v>0</v>
      </c>
      <c r="G93" s="191">
        <f t="shared" si="6"/>
        <v>134.6026</v>
      </c>
      <c r="H93" s="219">
        <f t="shared" si="7"/>
        <v>134.6026</v>
      </c>
      <c r="I93" s="218">
        <v>1.0</v>
      </c>
      <c r="J93" s="194">
        <f t="shared" si="8"/>
        <v>134.6026</v>
      </c>
      <c r="K93" s="139"/>
      <c r="L93" s="197"/>
      <c r="M93" s="198"/>
      <c r="N93" s="198"/>
      <c r="O93" s="139"/>
      <c r="P93" s="139"/>
      <c r="Q93" s="176" t="s">
        <v>195</v>
      </c>
      <c r="R93" s="141">
        <v>29.5</v>
      </c>
      <c r="S93" s="187">
        <f t="shared" si="9"/>
        <v>2.44</v>
      </c>
      <c r="T93" s="181">
        <f t="shared" si="10"/>
        <v>1</v>
      </c>
      <c r="U93" s="181">
        <f t="shared" si="11"/>
        <v>2.44</v>
      </c>
      <c r="V93" s="278">
        <f t="shared" si="12"/>
        <v>134.6026</v>
      </c>
      <c r="W93" s="187">
        <f t="shared" ref="W93:X93" si="86">C93/100</f>
        <v>1</v>
      </c>
      <c r="X93" s="187">
        <f t="shared" si="86"/>
        <v>1.87</v>
      </c>
      <c r="Y93" s="187">
        <f t="shared" si="14"/>
        <v>2.44</v>
      </c>
      <c r="Z93" s="189">
        <f t="shared" si="15"/>
        <v>4.5628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</row>
    <row r="94" ht="27.0" customHeight="1">
      <c r="A94" s="181">
        <v>58.0</v>
      </c>
      <c r="B94" s="191" t="s">
        <v>99</v>
      </c>
      <c r="C94" s="191">
        <v>100.0</v>
      </c>
      <c r="D94" s="191">
        <v>187.0</v>
      </c>
      <c r="E94" s="191">
        <v>244.0</v>
      </c>
      <c r="F94" s="191">
        <f t="shared" si="5"/>
        <v>0</v>
      </c>
      <c r="G94" s="191">
        <f t="shared" si="6"/>
        <v>134.6026</v>
      </c>
      <c r="H94" s="219">
        <f t="shared" si="7"/>
        <v>134.6026</v>
      </c>
      <c r="I94" s="218">
        <v>1.0</v>
      </c>
      <c r="J94" s="194">
        <f t="shared" si="8"/>
        <v>134.6026</v>
      </c>
      <c r="K94" s="139"/>
      <c r="L94" s="197"/>
      <c r="M94" s="198"/>
      <c r="N94" s="198"/>
      <c r="O94" s="139"/>
      <c r="P94" s="139"/>
      <c r="Q94" s="176" t="s">
        <v>195</v>
      </c>
      <c r="R94" s="141">
        <v>29.5</v>
      </c>
      <c r="S94" s="187">
        <f t="shared" si="9"/>
        <v>2.44</v>
      </c>
      <c r="T94" s="181">
        <f t="shared" si="10"/>
        <v>1</v>
      </c>
      <c r="U94" s="181">
        <f t="shared" si="11"/>
        <v>2.44</v>
      </c>
      <c r="V94" s="278">
        <f t="shared" si="12"/>
        <v>134.6026</v>
      </c>
      <c r="W94" s="187">
        <f t="shared" ref="W94:X94" si="87">C94/100</f>
        <v>1</v>
      </c>
      <c r="X94" s="187">
        <f t="shared" si="87"/>
        <v>1.87</v>
      </c>
      <c r="Y94" s="187">
        <f t="shared" si="14"/>
        <v>2.44</v>
      </c>
      <c r="Z94" s="189">
        <f t="shared" si="15"/>
        <v>4.5628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</row>
    <row r="95" ht="27.0" customHeight="1">
      <c r="A95" s="181">
        <v>58.0</v>
      </c>
      <c r="B95" s="191" t="s">
        <v>99</v>
      </c>
      <c r="C95" s="191">
        <v>100.0</v>
      </c>
      <c r="D95" s="191">
        <v>187.0</v>
      </c>
      <c r="E95" s="191">
        <v>244.0</v>
      </c>
      <c r="F95" s="191">
        <f t="shared" si="5"/>
        <v>0</v>
      </c>
      <c r="G95" s="191">
        <f t="shared" si="6"/>
        <v>134.6026</v>
      </c>
      <c r="H95" s="219">
        <f t="shared" si="7"/>
        <v>134.6026</v>
      </c>
      <c r="I95" s="218">
        <v>1.0</v>
      </c>
      <c r="J95" s="194">
        <f t="shared" si="8"/>
        <v>134.6026</v>
      </c>
      <c r="K95" s="139"/>
      <c r="L95" s="197"/>
      <c r="M95" s="198"/>
      <c r="N95" s="198"/>
      <c r="O95" s="139"/>
      <c r="P95" s="139"/>
      <c r="Q95" s="176" t="s">
        <v>161</v>
      </c>
      <c r="R95" s="141">
        <v>29.5</v>
      </c>
      <c r="S95" s="187">
        <f t="shared" si="9"/>
        <v>2.44</v>
      </c>
      <c r="T95" s="181">
        <f t="shared" si="10"/>
        <v>1</v>
      </c>
      <c r="U95" s="181">
        <f t="shared" si="11"/>
        <v>2.44</v>
      </c>
      <c r="V95" s="278">
        <f t="shared" si="12"/>
        <v>134.6026</v>
      </c>
      <c r="W95" s="187">
        <f t="shared" ref="W95:X95" si="88">C95/100</f>
        <v>1</v>
      </c>
      <c r="X95" s="187">
        <f t="shared" si="88"/>
        <v>1.87</v>
      </c>
      <c r="Y95" s="187">
        <f t="shared" si="14"/>
        <v>2.44</v>
      </c>
      <c r="Z95" s="189">
        <f t="shared" si="15"/>
        <v>4.5628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</row>
    <row r="96" ht="27.0" customHeight="1">
      <c r="A96" s="181">
        <v>58.0</v>
      </c>
      <c r="B96" s="191" t="s">
        <v>99</v>
      </c>
      <c r="C96" s="191">
        <v>100.0</v>
      </c>
      <c r="D96" s="191">
        <v>187.0</v>
      </c>
      <c r="E96" s="191">
        <v>244.0</v>
      </c>
      <c r="F96" s="191">
        <f t="shared" si="5"/>
        <v>0</v>
      </c>
      <c r="G96" s="191">
        <f t="shared" si="6"/>
        <v>134.6026</v>
      </c>
      <c r="H96" s="219">
        <f t="shared" si="7"/>
        <v>134.6026</v>
      </c>
      <c r="I96" s="218">
        <v>1.0</v>
      </c>
      <c r="J96" s="194">
        <f t="shared" si="8"/>
        <v>134.6026</v>
      </c>
      <c r="K96" s="139"/>
      <c r="L96" s="197"/>
      <c r="M96" s="198"/>
      <c r="N96" s="198"/>
      <c r="O96" s="139"/>
      <c r="P96" s="139"/>
      <c r="Q96" s="176" t="s">
        <v>161</v>
      </c>
      <c r="R96" s="141">
        <v>29.5</v>
      </c>
      <c r="S96" s="187">
        <f t="shared" si="9"/>
        <v>2.44</v>
      </c>
      <c r="T96" s="181">
        <f t="shared" si="10"/>
        <v>1</v>
      </c>
      <c r="U96" s="181">
        <f t="shared" si="11"/>
        <v>2.44</v>
      </c>
      <c r="V96" s="278">
        <f t="shared" si="12"/>
        <v>134.6026</v>
      </c>
      <c r="W96" s="187">
        <f t="shared" ref="W96:X96" si="89">C96/100</f>
        <v>1</v>
      </c>
      <c r="X96" s="187">
        <f t="shared" si="89"/>
        <v>1.87</v>
      </c>
      <c r="Y96" s="187">
        <f t="shared" si="14"/>
        <v>2.44</v>
      </c>
      <c r="Z96" s="189">
        <f t="shared" si="15"/>
        <v>4.5628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</row>
    <row r="97" ht="27.0" customHeight="1">
      <c r="A97" s="181">
        <v>58.0</v>
      </c>
      <c r="B97" s="191" t="s">
        <v>99</v>
      </c>
      <c r="C97" s="191">
        <v>100.0</v>
      </c>
      <c r="D97" s="191">
        <v>187.0</v>
      </c>
      <c r="E97" s="191">
        <v>244.0</v>
      </c>
      <c r="F97" s="191">
        <f t="shared" si="5"/>
        <v>0</v>
      </c>
      <c r="G97" s="191">
        <f t="shared" si="6"/>
        <v>134.6026</v>
      </c>
      <c r="H97" s="219">
        <f t="shared" si="7"/>
        <v>134.6026</v>
      </c>
      <c r="I97" s="218">
        <v>1.0</v>
      </c>
      <c r="J97" s="194">
        <f t="shared" si="8"/>
        <v>134.6026</v>
      </c>
      <c r="K97" s="139"/>
      <c r="L97" s="197"/>
      <c r="M97" s="198"/>
      <c r="N97" s="198"/>
      <c r="O97" s="139"/>
      <c r="P97" s="139"/>
      <c r="Q97" s="176" t="s">
        <v>176</v>
      </c>
      <c r="R97" s="141">
        <v>29.5</v>
      </c>
      <c r="S97" s="187">
        <f t="shared" si="9"/>
        <v>2.44</v>
      </c>
      <c r="T97" s="181">
        <f t="shared" si="10"/>
        <v>1</v>
      </c>
      <c r="U97" s="181">
        <f t="shared" si="11"/>
        <v>2.44</v>
      </c>
      <c r="V97" s="278">
        <f t="shared" si="12"/>
        <v>134.6026</v>
      </c>
      <c r="W97" s="187">
        <f t="shared" ref="W97:X97" si="90">C97/100</f>
        <v>1</v>
      </c>
      <c r="X97" s="187">
        <f t="shared" si="90"/>
        <v>1.87</v>
      </c>
      <c r="Y97" s="187">
        <f t="shared" si="14"/>
        <v>2.44</v>
      </c>
      <c r="Z97" s="189">
        <f t="shared" si="15"/>
        <v>4.5628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</row>
    <row r="98" ht="27.0" customHeight="1">
      <c r="A98" s="181">
        <v>58.0</v>
      </c>
      <c r="B98" s="191" t="s">
        <v>99</v>
      </c>
      <c r="C98" s="191">
        <v>100.0</v>
      </c>
      <c r="D98" s="191">
        <v>187.0</v>
      </c>
      <c r="E98" s="191">
        <v>244.0</v>
      </c>
      <c r="F98" s="191">
        <f t="shared" si="5"/>
        <v>0</v>
      </c>
      <c r="G98" s="191">
        <f t="shared" si="6"/>
        <v>134.6026</v>
      </c>
      <c r="H98" s="219">
        <f t="shared" si="7"/>
        <v>134.6026</v>
      </c>
      <c r="I98" s="218">
        <v>20.0</v>
      </c>
      <c r="J98" s="194">
        <f t="shared" si="8"/>
        <v>2692.052</v>
      </c>
      <c r="K98" s="139"/>
      <c r="L98" s="197"/>
      <c r="M98" s="198"/>
      <c r="N98" s="198"/>
      <c r="O98" s="139"/>
      <c r="P98" s="139"/>
      <c r="Q98" s="176"/>
      <c r="R98" s="141">
        <v>29.5</v>
      </c>
      <c r="S98" s="187">
        <f t="shared" si="9"/>
        <v>2.44</v>
      </c>
      <c r="T98" s="181">
        <f t="shared" si="10"/>
        <v>20</v>
      </c>
      <c r="U98" s="181">
        <f t="shared" si="11"/>
        <v>48.8</v>
      </c>
      <c r="V98" s="278">
        <f t="shared" si="12"/>
        <v>134.6026</v>
      </c>
      <c r="W98" s="187">
        <f t="shared" ref="W98:X98" si="91">C98/100</f>
        <v>1</v>
      </c>
      <c r="X98" s="187">
        <f t="shared" si="91"/>
        <v>1.87</v>
      </c>
      <c r="Y98" s="187">
        <f t="shared" si="14"/>
        <v>48.8</v>
      </c>
      <c r="Z98" s="189">
        <f t="shared" si="15"/>
        <v>91.256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</row>
    <row r="99" ht="27.0" customHeight="1">
      <c r="A99" s="181">
        <v>59.0</v>
      </c>
      <c r="B99" s="191" t="s">
        <v>99</v>
      </c>
      <c r="C99" s="191">
        <v>100.0</v>
      </c>
      <c r="D99" s="191">
        <v>187.0</v>
      </c>
      <c r="E99" s="191">
        <v>245.0</v>
      </c>
      <c r="F99" s="191">
        <f t="shared" si="5"/>
        <v>0</v>
      </c>
      <c r="G99" s="191">
        <f t="shared" si="6"/>
        <v>135.15425</v>
      </c>
      <c r="H99" s="219">
        <f t="shared" si="7"/>
        <v>135.15425</v>
      </c>
      <c r="I99" s="218">
        <v>9.0</v>
      </c>
      <c r="J99" s="194">
        <f t="shared" si="8"/>
        <v>1216.38825</v>
      </c>
      <c r="K99" s="139"/>
      <c r="L99" s="197"/>
      <c r="M99" s="198"/>
      <c r="N99" s="198"/>
      <c r="O99" s="139"/>
      <c r="P99" s="139"/>
      <c r="Q99" s="176"/>
      <c r="R99" s="141">
        <v>29.5</v>
      </c>
      <c r="S99" s="187">
        <f t="shared" si="9"/>
        <v>2.45</v>
      </c>
      <c r="T99" s="181">
        <f t="shared" si="10"/>
        <v>9</v>
      </c>
      <c r="U99" s="181">
        <f t="shared" si="11"/>
        <v>22.05</v>
      </c>
      <c r="V99" s="278">
        <f t="shared" si="12"/>
        <v>135.15425</v>
      </c>
      <c r="W99" s="187">
        <f t="shared" ref="W99:X99" si="92">C99/100</f>
        <v>1</v>
      </c>
      <c r="X99" s="187">
        <f t="shared" si="92"/>
        <v>1.87</v>
      </c>
      <c r="Y99" s="187">
        <f t="shared" si="14"/>
        <v>22.05</v>
      </c>
      <c r="Z99" s="189">
        <f t="shared" si="15"/>
        <v>41.2335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</row>
    <row r="100" ht="27.0" customHeight="1">
      <c r="A100" s="181">
        <v>60.0</v>
      </c>
      <c r="B100" s="191" t="s">
        <v>99</v>
      </c>
      <c r="C100" s="191">
        <v>97.0</v>
      </c>
      <c r="D100" s="191">
        <v>187.0</v>
      </c>
      <c r="E100" s="191">
        <v>245.0</v>
      </c>
      <c r="F100" s="191">
        <f t="shared" si="5"/>
        <v>0</v>
      </c>
      <c r="G100" s="191">
        <f t="shared" si="6"/>
        <v>131.0996225</v>
      </c>
      <c r="H100" s="219">
        <f t="shared" si="7"/>
        <v>131.0996225</v>
      </c>
      <c r="I100" s="218">
        <v>1.0</v>
      </c>
      <c r="J100" s="194">
        <f t="shared" si="8"/>
        <v>131.0996225</v>
      </c>
      <c r="K100" s="139"/>
      <c r="L100" s="197"/>
      <c r="M100" s="198"/>
      <c r="N100" s="198"/>
      <c r="O100" s="139"/>
      <c r="P100" s="139"/>
      <c r="Q100" s="176"/>
      <c r="R100" s="141">
        <v>29.5</v>
      </c>
      <c r="S100" s="187">
        <f t="shared" si="9"/>
        <v>2.45</v>
      </c>
      <c r="T100" s="181">
        <f t="shared" si="10"/>
        <v>1</v>
      </c>
      <c r="U100" s="181">
        <f t="shared" si="11"/>
        <v>2.45</v>
      </c>
      <c r="V100" s="278">
        <f t="shared" si="12"/>
        <v>131.0996225</v>
      </c>
      <c r="W100" s="187">
        <f t="shared" ref="W100:X100" si="93">C100/100</f>
        <v>0.97</v>
      </c>
      <c r="X100" s="187">
        <f t="shared" si="93"/>
        <v>1.87</v>
      </c>
      <c r="Y100" s="187">
        <f t="shared" si="14"/>
        <v>2.45</v>
      </c>
      <c r="Z100" s="189">
        <f t="shared" si="15"/>
        <v>4.444055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</row>
    <row r="101" ht="27.0" customHeight="1">
      <c r="A101" s="181">
        <v>61.0</v>
      </c>
      <c r="B101" s="191" t="s">
        <v>99</v>
      </c>
      <c r="C101" s="191">
        <v>85.0</v>
      </c>
      <c r="D101" s="191">
        <v>187.0</v>
      </c>
      <c r="E101" s="191">
        <v>270.0</v>
      </c>
      <c r="F101" s="191">
        <f t="shared" si="5"/>
        <v>0</v>
      </c>
      <c r="G101" s="191">
        <f t="shared" si="6"/>
        <v>126.603675</v>
      </c>
      <c r="H101" s="219">
        <f t="shared" si="7"/>
        <v>126.603675</v>
      </c>
      <c r="I101" s="218">
        <v>1.0</v>
      </c>
      <c r="J101" s="194">
        <f t="shared" si="8"/>
        <v>126.603675</v>
      </c>
      <c r="K101" s="139"/>
      <c r="L101" s="197"/>
      <c r="M101" s="198"/>
      <c r="N101" s="198"/>
      <c r="O101" s="139"/>
      <c r="P101" s="139"/>
      <c r="Q101" s="176"/>
      <c r="R101" s="141">
        <v>29.5</v>
      </c>
      <c r="S101" s="187">
        <f t="shared" si="9"/>
        <v>2.7</v>
      </c>
      <c r="T101" s="181">
        <f t="shared" si="10"/>
        <v>1</v>
      </c>
      <c r="U101" s="181">
        <f t="shared" si="11"/>
        <v>2.7</v>
      </c>
      <c r="V101" s="278">
        <f t="shared" si="12"/>
        <v>126.603675</v>
      </c>
      <c r="W101" s="187">
        <f t="shared" ref="W101:X101" si="94">C101/100</f>
        <v>0.85</v>
      </c>
      <c r="X101" s="187">
        <f t="shared" si="94"/>
        <v>1.87</v>
      </c>
      <c r="Y101" s="187">
        <f t="shared" si="14"/>
        <v>2.7</v>
      </c>
      <c r="Z101" s="189">
        <f t="shared" si="15"/>
        <v>4.29165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</row>
    <row r="102" ht="27.0" customHeight="1">
      <c r="A102" s="181">
        <v>62.0</v>
      </c>
      <c r="B102" s="191" t="s">
        <v>99</v>
      </c>
      <c r="C102" s="191">
        <v>102.0</v>
      </c>
      <c r="D102" s="191">
        <v>187.0</v>
      </c>
      <c r="E102" s="191">
        <v>244.0</v>
      </c>
      <c r="F102" s="191">
        <f t="shared" si="5"/>
        <v>0</v>
      </c>
      <c r="G102" s="191">
        <f t="shared" si="6"/>
        <v>137.294652</v>
      </c>
      <c r="H102" s="219">
        <f t="shared" si="7"/>
        <v>137.294652</v>
      </c>
      <c r="I102" s="218">
        <v>1.0</v>
      </c>
      <c r="J102" s="194">
        <f t="shared" si="8"/>
        <v>137.294652</v>
      </c>
      <c r="K102" s="139"/>
      <c r="L102" s="197"/>
      <c r="M102" s="198"/>
      <c r="N102" s="198"/>
      <c r="O102" s="139"/>
      <c r="P102" s="139"/>
      <c r="Q102" s="176"/>
      <c r="R102" s="141">
        <v>29.5</v>
      </c>
      <c r="S102" s="187">
        <f t="shared" si="9"/>
        <v>2.44</v>
      </c>
      <c r="T102" s="181">
        <f t="shared" si="10"/>
        <v>1</v>
      </c>
      <c r="U102" s="181">
        <f t="shared" si="11"/>
        <v>2.44</v>
      </c>
      <c r="V102" s="278">
        <f t="shared" si="12"/>
        <v>137.294652</v>
      </c>
      <c r="W102" s="187">
        <f t="shared" ref="W102:X102" si="95">C102/100</f>
        <v>1.02</v>
      </c>
      <c r="X102" s="187">
        <f t="shared" si="95"/>
        <v>1.87</v>
      </c>
      <c r="Y102" s="187">
        <f t="shared" si="14"/>
        <v>2.44</v>
      </c>
      <c r="Z102" s="189">
        <f t="shared" si="15"/>
        <v>4.654056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</row>
    <row r="103" ht="27.0" customHeight="1">
      <c r="A103" s="181">
        <v>63.0</v>
      </c>
      <c r="B103" s="191" t="s">
        <v>99</v>
      </c>
      <c r="C103" s="191">
        <v>102.0</v>
      </c>
      <c r="D103" s="191">
        <v>187.0</v>
      </c>
      <c r="E103" s="191">
        <v>245.0</v>
      </c>
      <c r="F103" s="191">
        <f t="shared" si="5"/>
        <v>0</v>
      </c>
      <c r="G103" s="191">
        <f t="shared" si="6"/>
        <v>137.857335</v>
      </c>
      <c r="H103" s="219">
        <f t="shared" si="7"/>
        <v>137.857335</v>
      </c>
      <c r="I103" s="218">
        <v>4.0</v>
      </c>
      <c r="J103" s="194">
        <f t="shared" si="8"/>
        <v>551.42934</v>
      </c>
      <c r="K103" s="139"/>
      <c r="L103" s="197"/>
      <c r="M103" s="198"/>
      <c r="N103" s="198"/>
      <c r="O103" s="139"/>
      <c r="P103" s="139"/>
      <c r="Q103" s="176"/>
      <c r="R103" s="141">
        <v>29.5</v>
      </c>
      <c r="S103" s="187">
        <f t="shared" si="9"/>
        <v>2.45</v>
      </c>
      <c r="T103" s="181">
        <f t="shared" si="10"/>
        <v>4</v>
      </c>
      <c r="U103" s="181">
        <f t="shared" si="11"/>
        <v>9.8</v>
      </c>
      <c r="V103" s="278">
        <f t="shared" si="12"/>
        <v>137.857335</v>
      </c>
      <c r="W103" s="187">
        <f t="shared" ref="W103:X103" si="96">C103/100</f>
        <v>1.02</v>
      </c>
      <c r="X103" s="187">
        <f t="shared" si="96"/>
        <v>1.87</v>
      </c>
      <c r="Y103" s="187">
        <f t="shared" si="14"/>
        <v>9.8</v>
      </c>
      <c r="Z103" s="189">
        <f t="shared" si="15"/>
        <v>18.69252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</row>
    <row r="104" ht="27.0" customHeight="1">
      <c r="A104" s="181">
        <v>64.0</v>
      </c>
      <c r="B104" s="191" t="s">
        <v>99</v>
      </c>
      <c r="C104" s="191">
        <v>98.0</v>
      </c>
      <c r="D104" s="191">
        <v>187.0</v>
      </c>
      <c r="E104" s="191">
        <v>244.0</v>
      </c>
      <c r="F104" s="191">
        <f t="shared" si="5"/>
        <v>0</v>
      </c>
      <c r="G104" s="191">
        <f t="shared" si="6"/>
        <v>131.910548</v>
      </c>
      <c r="H104" s="219">
        <f t="shared" si="7"/>
        <v>131.910548</v>
      </c>
      <c r="I104" s="218">
        <v>1.0</v>
      </c>
      <c r="J104" s="194">
        <f t="shared" si="8"/>
        <v>131.910548</v>
      </c>
      <c r="K104" s="139"/>
      <c r="L104" s="197"/>
      <c r="M104" s="198"/>
      <c r="N104" s="198"/>
      <c r="O104" s="139"/>
      <c r="P104" s="139"/>
      <c r="Q104" s="176"/>
      <c r="R104" s="141">
        <v>29.5</v>
      </c>
      <c r="S104" s="187">
        <f t="shared" si="9"/>
        <v>2.44</v>
      </c>
      <c r="T104" s="181">
        <f t="shared" si="10"/>
        <v>1</v>
      </c>
      <c r="U104" s="181">
        <f t="shared" si="11"/>
        <v>2.44</v>
      </c>
      <c r="V104" s="278">
        <f t="shared" si="12"/>
        <v>131.910548</v>
      </c>
      <c r="W104" s="187">
        <f t="shared" ref="W104:X104" si="97">C104/100</f>
        <v>0.98</v>
      </c>
      <c r="X104" s="187">
        <f t="shared" si="97"/>
        <v>1.87</v>
      </c>
      <c r="Y104" s="187">
        <f t="shared" si="14"/>
        <v>2.44</v>
      </c>
      <c r="Z104" s="189">
        <f t="shared" si="15"/>
        <v>4.471544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</row>
    <row r="105" ht="27.0" customHeight="1">
      <c r="A105" s="181">
        <v>65.0</v>
      </c>
      <c r="B105" s="191" t="s">
        <v>99</v>
      </c>
      <c r="C105" s="191">
        <v>95.0</v>
      </c>
      <c r="D105" s="191">
        <v>187.0</v>
      </c>
      <c r="E105" s="191">
        <v>245.0</v>
      </c>
      <c r="F105" s="191">
        <f t="shared" si="5"/>
        <v>0</v>
      </c>
      <c r="G105" s="191">
        <f t="shared" si="6"/>
        <v>128.3965375</v>
      </c>
      <c r="H105" s="219">
        <f t="shared" si="7"/>
        <v>128.3965375</v>
      </c>
      <c r="I105" s="218">
        <v>1.0</v>
      </c>
      <c r="J105" s="194">
        <f t="shared" si="8"/>
        <v>128.3965375</v>
      </c>
      <c r="K105" s="139"/>
      <c r="L105" s="197"/>
      <c r="M105" s="198"/>
      <c r="N105" s="198"/>
      <c r="O105" s="139"/>
      <c r="P105" s="139"/>
      <c r="Q105" s="176"/>
      <c r="R105" s="141">
        <v>29.5</v>
      </c>
      <c r="S105" s="187">
        <f t="shared" si="9"/>
        <v>2.45</v>
      </c>
      <c r="T105" s="181">
        <f t="shared" si="10"/>
        <v>1</v>
      </c>
      <c r="U105" s="181">
        <f t="shared" si="11"/>
        <v>2.45</v>
      </c>
      <c r="V105" s="278">
        <f t="shared" si="12"/>
        <v>128.3965375</v>
      </c>
      <c r="W105" s="187">
        <f t="shared" ref="W105:X105" si="98">C105/100</f>
        <v>0.95</v>
      </c>
      <c r="X105" s="187">
        <f t="shared" si="98"/>
        <v>1.87</v>
      </c>
      <c r="Y105" s="187">
        <f t="shared" si="14"/>
        <v>2.45</v>
      </c>
      <c r="Z105" s="189">
        <f t="shared" si="15"/>
        <v>4.352425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</row>
    <row r="106" ht="27.0" customHeight="1">
      <c r="A106" s="181">
        <v>66.0</v>
      </c>
      <c r="B106" s="191" t="s">
        <v>99</v>
      </c>
      <c r="C106" s="191">
        <v>99.0</v>
      </c>
      <c r="D106" s="191">
        <v>187.0</v>
      </c>
      <c r="E106" s="191">
        <v>246.0</v>
      </c>
      <c r="F106" s="191">
        <f t="shared" si="5"/>
        <v>0</v>
      </c>
      <c r="G106" s="191">
        <f t="shared" si="6"/>
        <v>134.348841</v>
      </c>
      <c r="H106" s="219">
        <f t="shared" si="7"/>
        <v>134.348841</v>
      </c>
      <c r="I106" s="218">
        <v>1.0</v>
      </c>
      <c r="J106" s="194">
        <f t="shared" si="8"/>
        <v>134.348841</v>
      </c>
      <c r="K106" s="139"/>
      <c r="L106" s="197"/>
      <c r="M106" s="198"/>
      <c r="N106" s="198"/>
      <c r="O106" s="139"/>
      <c r="P106" s="139"/>
      <c r="Q106" s="176"/>
      <c r="R106" s="141">
        <v>29.5</v>
      </c>
      <c r="S106" s="187">
        <f t="shared" si="9"/>
        <v>2.46</v>
      </c>
      <c r="T106" s="181">
        <f t="shared" si="10"/>
        <v>1</v>
      </c>
      <c r="U106" s="181">
        <f t="shared" si="11"/>
        <v>2.46</v>
      </c>
      <c r="V106" s="278">
        <f t="shared" si="12"/>
        <v>134.348841</v>
      </c>
      <c r="W106" s="187">
        <f t="shared" ref="W106:X106" si="99">C106/100</f>
        <v>0.99</v>
      </c>
      <c r="X106" s="187">
        <f t="shared" si="99"/>
        <v>1.87</v>
      </c>
      <c r="Y106" s="187">
        <f t="shared" si="14"/>
        <v>2.46</v>
      </c>
      <c r="Z106" s="189">
        <f t="shared" si="15"/>
        <v>4.554198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</row>
    <row r="107" ht="27.0" customHeight="1">
      <c r="A107" s="181">
        <v>67.0</v>
      </c>
      <c r="B107" s="191" t="s">
        <v>99</v>
      </c>
      <c r="C107" s="191">
        <v>98.0</v>
      </c>
      <c r="D107" s="191">
        <v>187.0</v>
      </c>
      <c r="E107" s="191">
        <v>246.0</v>
      </c>
      <c r="F107" s="191">
        <f t="shared" si="5"/>
        <v>0</v>
      </c>
      <c r="G107" s="191">
        <f t="shared" si="6"/>
        <v>132.991782</v>
      </c>
      <c r="H107" s="219">
        <f t="shared" si="7"/>
        <v>132.991782</v>
      </c>
      <c r="I107" s="218">
        <v>1.0</v>
      </c>
      <c r="J107" s="194">
        <f t="shared" si="8"/>
        <v>132.991782</v>
      </c>
      <c r="K107" s="139"/>
      <c r="L107" s="197"/>
      <c r="M107" s="198"/>
      <c r="N107" s="198"/>
      <c r="O107" s="139"/>
      <c r="P107" s="139"/>
      <c r="Q107" s="176"/>
      <c r="R107" s="141">
        <v>29.5</v>
      </c>
      <c r="S107" s="187">
        <f t="shared" si="9"/>
        <v>2.46</v>
      </c>
      <c r="T107" s="181">
        <f t="shared" si="10"/>
        <v>1</v>
      </c>
      <c r="U107" s="181">
        <f t="shared" si="11"/>
        <v>2.46</v>
      </c>
      <c r="V107" s="278">
        <f t="shared" si="12"/>
        <v>132.991782</v>
      </c>
      <c r="W107" s="187">
        <f t="shared" ref="W107:X107" si="100">C107/100</f>
        <v>0.98</v>
      </c>
      <c r="X107" s="187">
        <f t="shared" si="100"/>
        <v>1.87</v>
      </c>
      <c r="Y107" s="187">
        <f t="shared" si="14"/>
        <v>2.46</v>
      </c>
      <c r="Z107" s="189">
        <f t="shared" si="15"/>
        <v>4.508196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</row>
    <row r="108" ht="27.0" customHeight="1">
      <c r="A108" s="181">
        <v>68.0</v>
      </c>
      <c r="B108" s="191" t="s">
        <v>99</v>
      </c>
      <c r="C108" s="191">
        <v>98.0</v>
      </c>
      <c r="D108" s="191">
        <v>187.0</v>
      </c>
      <c r="E108" s="191">
        <v>245.0</v>
      </c>
      <c r="F108" s="191">
        <f t="shared" si="5"/>
        <v>0</v>
      </c>
      <c r="G108" s="191">
        <f t="shared" si="6"/>
        <v>132.451165</v>
      </c>
      <c r="H108" s="219">
        <f t="shared" si="7"/>
        <v>132.451165</v>
      </c>
      <c r="I108" s="218">
        <v>1.0</v>
      </c>
      <c r="J108" s="194">
        <f t="shared" si="8"/>
        <v>132.451165</v>
      </c>
      <c r="K108" s="139"/>
      <c r="L108" s="197"/>
      <c r="M108" s="198"/>
      <c r="N108" s="198"/>
      <c r="O108" s="139"/>
      <c r="P108" s="139"/>
      <c r="Q108" s="176"/>
      <c r="R108" s="141">
        <v>29.5</v>
      </c>
      <c r="S108" s="187">
        <f t="shared" si="9"/>
        <v>2.45</v>
      </c>
      <c r="T108" s="181">
        <f t="shared" si="10"/>
        <v>1</v>
      </c>
      <c r="U108" s="181">
        <f t="shared" si="11"/>
        <v>2.45</v>
      </c>
      <c r="V108" s="278">
        <f t="shared" si="12"/>
        <v>132.451165</v>
      </c>
      <c r="W108" s="187">
        <f t="shared" ref="W108:X108" si="101">C108/100</f>
        <v>0.98</v>
      </c>
      <c r="X108" s="187">
        <f t="shared" si="101"/>
        <v>1.87</v>
      </c>
      <c r="Y108" s="187">
        <f t="shared" si="14"/>
        <v>2.45</v>
      </c>
      <c r="Z108" s="189">
        <f t="shared" si="15"/>
        <v>4.48987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</row>
    <row r="109" ht="27.0" customHeight="1">
      <c r="A109" s="181">
        <v>69.0</v>
      </c>
      <c r="B109" s="191" t="s">
        <v>99</v>
      </c>
      <c r="C109" s="191">
        <v>99.0</v>
      </c>
      <c r="D109" s="191">
        <v>187.0</v>
      </c>
      <c r="E109" s="191">
        <v>245.0</v>
      </c>
      <c r="F109" s="191">
        <f t="shared" si="5"/>
        <v>0</v>
      </c>
      <c r="G109" s="191">
        <f t="shared" si="6"/>
        <v>133.8027075</v>
      </c>
      <c r="H109" s="219">
        <f t="shared" si="7"/>
        <v>133.8027075</v>
      </c>
      <c r="I109" s="218">
        <v>1.0</v>
      </c>
      <c r="J109" s="194">
        <f t="shared" si="8"/>
        <v>133.8027075</v>
      </c>
      <c r="K109" s="139"/>
      <c r="L109" s="197"/>
      <c r="M109" s="198"/>
      <c r="N109" s="198"/>
      <c r="O109" s="139"/>
      <c r="P109" s="139"/>
      <c r="Q109" s="176"/>
      <c r="R109" s="141">
        <v>29.5</v>
      </c>
      <c r="S109" s="187">
        <f t="shared" si="9"/>
        <v>2.45</v>
      </c>
      <c r="T109" s="181">
        <f t="shared" si="10"/>
        <v>1</v>
      </c>
      <c r="U109" s="181">
        <f t="shared" si="11"/>
        <v>2.45</v>
      </c>
      <c r="V109" s="278">
        <f t="shared" si="12"/>
        <v>133.8027075</v>
      </c>
      <c r="W109" s="187">
        <f t="shared" ref="W109:X109" si="102">C109/100</f>
        <v>0.99</v>
      </c>
      <c r="X109" s="187">
        <f t="shared" si="102"/>
        <v>1.87</v>
      </c>
      <c r="Y109" s="187">
        <f t="shared" si="14"/>
        <v>2.45</v>
      </c>
      <c r="Z109" s="189">
        <f t="shared" si="15"/>
        <v>4.535685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</row>
    <row r="110" ht="27.0" customHeight="1">
      <c r="A110" s="181">
        <v>70.0</v>
      </c>
      <c r="B110" s="182" t="s">
        <v>107</v>
      </c>
      <c r="C110" s="183">
        <v>80.0</v>
      </c>
      <c r="D110" s="183">
        <v>204.0</v>
      </c>
      <c r="E110" s="183">
        <v>151.0</v>
      </c>
      <c r="F110" s="183">
        <f t="shared" si="5"/>
        <v>0.8</v>
      </c>
      <c r="G110" s="183">
        <f t="shared" si="6"/>
        <v>60.37584</v>
      </c>
      <c r="H110" s="184">
        <f t="shared" si="7"/>
        <v>48.300672</v>
      </c>
      <c r="I110" s="183">
        <v>1.0</v>
      </c>
      <c r="J110" s="194">
        <f t="shared" si="8"/>
        <v>48.300672</v>
      </c>
      <c r="K110" s="139"/>
      <c r="L110" s="197"/>
      <c r="M110" s="198"/>
      <c r="N110" s="198"/>
      <c r="O110" s="139"/>
      <c r="P110" s="139"/>
      <c r="Q110" s="176"/>
      <c r="R110" s="141">
        <v>24.5</v>
      </c>
      <c r="S110" s="187">
        <f t="shared" si="9"/>
        <v>1.51</v>
      </c>
      <c r="T110" s="181">
        <f t="shared" si="10"/>
        <v>1</v>
      </c>
      <c r="U110" s="181">
        <f t="shared" si="11"/>
        <v>1.51</v>
      </c>
      <c r="V110" s="278">
        <f t="shared" si="12"/>
        <v>60.37584</v>
      </c>
      <c r="W110" s="187">
        <f t="shared" ref="W110:X110" si="103">C110/100</f>
        <v>0.8</v>
      </c>
      <c r="X110" s="187">
        <f t="shared" si="103"/>
        <v>2.04</v>
      </c>
      <c r="Y110" s="187">
        <f t="shared" si="14"/>
        <v>1.51</v>
      </c>
      <c r="Z110" s="189">
        <f t="shared" si="15"/>
        <v>2.46432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</row>
    <row r="111" ht="27.0" customHeight="1">
      <c r="A111" s="181">
        <v>71.0</v>
      </c>
      <c r="B111" s="191" t="s">
        <v>97</v>
      </c>
      <c r="C111" s="191">
        <v>95.0</v>
      </c>
      <c r="D111" s="191">
        <v>204.0</v>
      </c>
      <c r="E111" s="191">
        <v>152.0</v>
      </c>
      <c r="F111" s="191">
        <f t="shared" si="5"/>
        <v>0</v>
      </c>
      <c r="G111" s="191">
        <f t="shared" si="6"/>
        <v>72.17112</v>
      </c>
      <c r="H111" s="219">
        <f t="shared" si="7"/>
        <v>72.17112</v>
      </c>
      <c r="I111" s="218">
        <v>5.0</v>
      </c>
      <c r="J111" s="194">
        <f t="shared" si="8"/>
        <v>360.8556</v>
      </c>
      <c r="K111" s="139"/>
      <c r="L111" s="197"/>
      <c r="M111" s="198"/>
      <c r="N111" s="198"/>
      <c r="O111" s="139"/>
      <c r="P111" s="139"/>
      <c r="Q111" s="176"/>
      <c r="R111" s="141">
        <v>24.5</v>
      </c>
      <c r="S111" s="187">
        <f t="shared" si="9"/>
        <v>1.52</v>
      </c>
      <c r="T111" s="181">
        <f t="shared" si="10"/>
        <v>5</v>
      </c>
      <c r="U111" s="181">
        <f t="shared" si="11"/>
        <v>7.6</v>
      </c>
      <c r="V111" s="278">
        <f t="shared" si="12"/>
        <v>72.17112</v>
      </c>
      <c r="W111" s="187">
        <f t="shared" ref="W111:X111" si="104">C111/100</f>
        <v>0.95</v>
      </c>
      <c r="X111" s="187">
        <f t="shared" si="104"/>
        <v>2.04</v>
      </c>
      <c r="Y111" s="187">
        <f t="shared" si="14"/>
        <v>7.6</v>
      </c>
      <c r="Z111" s="189">
        <f t="shared" si="15"/>
        <v>14.7288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</row>
    <row r="112" ht="27.0" customHeight="1">
      <c r="A112" s="181">
        <v>72.0</v>
      </c>
      <c r="B112" s="191" t="s">
        <v>97</v>
      </c>
      <c r="C112" s="191">
        <v>96.0</v>
      </c>
      <c r="D112" s="191">
        <v>204.0</v>
      </c>
      <c r="E112" s="191">
        <v>152.0</v>
      </c>
      <c r="F112" s="191">
        <f t="shared" si="5"/>
        <v>0</v>
      </c>
      <c r="G112" s="191">
        <f t="shared" si="6"/>
        <v>72.930816</v>
      </c>
      <c r="H112" s="219">
        <f t="shared" si="7"/>
        <v>72.930816</v>
      </c>
      <c r="I112" s="218">
        <v>1.0</v>
      </c>
      <c r="J112" s="194">
        <f t="shared" si="8"/>
        <v>72.930816</v>
      </c>
      <c r="K112" s="139"/>
      <c r="L112" s="197"/>
      <c r="M112" s="198"/>
      <c r="N112" s="198"/>
      <c r="O112" s="139"/>
      <c r="P112" s="139"/>
      <c r="Q112" s="176"/>
      <c r="R112" s="141">
        <v>24.5</v>
      </c>
      <c r="S112" s="187">
        <f t="shared" si="9"/>
        <v>1.52</v>
      </c>
      <c r="T112" s="181">
        <f t="shared" si="10"/>
        <v>1</v>
      </c>
      <c r="U112" s="181">
        <f t="shared" si="11"/>
        <v>1.52</v>
      </c>
      <c r="V112" s="278">
        <f t="shared" si="12"/>
        <v>72.930816</v>
      </c>
      <c r="W112" s="187">
        <f t="shared" ref="W112:X112" si="105">C112/100</f>
        <v>0.96</v>
      </c>
      <c r="X112" s="187">
        <f t="shared" si="105"/>
        <v>2.04</v>
      </c>
      <c r="Y112" s="187">
        <f t="shared" si="14"/>
        <v>1.52</v>
      </c>
      <c r="Z112" s="189">
        <f t="shared" si="15"/>
        <v>2.976768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</row>
    <row r="113" ht="27.0" customHeight="1">
      <c r="A113" s="181">
        <v>73.0</v>
      </c>
      <c r="B113" s="191" t="s">
        <v>97</v>
      </c>
      <c r="C113" s="191">
        <v>95.0</v>
      </c>
      <c r="D113" s="191">
        <v>204.0</v>
      </c>
      <c r="E113" s="191">
        <v>153.0</v>
      </c>
      <c r="F113" s="191">
        <f t="shared" si="5"/>
        <v>0</v>
      </c>
      <c r="G113" s="191">
        <f t="shared" si="6"/>
        <v>72.64593</v>
      </c>
      <c r="H113" s="219">
        <f t="shared" si="7"/>
        <v>72.64593</v>
      </c>
      <c r="I113" s="218">
        <v>3.0</v>
      </c>
      <c r="J113" s="194">
        <f t="shared" si="8"/>
        <v>217.93779</v>
      </c>
      <c r="K113" s="139"/>
      <c r="L113" s="197"/>
      <c r="M113" s="198"/>
      <c r="N113" s="198"/>
      <c r="O113" s="139"/>
      <c r="P113" s="139"/>
      <c r="Q113" s="176"/>
      <c r="R113" s="141">
        <v>24.5</v>
      </c>
      <c r="S113" s="187">
        <f t="shared" si="9"/>
        <v>1.53</v>
      </c>
      <c r="T113" s="181">
        <f t="shared" si="10"/>
        <v>3</v>
      </c>
      <c r="U113" s="181">
        <f t="shared" si="11"/>
        <v>4.59</v>
      </c>
      <c r="V113" s="278">
        <f t="shared" si="12"/>
        <v>72.64593</v>
      </c>
      <c r="W113" s="187">
        <f t="shared" ref="W113:X113" si="106">C113/100</f>
        <v>0.95</v>
      </c>
      <c r="X113" s="187">
        <f t="shared" si="106"/>
        <v>2.04</v>
      </c>
      <c r="Y113" s="187">
        <f t="shared" si="14"/>
        <v>4.59</v>
      </c>
      <c r="Z113" s="189">
        <f t="shared" si="15"/>
        <v>8.89542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</row>
    <row r="114" ht="27.0" customHeight="1">
      <c r="A114" s="181">
        <v>74.0</v>
      </c>
      <c r="B114" s="191" t="s">
        <v>97</v>
      </c>
      <c r="C114" s="191">
        <v>90.0</v>
      </c>
      <c r="D114" s="191">
        <v>204.0</v>
      </c>
      <c r="E114" s="191">
        <v>151.0</v>
      </c>
      <c r="F114" s="191">
        <f t="shared" si="5"/>
        <v>0</v>
      </c>
      <c r="G114" s="191">
        <f t="shared" si="6"/>
        <v>67.92282</v>
      </c>
      <c r="H114" s="219">
        <f t="shared" si="7"/>
        <v>67.92282</v>
      </c>
      <c r="I114" s="218">
        <v>1.0</v>
      </c>
      <c r="J114" s="194">
        <f t="shared" si="8"/>
        <v>67.92282</v>
      </c>
      <c r="K114" s="139"/>
      <c r="L114" s="197"/>
      <c r="M114" s="198"/>
      <c r="N114" s="198"/>
      <c r="O114" s="139"/>
      <c r="P114" s="139"/>
      <c r="Q114" s="176"/>
      <c r="R114" s="141">
        <v>24.5</v>
      </c>
      <c r="S114" s="187">
        <f t="shared" si="9"/>
        <v>1.51</v>
      </c>
      <c r="T114" s="181">
        <f t="shared" si="10"/>
        <v>1</v>
      </c>
      <c r="U114" s="181">
        <f t="shared" si="11"/>
        <v>1.51</v>
      </c>
      <c r="V114" s="278">
        <f t="shared" si="12"/>
        <v>67.92282</v>
      </c>
      <c r="W114" s="187">
        <f t="shared" ref="W114:X114" si="107">C114/100</f>
        <v>0.9</v>
      </c>
      <c r="X114" s="187">
        <f t="shared" si="107"/>
        <v>2.04</v>
      </c>
      <c r="Y114" s="187">
        <f t="shared" si="14"/>
        <v>1.51</v>
      </c>
      <c r="Z114" s="189">
        <f t="shared" si="15"/>
        <v>2.77236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</row>
    <row r="115" ht="27.0" customHeight="1">
      <c r="A115" s="181">
        <v>75.0</v>
      </c>
      <c r="B115" s="191" t="s">
        <v>97</v>
      </c>
      <c r="C115" s="191">
        <v>96.0</v>
      </c>
      <c r="D115" s="191">
        <v>204.0</v>
      </c>
      <c r="E115" s="191">
        <v>153.0</v>
      </c>
      <c r="F115" s="191">
        <f t="shared" si="5"/>
        <v>0</v>
      </c>
      <c r="G115" s="191">
        <f t="shared" si="6"/>
        <v>73.410624</v>
      </c>
      <c r="H115" s="219">
        <f t="shared" si="7"/>
        <v>73.410624</v>
      </c>
      <c r="I115" s="218">
        <v>1.0</v>
      </c>
      <c r="J115" s="194">
        <f t="shared" si="8"/>
        <v>73.410624</v>
      </c>
      <c r="K115" s="139"/>
      <c r="L115" s="197"/>
      <c r="M115" s="198"/>
      <c r="N115" s="198"/>
      <c r="O115" s="139"/>
      <c r="P115" s="139"/>
      <c r="Q115" s="176"/>
      <c r="R115" s="141">
        <v>24.5</v>
      </c>
      <c r="S115" s="187">
        <f t="shared" si="9"/>
        <v>1.53</v>
      </c>
      <c r="T115" s="181">
        <f t="shared" si="10"/>
        <v>1</v>
      </c>
      <c r="U115" s="181">
        <f t="shared" si="11"/>
        <v>1.53</v>
      </c>
      <c r="V115" s="278">
        <f t="shared" si="12"/>
        <v>73.410624</v>
      </c>
      <c r="W115" s="187">
        <f t="shared" ref="W115:X115" si="108">C115/100</f>
        <v>0.96</v>
      </c>
      <c r="X115" s="187">
        <f t="shared" si="108"/>
        <v>2.04</v>
      </c>
      <c r="Y115" s="187">
        <f t="shared" si="14"/>
        <v>1.53</v>
      </c>
      <c r="Z115" s="189">
        <f t="shared" si="15"/>
        <v>2.996352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</row>
    <row r="116" ht="27.0" customHeight="1">
      <c r="A116" s="181">
        <v>76.0</v>
      </c>
      <c r="B116" s="191" t="s">
        <v>97</v>
      </c>
      <c r="C116" s="191">
        <v>97.0</v>
      </c>
      <c r="D116" s="191">
        <v>204.0</v>
      </c>
      <c r="E116" s="191">
        <v>152.0</v>
      </c>
      <c r="F116" s="191">
        <f t="shared" si="5"/>
        <v>0</v>
      </c>
      <c r="G116" s="191">
        <f t="shared" si="6"/>
        <v>73.690512</v>
      </c>
      <c r="H116" s="219">
        <f t="shared" si="7"/>
        <v>73.690512</v>
      </c>
      <c r="I116" s="218">
        <v>1.0</v>
      </c>
      <c r="J116" s="194">
        <f t="shared" si="8"/>
        <v>73.690512</v>
      </c>
      <c r="K116" s="139"/>
      <c r="L116" s="197"/>
      <c r="M116" s="198"/>
      <c r="N116" s="198"/>
      <c r="O116" s="139"/>
      <c r="P116" s="139"/>
      <c r="Q116" s="176"/>
      <c r="R116" s="141">
        <v>24.5</v>
      </c>
      <c r="S116" s="187">
        <f t="shared" si="9"/>
        <v>1.52</v>
      </c>
      <c r="T116" s="181">
        <f t="shared" si="10"/>
        <v>1</v>
      </c>
      <c r="U116" s="181">
        <f t="shared" si="11"/>
        <v>1.52</v>
      </c>
      <c r="V116" s="278">
        <f t="shared" si="12"/>
        <v>73.690512</v>
      </c>
      <c r="W116" s="187">
        <f t="shared" ref="W116:X116" si="109">C116/100</f>
        <v>0.97</v>
      </c>
      <c r="X116" s="187">
        <f t="shared" si="109"/>
        <v>2.04</v>
      </c>
      <c r="Y116" s="187">
        <f t="shared" si="14"/>
        <v>1.52</v>
      </c>
      <c r="Z116" s="189">
        <f t="shared" si="15"/>
        <v>3.007776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</row>
    <row r="117" ht="27.0" customHeight="1">
      <c r="A117" s="181">
        <v>77.0</v>
      </c>
      <c r="B117" s="191" t="s">
        <v>97</v>
      </c>
      <c r="C117" s="191">
        <v>97.0</v>
      </c>
      <c r="D117" s="191">
        <v>204.0</v>
      </c>
      <c r="E117" s="191">
        <v>153.0</v>
      </c>
      <c r="F117" s="191">
        <f t="shared" si="5"/>
        <v>0</v>
      </c>
      <c r="G117" s="191">
        <f t="shared" si="6"/>
        <v>74.175318</v>
      </c>
      <c r="H117" s="219">
        <f t="shared" si="7"/>
        <v>74.175318</v>
      </c>
      <c r="I117" s="218">
        <v>2.0</v>
      </c>
      <c r="J117" s="194">
        <f t="shared" si="8"/>
        <v>148.350636</v>
      </c>
      <c r="K117" s="139"/>
      <c r="L117" s="197"/>
      <c r="M117" s="198"/>
      <c r="N117" s="198"/>
      <c r="O117" s="139"/>
      <c r="P117" s="139"/>
      <c r="Q117" s="176"/>
      <c r="R117" s="141">
        <v>24.5</v>
      </c>
      <c r="S117" s="187">
        <f t="shared" si="9"/>
        <v>1.53</v>
      </c>
      <c r="T117" s="181">
        <f t="shared" si="10"/>
        <v>2</v>
      </c>
      <c r="U117" s="181">
        <f t="shared" si="11"/>
        <v>3.06</v>
      </c>
      <c r="V117" s="278">
        <f t="shared" si="12"/>
        <v>74.175318</v>
      </c>
      <c r="W117" s="187">
        <f t="shared" ref="W117:X117" si="110">C117/100</f>
        <v>0.97</v>
      </c>
      <c r="X117" s="187">
        <f t="shared" si="110"/>
        <v>2.04</v>
      </c>
      <c r="Y117" s="187">
        <f t="shared" si="14"/>
        <v>3.06</v>
      </c>
      <c r="Z117" s="189">
        <f t="shared" si="15"/>
        <v>6.055128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</row>
    <row r="118" ht="27.0" customHeight="1">
      <c r="A118" s="181">
        <v>78.0</v>
      </c>
      <c r="B118" s="191" t="s">
        <v>97</v>
      </c>
      <c r="C118" s="191">
        <v>93.0</v>
      </c>
      <c r="D118" s="191">
        <v>204.0</v>
      </c>
      <c r="E118" s="191">
        <v>153.0</v>
      </c>
      <c r="F118" s="191">
        <f t="shared" si="5"/>
        <v>0</v>
      </c>
      <c r="G118" s="191">
        <f t="shared" si="6"/>
        <v>71.116542</v>
      </c>
      <c r="H118" s="219">
        <f t="shared" si="7"/>
        <v>71.116542</v>
      </c>
      <c r="I118" s="218">
        <v>1.0</v>
      </c>
      <c r="J118" s="194">
        <f t="shared" si="8"/>
        <v>71.116542</v>
      </c>
      <c r="K118" s="139"/>
      <c r="L118" s="197"/>
      <c r="M118" s="198"/>
      <c r="N118" s="198"/>
      <c r="O118" s="139"/>
      <c r="P118" s="139"/>
      <c r="Q118" s="176"/>
      <c r="R118" s="141">
        <v>24.5</v>
      </c>
      <c r="S118" s="187">
        <f t="shared" si="9"/>
        <v>1.53</v>
      </c>
      <c r="T118" s="181">
        <f t="shared" si="10"/>
        <v>1</v>
      </c>
      <c r="U118" s="181">
        <f t="shared" si="11"/>
        <v>1.53</v>
      </c>
      <c r="V118" s="278">
        <f t="shared" si="12"/>
        <v>71.116542</v>
      </c>
      <c r="W118" s="187">
        <f t="shared" ref="W118:X118" si="111">C118/100</f>
        <v>0.93</v>
      </c>
      <c r="X118" s="187">
        <f t="shared" si="111"/>
        <v>2.04</v>
      </c>
      <c r="Y118" s="187">
        <f t="shared" si="14"/>
        <v>1.53</v>
      </c>
      <c r="Z118" s="189">
        <f t="shared" si="15"/>
        <v>2.902716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</row>
    <row r="119" ht="27.0" customHeight="1">
      <c r="A119" s="181">
        <v>79.0</v>
      </c>
      <c r="B119" s="191" t="s">
        <v>97</v>
      </c>
      <c r="C119" s="191">
        <v>74.0</v>
      </c>
      <c r="D119" s="191">
        <v>204.0</v>
      </c>
      <c r="E119" s="191">
        <v>239.0</v>
      </c>
      <c r="F119" s="191">
        <f t="shared" si="5"/>
        <v>0</v>
      </c>
      <c r="G119" s="191">
        <f t="shared" si="6"/>
        <v>88.394628</v>
      </c>
      <c r="H119" s="219">
        <f t="shared" si="7"/>
        <v>88.394628</v>
      </c>
      <c r="I119" s="218">
        <v>1.0</v>
      </c>
      <c r="J119" s="194">
        <f t="shared" si="8"/>
        <v>88.394628</v>
      </c>
      <c r="K119" s="139"/>
      <c r="L119" s="197"/>
      <c r="M119" s="198"/>
      <c r="N119" s="198"/>
      <c r="O119" s="139"/>
      <c r="P119" s="139"/>
      <c r="Q119" s="176"/>
      <c r="R119" s="141">
        <v>24.5</v>
      </c>
      <c r="S119" s="187">
        <f t="shared" si="9"/>
        <v>2.39</v>
      </c>
      <c r="T119" s="181">
        <f t="shared" si="10"/>
        <v>1</v>
      </c>
      <c r="U119" s="181">
        <f t="shared" si="11"/>
        <v>2.39</v>
      </c>
      <c r="V119" s="278">
        <f t="shared" si="12"/>
        <v>88.394628</v>
      </c>
      <c r="W119" s="187">
        <f t="shared" ref="W119:X119" si="112">C119/100</f>
        <v>0.74</v>
      </c>
      <c r="X119" s="187">
        <f t="shared" si="112"/>
        <v>2.04</v>
      </c>
      <c r="Y119" s="187">
        <f t="shared" si="14"/>
        <v>2.39</v>
      </c>
      <c r="Z119" s="189">
        <f t="shared" si="15"/>
        <v>3.607944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</row>
    <row r="120" ht="27.0" customHeight="1">
      <c r="A120" s="181">
        <v>80.0</v>
      </c>
      <c r="B120" s="191" t="s">
        <v>97</v>
      </c>
      <c r="C120" s="191">
        <v>97.0</v>
      </c>
      <c r="D120" s="191">
        <v>204.0</v>
      </c>
      <c r="E120" s="191">
        <v>89.0</v>
      </c>
      <c r="F120" s="191">
        <f t="shared" si="5"/>
        <v>0</v>
      </c>
      <c r="G120" s="191">
        <f t="shared" si="6"/>
        <v>43.147734</v>
      </c>
      <c r="H120" s="219">
        <f t="shared" si="7"/>
        <v>43.147734</v>
      </c>
      <c r="I120" s="218">
        <v>1.0</v>
      </c>
      <c r="J120" s="194">
        <f t="shared" si="8"/>
        <v>43.147734</v>
      </c>
      <c r="K120" s="139"/>
      <c r="L120" s="197"/>
      <c r="M120" s="198"/>
      <c r="N120" s="198"/>
      <c r="O120" s="139"/>
      <c r="P120" s="139"/>
      <c r="Q120" s="176"/>
      <c r="R120" s="141">
        <v>24.5</v>
      </c>
      <c r="S120" s="187">
        <f t="shared" si="9"/>
        <v>0.89</v>
      </c>
      <c r="T120" s="181">
        <f t="shared" si="10"/>
        <v>1</v>
      </c>
      <c r="U120" s="181">
        <f t="shared" si="11"/>
        <v>0.89</v>
      </c>
      <c r="V120" s="278">
        <f t="shared" si="12"/>
        <v>43.147734</v>
      </c>
      <c r="W120" s="187">
        <f t="shared" ref="W120:X120" si="113">C120/100</f>
        <v>0.97</v>
      </c>
      <c r="X120" s="187">
        <f t="shared" si="113"/>
        <v>2.04</v>
      </c>
      <c r="Y120" s="187">
        <f t="shared" si="14"/>
        <v>0.89</v>
      </c>
      <c r="Z120" s="189">
        <f t="shared" si="15"/>
        <v>1.761132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</row>
    <row r="121" ht="27.0" customHeight="1">
      <c r="A121" s="181">
        <v>81.0</v>
      </c>
      <c r="B121" s="182" t="s">
        <v>103</v>
      </c>
      <c r="C121" s="183">
        <v>85.0</v>
      </c>
      <c r="D121" s="183">
        <v>204.0</v>
      </c>
      <c r="E121" s="183">
        <v>154.0</v>
      </c>
      <c r="F121" s="183">
        <f t="shared" si="5"/>
        <v>0.8</v>
      </c>
      <c r="G121" s="183">
        <f t="shared" si="6"/>
        <v>49.40166</v>
      </c>
      <c r="H121" s="184">
        <f t="shared" si="7"/>
        <v>39.521328</v>
      </c>
      <c r="I121" s="183">
        <v>1.0</v>
      </c>
      <c r="J121" s="194">
        <f t="shared" si="8"/>
        <v>39.521328</v>
      </c>
      <c r="K121" s="139"/>
      <c r="L121" s="197"/>
      <c r="M121" s="198"/>
      <c r="N121" s="198"/>
      <c r="O121" s="139"/>
      <c r="P121" s="139"/>
      <c r="Q121" s="176"/>
      <c r="R121" s="141">
        <v>18.5</v>
      </c>
      <c r="S121" s="187">
        <f t="shared" si="9"/>
        <v>1.54</v>
      </c>
      <c r="T121" s="181">
        <f t="shared" si="10"/>
        <v>1</v>
      </c>
      <c r="U121" s="181">
        <f t="shared" si="11"/>
        <v>1.54</v>
      </c>
      <c r="V121" s="278">
        <f t="shared" si="12"/>
        <v>49.40166</v>
      </c>
      <c r="W121" s="187">
        <f t="shared" ref="W121:X121" si="114">C121/100</f>
        <v>0.85</v>
      </c>
      <c r="X121" s="187">
        <f t="shared" si="114"/>
        <v>2.04</v>
      </c>
      <c r="Y121" s="187">
        <f t="shared" si="14"/>
        <v>1.54</v>
      </c>
      <c r="Z121" s="189">
        <f t="shared" si="15"/>
        <v>2.67036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</row>
    <row r="122" ht="27.0" customHeight="1">
      <c r="A122" s="181">
        <v>82.0</v>
      </c>
      <c r="B122" s="191" t="s">
        <v>98</v>
      </c>
      <c r="C122" s="191">
        <v>98.0</v>
      </c>
      <c r="D122" s="191">
        <v>204.0</v>
      </c>
      <c r="E122" s="191">
        <v>155.0</v>
      </c>
      <c r="F122" s="191">
        <f t="shared" si="5"/>
        <v>0</v>
      </c>
      <c r="G122" s="191">
        <f t="shared" si="6"/>
        <v>57.32706</v>
      </c>
      <c r="H122" s="219">
        <f t="shared" si="7"/>
        <v>57.32706</v>
      </c>
      <c r="I122" s="218">
        <v>1.0</v>
      </c>
      <c r="J122" s="194">
        <f t="shared" si="8"/>
        <v>57.32706</v>
      </c>
      <c r="K122" s="139"/>
      <c r="L122" s="197"/>
      <c r="M122" s="198"/>
      <c r="N122" s="198"/>
      <c r="O122" s="139"/>
      <c r="P122" s="139"/>
      <c r="Q122" s="176" t="s">
        <v>196</v>
      </c>
      <c r="R122" s="141">
        <v>18.5</v>
      </c>
      <c r="S122" s="187">
        <f t="shared" si="9"/>
        <v>1.55</v>
      </c>
      <c r="T122" s="181">
        <f t="shared" si="10"/>
        <v>1</v>
      </c>
      <c r="U122" s="181">
        <f t="shared" si="11"/>
        <v>1.55</v>
      </c>
      <c r="V122" s="278">
        <f t="shared" si="12"/>
        <v>57.32706</v>
      </c>
      <c r="W122" s="187">
        <f t="shared" ref="W122:X122" si="115">C122/100</f>
        <v>0.98</v>
      </c>
      <c r="X122" s="187">
        <f t="shared" si="115"/>
        <v>2.04</v>
      </c>
      <c r="Y122" s="187">
        <f t="shared" si="14"/>
        <v>1.55</v>
      </c>
      <c r="Z122" s="189">
        <f t="shared" si="15"/>
        <v>3.09876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</row>
    <row r="123" ht="27.0" customHeight="1">
      <c r="A123" s="181">
        <v>83.0</v>
      </c>
      <c r="B123" s="191" t="s">
        <v>98</v>
      </c>
      <c r="C123" s="191">
        <v>98.0</v>
      </c>
      <c r="D123" s="191">
        <v>204.0</v>
      </c>
      <c r="E123" s="191">
        <v>155.0</v>
      </c>
      <c r="F123" s="191">
        <f t="shared" si="5"/>
        <v>0</v>
      </c>
      <c r="G123" s="191">
        <f t="shared" si="6"/>
        <v>57.32706</v>
      </c>
      <c r="H123" s="219">
        <f t="shared" si="7"/>
        <v>57.32706</v>
      </c>
      <c r="I123" s="218">
        <v>1.0</v>
      </c>
      <c r="J123" s="194">
        <f t="shared" si="8"/>
        <v>57.32706</v>
      </c>
      <c r="K123" s="139"/>
      <c r="L123" s="197"/>
      <c r="M123" s="198"/>
      <c r="N123" s="198"/>
      <c r="O123" s="139"/>
      <c r="P123" s="139"/>
      <c r="Q123" s="176"/>
      <c r="R123" s="141">
        <v>18.5</v>
      </c>
      <c r="S123" s="187">
        <f t="shared" si="9"/>
        <v>1.55</v>
      </c>
      <c r="T123" s="181">
        <f t="shared" si="10"/>
        <v>1</v>
      </c>
      <c r="U123" s="181">
        <f t="shared" si="11"/>
        <v>1.55</v>
      </c>
      <c r="V123" s="278">
        <f t="shared" si="12"/>
        <v>57.32706</v>
      </c>
      <c r="W123" s="187">
        <f t="shared" ref="W123:X123" si="116">C123/100</f>
        <v>0.98</v>
      </c>
      <c r="X123" s="187">
        <f t="shared" si="116"/>
        <v>2.04</v>
      </c>
      <c r="Y123" s="187">
        <f t="shared" si="14"/>
        <v>1.55</v>
      </c>
      <c r="Z123" s="189">
        <f t="shared" si="15"/>
        <v>3.09876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</row>
    <row r="124" ht="27.0" customHeight="1">
      <c r="A124" s="181">
        <v>84.0</v>
      </c>
      <c r="B124" s="191" t="s">
        <v>98</v>
      </c>
      <c r="C124" s="191">
        <v>103.0</v>
      </c>
      <c r="D124" s="191">
        <v>204.0</v>
      </c>
      <c r="E124" s="191">
        <v>155.0</v>
      </c>
      <c r="F124" s="191">
        <f t="shared" si="5"/>
        <v>0</v>
      </c>
      <c r="G124" s="191">
        <f t="shared" si="6"/>
        <v>60.25191</v>
      </c>
      <c r="H124" s="219">
        <f t="shared" si="7"/>
        <v>60.25191</v>
      </c>
      <c r="I124" s="218">
        <v>1.0</v>
      </c>
      <c r="J124" s="194">
        <f t="shared" si="8"/>
        <v>60.25191</v>
      </c>
      <c r="K124" s="139"/>
      <c r="L124" s="197"/>
      <c r="M124" s="198"/>
      <c r="N124" s="198"/>
      <c r="O124" s="139"/>
      <c r="P124" s="139"/>
      <c r="Q124" s="176" t="s">
        <v>197</v>
      </c>
      <c r="R124" s="141">
        <v>18.5</v>
      </c>
      <c r="S124" s="187">
        <f t="shared" si="9"/>
        <v>1.55</v>
      </c>
      <c r="T124" s="181">
        <f t="shared" si="10"/>
        <v>1</v>
      </c>
      <c r="U124" s="181">
        <f t="shared" si="11"/>
        <v>1.55</v>
      </c>
      <c r="V124" s="278">
        <f t="shared" si="12"/>
        <v>60.25191</v>
      </c>
      <c r="W124" s="187">
        <f t="shared" ref="W124:X124" si="117">C124/100</f>
        <v>1.03</v>
      </c>
      <c r="X124" s="187">
        <f t="shared" si="117"/>
        <v>2.04</v>
      </c>
      <c r="Y124" s="187">
        <f t="shared" si="14"/>
        <v>1.55</v>
      </c>
      <c r="Z124" s="189">
        <f t="shared" si="15"/>
        <v>3.25686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</row>
    <row r="125" ht="27.0" customHeight="1">
      <c r="A125" s="181">
        <v>85.0</v>
      </c>
      <c r="B125" s="191" t="s">
        <v>98</v>
      </c>
      <c r="C125" s="191">
        <v>104.0</v>
      </c>
      <c r="D125" s="191">
        <v>204.0</v>
      </c>
      <c r="E125" s="191">
        <v>155.0</v>
      </c>
      <c r="F125" s="191">
        <f t="shared" si="5"/>
        <v>0</v>
      </c>
      <c r="G125" s="191">
        <f t="shared" si="6"/>
        <v>60.83688</v>
      </c>
      <c r="H125" s="219">
        <f t="shared" si="7"/>
        <v>60.83688</v>
      </c>
      <c r="I125" s="218">
        <v>1.0</v>
      </c>
      <c r="J125" s="194">
        <f t="shared" si="8"/>
        <v>60.83688</v>
      </c>
      <c r="K125" s="139"/>
      <c r="L125" s="197"/>
      <c r="M125" s="198"/>
      <c r="N125" s="198"/>
      <c r="O125" s="139"/>
      <c r="P125" s="139"/>
      <c r="Q125" s="176" t="s">
        <v>197</v>
      </c>
      <c r="R125" s="141">
        <v>18.5</v>
      </c>
      <c r="S125" s="187">
        <f t="shared" si="9"/>
        <v>1.55</v>
      </c>
      <c r="T125" s="181">
        <f t="shared" si="10"/>
        <v>1</v>
      </c>
      <c r="U125" s="181">
        <f t="shared" si="11"/>
        <v>1.55</v>
      </c>
      <c r="V125" s="278">
        <f t="shared" si="12"/>
        <v>60.83688</v>
      </c>
      <c r="W125" s="187">
        <f t="shared" ref="W125:X125" si="118">C125/100</f>
        <v>1.04</v>
      </c>
      <c r="X125" s="187">
        <f t="shared" si="118"/>
        <v>2.04</v>
      </c>
      <c r="Y125" s="187">
        <f t="shared" si="14"/>
        <v>1.55</v>
      </c>
      <c r="Z125" s="189">
        <f t="shared" si="15"/>
        <v>3.28848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</row>
    <row r="126" ht="27.0" customHeight="1">
      <c r="A126" s="181">
        <v>86.0</v>
      </c>
      <c r="B126" s="191" t="s">
        <v>98</v>
      </c>
      <c r="C126" s="191">
        <v>103.0</v>
      </c>
      <c r="D126" s="191">
        <v>204.0</v>
      </c>
      <c r="E126" s="191">
        <v>157.0</v>
      </c>
      <c r="F126" s="191">
        <f t="shared" si="5"/>
        <v>0</v>
      </c>
      <c r="G126" s="191">
        <f t="shared" si="6"/>
        <v>61.029354</v>
      </c>
      <c r="H126" s="219">
        <f t="shared" si="7"/>
        <v>61.029354</v>
      </c>
      <c r="I126" s="218">
        <v>1.0</v>
      </c>
      <c r="J126" s="194">
        <f t="shared" si="8"/>
        <v>61.029354</v>
      </c>
      <c r="K126" s="139"/>
      <c r="L126" s="197"/>
      <c r="M126" s="198"/>
      <c r="N126" s="198"/>
      <c r="O126" s="139"/>
      <c r="P126" s="139"/>
      <c r="Q126" s="176"/>
      <c r="R126" s="141">
        <v>18.5</v>
      </c>
      <c r="S126" s="187">
        <f t="shared" si="9"/>
        <v>1.57</v>
      </c>
      <c r="T126" s="181">
        <f t="shared" si="10"/>
        <v>1</v>
      </c>
      <c r="U126" s="181">
        <f t="shared" si="11"/>
        <v>1.57</v>
      </c>
      <c r="V126" s="278">
        <f t="shared" si="12"/>
        <v>61.029354</v>
      </c>
      <c r="W126" s="187">
        <f t="shared" ref="W126:X126" si="119">C126/100</f>
        <v>1.03</v>
      </c>
      <c r="X126" s="187">
        <f t="shared" si="119"/>
        <v>2.04</v>
      </c>
      <c r="Y126" s="187">
        <f t="shared" si="14"/>
        <v>1.57</v>
      </c>
      <c r="Z126" s="189">
        <f t="shared" si="15"/>
        <v>3.298884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</row>
    <row r="127" ht="27.0" customHeight="1">
      <c r="A127" s="181">
        <v>87.0</v>
      </c>
      <c r="B127" s="191" t="s">
        <v>98</v>
      </c>
      <c r="C127" s="191">
        <v>100.0</v>
      </c>
      <c r="D127" s="191">
        <v>204.0</v>
      </c>
      <c r="E127" s="191">
        <v>156.0</v>
      </c>
      <c r="F127" s="191">
        <f t="shared" si="5"/>
        <v>0</v>
      </c>
      <c r="G127" s="191">
        <f t="shared" si="6"/>
        <v>58.8744</v>
      </c>
      <c r="H127" s="219">
        <f t="shared" si="7"/>
        <v>58.8744</v>
      </c>
      <c r="I127" s="218">
        <v>1.0</v>
      </c>
      <c r="J127" s="194">
        <f t="shared" si="8"/>
        <v>58.8744</v>
      </c>
      <c r="K127" s="139"/>
      <c r="L127" s="197"/>
      <c r="M127" s="198"/>
      <c r="N127" s="198"/>
      <c r="O127" s="139"/>
      <c r="P127" s="139"/>
      <c r="Q127" s="176" t="s">
        <v>197</v>
      </c>
      <c r="R127" s="141">
        <v>18.5</v>
      </c>
      <c r="S127" s="187">
        <f t="shared" si="9"/>
        <v>1.56</v>
      </c>
      <c r="T127" s="181">
        <f t="shared" si="10"/>
        <v>1</v>
      </c>
      <c r="U127" s="181">
        <f t="shared" si="11"/>
        <v>1.56</v>
      </c>
      <c r="V127" s="278">
        <f t="shared" si="12"/>
        <v>58.8744</v>
      </c>
      <c r="W127" s="187">
        <f t="shared" ref="W127:X127" si="120">C127/100</f>
        <v>1</v>
      </c>
      <c r="X127" s="187">
        <f t="shared" si="120"/>
        <v>2.04</v>
      </c>
      <c r="Y127" s="187">
        <f t="shared" si="14"/>
        <v>1.56</v>
      </c>
      <c r="Z127" s="189">
        <f t="shared" si="15"/>
        <v>3.1824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</row>
    <row r="128" ht="27.0" customHeight="1">
      <c r="A128" s="181">
        <v>88.0</v>
      </c>
      <c r="B128" s="191" t="s">
        <v>98</v>
      </c>
      <c r="C128" s="191">
        <v>100.0</v>
      </c>
      <c r="D128" s="191">
        <v>204.0</v>
      </c>
      <c r="E128" s="191">
        <v>156.0</v>
      </c>
      <c r="F128" s="191">
        <f t="shared" si="5"/>
        <v>0</v>
      </c>
      <c r="G128" s="191">
        <f t="shared" si="6"/>
        <v>58.8744</v>
      </c>
      <c r="H128" s="219">
        <f t="shared" si="7"/>
        <v>58.8744</v>
      </c>
      <c r="I128" s="218">
        <v>1.0</v>
      </c>
      <c r="J128" s="194">
        <f t="shared" si="8"/>
        <v>58.8744</v>
      </c>
      <c r="K128" s="139"/>
      <c r="L128" s="197"/>
      <c r="M128" s="198"/>
      <c r="N128" s="198"/>
      <c r="O128" s="139"/>
      <c r="P128" s="139"/>
      <c r="Q128" s="176"/>
      <c r="R128" s="141">
        <v>18.5</v>
      </c>
      <c r="S128" s="187">
        <f t="shared" si="9"/>
        <v>1.56</v>
      </c>
      <c r="T128" s="181">
        <f t="shared" si="10"/>
        <v>1</v>
      </c>
      <c r="U128" s="181">
        <f t="shared" si="11"/>
        <v>1.56</v>
      </c>
      <c r="V128" s="278">
        <f t="shared" si="12"/>
        <v>58.8744</v>
      </c>
      <c r="W128" s="187">
        <f t="shared" ref="W128:X128" si="121">C128/100</f>
        <v>1</v>
      </c>
      <c r="X128" s="187">
        <f t="shared" si="121"/>
        <v>2.04</v>
      </c>
      <c r="Y128" s="187">
        <f t="shared" si="14"/>
        <v>1.56</v>
      </c>
      <c r="Z128" s="189">
        <f t="shared" si="15"/>
        <v>3.1824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</row>
    <row r="129" ht="27.0" customHeight="1">
      <c r="A129" s="181">
        <v>89.0</v>
      </c>
      <c r="B129" s="191" t="s">
        <v>98</v>
      </c>
      <c r="C129" s="191">
        <v>99.0</v>
      </c>
      <c r="D129" s="191">
        <v>204.0</v>
      </c>
      <c r="E129" s="191">
        <v>155.0</v>
      </c>
      <c r="F129" s="191">
        <f t="shared" si="5"/>
        <v>0</v>
      </c>
      <c r="G129" s="191">
        <f t="shared" si="6"/>
        <v>57.91203</v>
      </c>
      <c r="H129" s="219">
        <f t="shared" si="7"/>
        <v>57.91203</v>
      </c>
      <c r="I129" s="218">
        <v>1.0</v>
      </c>
      <c r="J129" s="194">
        <f t="shared" si="8"/>
        <v>57.91203</v>
      </c>
      <c r="K129" s="139"/>
      <c r="L129" s="197"/>
      <c r="M129" s="198"/>
      <c r="N129" s="198"/>
      <c r="O129" s="139"/>
      <c r="P129" s="139"/>
      <c r="Q129" s="176"/>
      <c r="R129" s="141">
        <v>18.5</v>
      </c>
      <c r="S129" s="187">
        <f t="shared" si="9"/>
        <v>1.55</v>
      </c>
      <c r="T129" s="181">
        <f t="shared" si="10"/>
        <v>1</v>
      </c>
      <c r="U129" s="181">
        <f t="shared" si="11"/>
        <v>1.55</v>
      </c>
      <c r="V129" s="278">
        <f t="shared" si="12"/>
        <v>57.91203</v>
      </c>
      <c r="W129" s="187">
        <f t="shared" ref="W129:X129" si="122">C129/100</f>
        <v>0.99</v>
      </c>
      <c r="X129" s="187">
        <f t="shared" si="122"/>
        <v>2.04</v>
      </c>
      <c r="Y129" s="187">
        <f t="shared" si="14"/>
        <v>1.55</v>
      </c>
      <c r="Z129" s="189">
        <f t="shared" si="15"/>
        <v>3.13038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</row>
    <row r="130" ht="27.0" customHeight="1">
      <c r="A130" s="181">
        <v>90.0</v>
      </c>
      <c r="B130" s="191" t="s">
        <v>98</v>
      </c>
      <c r="C130" s="191">
        <v>93.0</v>
      </c>
      <c r="D130" s="191">
        <v>204.0</v>
      </c>
      <c r="E130" s="191">
        <v>155.0</v>
      </c>
      <c r="F130" s="191">
        <f t="shared" si="5"/>
        <v>0</v>
      </c>
      <c r="G130" s="191">
        <f t="shared" si="6"/>
        <v>54.40221</v>
      </c>
      <c r="H130" s="219">
        <f t="shared" si="7"/>
        <v>54.40221</v>
      </c>
      <c r="I130" s="218">
        <v>1.0</v>
      </c>
      <c r="J130" s="194">
        <f t="shared" si="8"/>
        <v>54.40221</v>
      </c>
      <c r="K130" s="139"/>
      <c r="L130" s="197"/>
      <c r="M130" s="198"/>
      <c r="N130" s="198"/>
      <c r="O130" s="139"/>
      <c r="P130" s="139"/>
      <c r="Q130" s="176"/>
      <c r="R130" s="141">
        <v>18.5</v>
      </c>
      <c r="S130" s="187">
        <f t="shared" si="9"/>
        <v>1.55</v>
      </c>
      <c r="T130" s="181">
        <f t="shared" si="10"/>
        <v>1</v>
      </c>
      <c r="U130" s="181">
        <f t="shared" si="11"/>
        <v>1.55</v>
      </c>
      <c r="V130" s="278">
        <f t="shared" si="12"/>
        <v>54.40221</v>
      </c>
      <c r="W130" s="187">
        <f t="shared" ref="W130:X130" si="123">C130/100</f>
        <v>0.93</v>
      </c>
      <c r="X130" s="187">
        <f t="shared" si="123"/>
        <v>2.04</v>
      </c>
      <c r="Y130" s="187">
        <f t="shared" si="14"/>
        <v>1.55</v>
      </c>
      <c r="Z130" s="189">
        <f t="shared" si="15"/>
        <v>2.94066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</row>
    <row r="131" ht="27.0" customHeight="1">
      <c r="A131" s="181">
        <v>91.0</v>
      </c>
      <c r="B131" s="191" t="s">
        <v>98</v>
      </c>
      <c r="C131" s="191">
        <v>103.0</v>
      </c>
      <c r="D131" s="191">
        <v>204.0</v>
      </c>
      <c r="E131" s="191">
        <v>156.0</v>
      </c>
      <c r="F131" s="191">
        <f t="shared" si="5"/>
        <v>0</v>
      </c>
      <c r="G131" s="191">
        <f t="shared" si="6"/>
        <v>60.640632</v>
      </c>
      <c r="H131" s="219">
        <f t="shared" si="7"/>
        <v>60.640632</v>
      </c>
      <c r="I131" s="218">
        <v>1.0</v>
      </c>
      <c r="J131" s="194">
        <f t="shared" si="8"/>
        <v>60.640632</v>
      </c>
      <c r="K131" s="139"/>
      <c r="L131" s="197"/>
      <c r="M131" s="198"/>
      <c r="N131" s="198"/>
      <c r="O131" s="139"/>
      <c r="P131" s="139"/>
      <c r="Q131" s="176"/>
      <c r="R131" s="141">
        <v>18.5</v>
      </c>
      <c r="S131" s="187">
        <f t="shared" si="9"/>
        <v>1.56</v>
      </c>
      <c r="T131" s="181">
        <f t="shared" si="10"/>
        <v>1</v>
      </c>
      <c r="U131" s="181">
        <f t="shared" si="11"/>
        <v>1.56</v>
      </c>
      <c r="V131" s="278">
        <f t="shared" si="12"/>
        <v>60.640632</v>
      </c>
      <c r="W131" s="187">
        <f t="shared" ref="W131:X131" si="124">C131/100</f>
        <v>1.03</v>
      </c>
      <c r="X131" s="187">
        <f t="shared" si="124"/>
        <v>2.04</v>
      </c>
      <c r="Y131" s="187">
        <f t="shared" si="14"/>
        <v>1.56</v>
      </c>
      <c r="Z131" s="189">
        <f t="shared" si="15"/>
        <v>3.277872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</row>
    <row r="132" ht="27.0" customHeight="1">
      <c r="A132" s="181">
        <v>92.0</v>
      </c>
      <c r="B132" s="191" t="s">
        <v>98</v>
      </c>
      <c r="C132" s="191">
        <v>104.0</v>
      </c>
      <c r="D132" s="191">
        <v>204.0</v>
      </c>
      <c r="E132" s="191">
        <v>157.0</v>
      </c>
      <c r="F132" s="191">
        <f t="shared" si="5"/>
        <v>0</v>
      </c>
      <c r="G132" s="191">
        <f t="shared" si="6"/>
        <v>61.621872</v>
      </c>
      <c r="H132" s="219">
        <f t="shared" si="7"/>
        <v>61.621872</v>
      </c>
      <c r="I132" s="218">
        <v>1.0</v>
      </c>
      <c r="J132" s="194">
        <f t="shared" si="8"/>
        <v>61.621872</v>
      </c>
      <c r="K132" s="139"/>
      <c r="L132" s="197"/>
      <c r="M132" s="198"/>
      <c r="N132" s="198"/>
      <c r="O132" s="139"/>
      <c r="P132" s="139"/>
      <c r="Q132" s="176"/>
      <c r="R132" s="141">
        <v>18.5</v>
      </c>
      <c r="S132" s="187">
        <f t="shared" si="9"/>
        <v>1.57</v>
      </c>
      <c r="T132" s="181">
        <f t="shared" si="10"/>
        <v>1</v>
      </c>
      <c r="U132" s="181">
        <f t="shared" si="11"/>
        <v>1.57</v>
      </c>
      <c r="V132" s="278">
        <f t="shared" si="12"/>
        <v>61.621872</v>
      </c>
      <c r="W132" s="187">
        <f t="shared" ref="W132:X132" si="125">C132/100</f>
        <v>1.04</v>
      </c>
      <c r="X132" s="187">
        <f t="shared" si="125"/>
        <v>2.04</v>
      </c>
      <c r="Y132" s="187">
        <f t="shared" si="14"/>
        <v>1.57</v>
      </c>
      <c r="Z132" s="189">
        <f t="shared" si="15"/>
        <v>3.330912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</row>
    <row r="133" ht="27.0" customHeight="1">
      <c r="A133" s="181">
        <v>93.0</v>
      </c>
      <c r="B133" s="191" t="s">
        <v>98</v>
      </c>
      <c r="C133" s="191">
        <v>98.0</v>
      </c>
      <c r="D133" s="191">
        <v>204.0</v>
      </c>
      <c r="E133" s="191">
        <v>156.0</v>
      </c>
      <c r="F133" s="191">
        <f t="shared" si="5"/>
        <v>0</v>
      </c>
      <c r="G133" s="191">
        <f t="shared" si="6"/>
        <v>57.696912</v>
      </c>
      <c r="H133" s="219">
        <f t="shared" si="7"/>
        <v>57.696912</v>
      </c>
      <c r="I133" s="218">
        <v>1.0</v>
      </c>
      <c r="J133" s="194">
        <f t="shared" si="8"/>
        <v>57.696912</v>
      </c>
      <c r="K133" s="139"/>
      <c r="L133" s="197"/>
      <c r="M133" s="198"/>
      <c r="N133" s="198"/>
      <c r="O133" s="139"/>
      <c r="P133" s="139"/>
      <c r="Q133" s="176"/>
      <c r="R133" s="141">
        <v>18.5</v>
      </c>
      <c r="S133" s="187">
        <f t="shared" si="9"/>
        <v>1.56</v>
      </c>
      <c r="T133" s="181">
        <f t="shared" si="10"/>
        <v>1</v>
      </c>
      <c r="U133" s="181">
        <f t="shared" si="11"/>
        <v>1.56</v>
      </c>
      <c r="V133" s="278">
        <f t="shared" si="12"/>
        <v>57.696912</v>
      </c>
      <c r="W133" s="187">
        <f t="shared" ref="W133:X133" si="126">C133/100</f>
        <v>0.98</v>
      </c>
      <c r="X133" s="187">
        <f t="shared" si="126"/>
        <v>2.04</v>
      </c>
      <c r="Y133" s="187">
        <f t="shared" si="14"/>
        <v>1.56</v>
      </c>
      <c r="Z133" s="189">
        <f t="shared" si="15"/>
        <v>3.118752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</row>
    <row r="134" ht="27.0" customHeight="1">
      <c r="A134" s="181">
        <v>94.0</v>
      </c>
      <c r="B134" s="191" t="s">
        <v>98</v>
      </c>
      <c r="C134" s="191">
        <v>98.0</v>
      </c>
      <c r="D134" s="191">
        <v>204.0</v>
      </c>
      <c r="E134" s="191">
        <v>157.0</v>
      </c>
      <c r="F134" s="191">
        <f t="shared" si="5"/>
        <v>0</v>
      </c>
      <c r="G134" s="191">
        <f t="shared" si="6"/>
        <v>58.066764</v>
      </c>
      <c r="H134" s="219">
        <f t="shared" si="7"/>
        <v>58.066764</v>
      </c>
      <c r="I134" s="218">
        <v>1.0</v>
      </c>
      <c r="J134" s="194">
        <f t="shared" si="8"/>
        <v>58.066764</v>
      </c>
      <c r="K134" s="139"/>
      <c r="L134" s="197"/>
      <c r="M134" s="198"/>
      <c r="N134" s="198"/>
      <c r="O134" s="139"/>
      <c r="P134" s="139"/>
      <c r="Q134" s="176" t="s">
        <v>197</v>
      </c>
      <c r="R134" s="141">
        <v>18.5</v>
      </c>
      <c r="S134" s="187">
        <f t="shared" si="9"/>
        <v>1.57</v>
      </c>
      <c r="T134" s="181">
        <f t="shared" si="10"/>
        <v>1</v>
      </c>
      <c r="U134" s="181">
        <f t="shared" si="11"/>
        <v>1.57</v>
      </c>
      <c r="V134" s="278">
        <f t="shared" si="12"/>
        <v>58.066764</v>
      </c>
      <c r="W134" s="187">
        <f t="shared" ref="W134:X134" si="127">C134/100</f>
        <v>0.98</v>
      </c>
      <c r="X134" s="187">
        <f t="shared" si="127"/>
        <v>2.04</v>
      </c>
      <c r="Y134" s="187">
        <f t="shared" si="14"/>
        <v>1.57</v>
      </c>
      <c r="Z134" s="189">
        <f t="shared" si="15"/>
        <v>3.138744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</row>
    <row r="135" ht="27.0" customHeight="1">
      <c r="A135" s="181">
        <v>95.0</v>
      </c>
      <c r="B135" s="191" t="s">
        <v>98</v>
      </c>
      <c r="C135" s="191">
        <v>99.0</v>
      </c>
      <c r="D135" s="191">
        <v>204.0</v>
      </c>
      <c r="E135" s="191">
        <v>156.0</v>
      </c>
      <c r="F135" s="191">
        <f t="shared" si="5"/>
        <v>0</v>
      </c>
      <c r="G135" s="191">
        <f t="shared" si="6"/>
        <v>58.285656</v>
      </c>
      <c r="H135" s="219">
        <f t="shared" si="7"/>
        <v>58.285656</v>
      </c>
      <c r="I135" s="218">
        <v>1.0</v>
      </c>
      <c r="J135" s="194">
        <f t="shared" si="8"/>
        <v>58.285656</v>
      </c>
      <c r="K135" s="139"/>
      <c r="L135" s="197"/>
      <c r="M135" s="198"/>
      <c r="N135" s="198"/>
      <c r="O135" s="139"/>
      <c r="P135" s="139"/>
      <c r="Q135" s="176"/>
      <c r="R135" s="141">
        <v>18.5</v>
      </c>
      <c r="S135" s="187">
        <f t="shared" si="9"/>
        <v>1.56</v>
      </c>
      <c r="T135" s="181">
        <f t="shared" si="10"/>
        <v>1</v>
      </c>
      <c r="U135" s="181">
        <f t="shared" si="11"/>
        <v>1.56</v>
      </c>
      <c r="V135" s="278">
        <f t="shared" si="12"/>
        <v>58.285656</v>
      </c>
      <c r="W135" s="187">
        <f t="shared" ref="W135:X135" si="128">C135/100</f>
        <v>0.99</v>
      </c>
      <c r="X135" s="187">
        <f t="shared" si="128"/>
        <v>2.04</v>
      </c>
      <c r="Y135" s="187">
        <f t="shared" si="14"/>
        <v>1.56</v>
      </c>
      <c r="Z135" s="189">
        <f t="shared" si="15"/>
        <v>3.150576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</row>
    <row r="136" ht="27.0" customHeight="1">
      <c r="A136" s="181">
        <v>96.0</v>
      </c>
      <c r="B136" s="191" t="s">
        <v>98</v>
      </c>
      <c r="C136" s="191">
        <v>101.0</v>
      </c>
      <c r="D136" s="191">
        <v>204.0</v>
      </c>
      <c r="E136" s="191">
        <v>115.0</v>
      </c>
      <c r="F136" s="191">
        <f t="shared" si="5"/>
        <v>0</v>
      </c>
      <c r="G136" s="191">
        <f t="shared" si="6"/>
        <v>43.83501</v>
      </c>
      <c r="H136" s="219">
        <f t="shared" si="7"/>
        <v>43.83501</v>
      </c>
      <c r="I136" s="218">
        <v>1.0</v>
      </c>
      <c r="J136" s="194">
        <f t="shared" si="8"/>
        <v>43.83501</v>
      </c>
      <c r="K136" s="139"/>
      <c r="L136" s="197"/>
      <c r="M136" s="198"/>
      <c r="N136" s="198"/>
      <c r="O136" s="139"/>
      <c r="P136" s="139"/>
      <c r="Q136" s="176"/>
      <c r="R136" s="141">
        <v>18.5</v>
      </c>
      <c r="S136" s="187">
        <f t="shared" si="9"/>
        <v>1.15</v>
      </c>
      <c r="T136" s="181">
        <f t="shared" si="10"/>
        <v>1</v>
      </c>
      <c r="U136" s="181">
        <f t="shared" si="11"/>
        <v>1.15</v>
      </c>
      <c r="V136" s="278">
        <f t="shared" si="12"/>
        <v>43.83501</v>
      </c>
      <c r="W136" s="187">
        <f t="shared" ref="W136:X136" si="129">C136/100</f>
        <v>1.01</v>
      </c>
      <c r="X136" s="187">
        <f t="shared" si="129"/>
        <v>2.04</v>
      </c>
      <c r="Y136" s="187">
        <f t="shared" si="14"/>
        <v>1.15</v>
      </c>
      <c r="Z136" s="189">
        <f t="shared" si="15"/>
        <v>2.36946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</row>
    <row r="137" ht="27.0" customHeight="1">
      <c r="A137" s="181">
        <v>97.0</v>
      </c>
      <c r="B137" s="191" t="s">
        <v>98</v>
      </c>
      <c r="C137" s="191">
        <v>100.0</v>
      </c>
      <c r="D137" s="191">
        <v>204.0</v>
      </c>
      <c r="E137" s="191">
        <v>155.0</v>
      </c>
      <c r="F137" s="191">
        <f t="shared" si="5"/>
        <v>0</v>
      </c>
      <c r="G137" s="191">
        <f t="shared" si="6"/>
        <v>58.497</v>
      </c>
      <c r="H137" s="219">
        <f t="shared" si="7"/>
        <v>58.497</v>
      </c>
      <c r="I137" s="218">
        <v>1.0</v>
      </c>
      <c r="J137" s="194">
        <f t="shared" si="8"/>
        <v>58.497</v>
      </c>
      <c r="K137" s="139"/>
      <c r="L137" s="197"/>
      <c r="M137" s="198"/>
      <c r="N137" s="198"/>
      <c r="O137" s="139"/>
      <c r="P137" s="139"/>
      <c r="Q137" s="176"/>
      <c r="R137" s="141">
        <v>18.5</v>
      </c>
      <c r="S137" s="187">
        <f t="shared" si="9"/>
        <v>1.55</v>
      </c>
      <c r="T137" s="181">
        <f t="shared" si="10"/>
        <v>1</v>
      </c>
      <c r="U137" s="181">
        <f t="shared" si="11"/>
        <v>1.55</v>
      </c>
      <c r="V137" s="278">
        <f t="shared" si="12"/>
        <v>58.497</v>
      </c>
      <c r="W137" s="187">
        <f t="shared" ref="W137:X137" si="130">C137/100</f>
        <v>1</v>
      </c>
      <c r="X137" s="187">
        <f t="shared" si="130"/>
        <v>2.04</v>
      </c>
      <c r="Y137" s="187">
        <f t="shared" si="14"/>
        <v>1.55</v>
      </c>
      <c r="Z137" s="189">
        <f t="shared" si="15"/>
        <v>3.162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</row>
    <row r="138" ht="27.0" customHeight="1">
      <c r="A138" s="181">
        <v>98.0</v>
      </c>
      <c r="B138" s="191" t="s">
        <v>98</v>
      </c>
      <c r="C138" s="191">
        <v>98.0</v>
      </c>
      <c r="D138" s="191">
        <v>204.0</v>
      </c>
      <c r="E138" s="191">
        <v>115.0</v>
      </c>
      <c r="F138" s="191">
        <f t="shared" si="5"/>
        <v>0</v>
      </c>
      <c r="G138" s="191">
        <f t="shared" si="6"/>
        <v>42.53298</v>
      </c>
      <c r="H138" s="219">
        <f t="shared" si="7"/>
        <v>42.53298</v>
      </c>
      <c r="I138" s="218">
        <v>1.0</v>
      </c>
      <c r="J138" s="194">
        <f t="shared" si="8"/>
        <v>42.53298</v>
      </c>
      <c r="K138" s="139"/>
      <c r="L138" s="197"/>
      <c r="M138" s="198"/>
      <c r="N138" s="198"/>
      <c r="O138" s="139"/>
      <c r="P138" s="139"/>
      <c r="Q138" s="176"/>
      <c r="R138" s="141">
        <v>18.5</v>
      </c>
      <c r="S138" s="187">
        <f t="shared" si="9"/>
        <v>1.15</v>
      </c>
      <c r="T138" s="181">
        <f t="shared" si="10"/>
        <v>1</v>
      </c>
      <c r="U138" s="181">
        <f t="shared" si="11"/>
        <v>1.15</v>
      </c>
      <c r="V138" s="278">
        <f t="shared" si="12"/>
        <v>42.53298</v>
      </c>
      <c r="W138" s="187">
        <f t="shared" ref="W138:X138" si="131">C138/100</f>
        <v>0.98</v>
      </c>
      <c r="X138" s="187">
        <f t="shared" si="131"/>
        <v>2.04</v>
      </c>
      <c r="Y138" s="187">
        <f t="shared" si="14"/>
        <v>1.15</v>
      </c>
      <c r="Z138" s="189">
        <f t="shared" si="15"/>
        <v>2.29908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</row>
    <row r="139" ht="27.0" customHeight="1">
      <c r="A139" s="160"/>
      <c r="B139" s="176"/>
      <c r="C139" s="176"/>
      <c r="D139" s="176"/>
      <c r="E139" s="176"/>
      <c r="F139" s="176"/>
      <c r="G139" s="176"/>
      <c r="H139" s="179"/>
      <c r="I139" s="160"/>
      <c r="J139" s="203">
        <f>+R179</f>
        <v>238</v>
      </c>
      <c r="K139" s="139"/>
      <c r="L139" s="139"/>
      <c r="M139" s="139"/>
      <c r="N139" s="139"/>
      <c r="O139" s="139"/>
      <c r="P139" s="139"/>
      <c r="Q139" s="139"/>
      <c r="R139" s="204"/>
      <c r="S139" s="187">
        <f t="shared" si="9"/>
        <v>0</v>
      </c>
      <c r="T139" s="181" t="str">
        <f t="shared" si="10"/>
        <v/>
      </c>
      <c r="U139" s="181">
        <f t="shared" si="11"/>
        <v>0</v>
      </c>
      <c r="V139" s="186"/>
      <c r="W139" s="187">
        <f t="shared" ref="W139:X139" si="132">C139/100</f>
        <v>0</v>
      </c>
      <c r="X139" s="187">
        <f t="shared" si="132"/>
        <v>0</v>
      </c>
      <c r="Y139" s="187">
        <f t="shared" si="14"/>
        <v>0</v>
      </c>
      <c r="Z139" s="18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</row>
    <row r="140" ht="27.0" customHeight="1">
      <c r="A140" s="160"/>
      <c r="B140" s="205"/>
      <c r="C140" s="205"/>
      <c r="D140" s="205"/>
      <c r="E140" s="205"/>
      <c r="F140" s="205"/>
      <c r="G140" s="205"/>
      <c r="H140" s="206"/>
      <c r="I140" s="207">
        <f>SUM(I24:I138)</f>
        <v>292</v>
      </c>
      <c r="J140" s="208">
        <f>SUM(J24:J139)</f>
        <v>36351.48707</v>
      </c>
      <c r="K140" s="209"/>
      <c r="L140" s="209"/>
      <c r="M140" s="209"/>
      <c r="N140" s="209"/>
      <c r="O140" s="209"/>
      <c r="P140" s="209"/>
      <c r="Q140" s="209"/>
      <c r="R140" s="141"/>
      <c r="S140" s="209">
        <f>SUMIFS($T$24:$T$138,$S$24:$S$138,"&gt;=3")</f>
        <v>3</v>
      </c>
      <c r="T140" s="209">
        <f t="shared" ref="T140:U140" si="133">SUM(T24:T138)</f>
        <v>292</v>
      </c>
      <c r="U140" s="209">
        <f t="shared" si="133"/>
        <v>711.69</v>
      </c>
      <c r="V140" s="209"/>
      <c r="W140" s="209"/>
      <c r="X140" s="209"/>
      <c r="Y140" s="209"/>
      <c r="Z140" s="210">
        <f>SUM(Z24:Z139)</f>
        <v>1400.325301</v>
      </c>
      <c r="AA140" s="209"/>
      <c r="AB140" s="209"/>
      <c r="AC140" s="209"/>
      <c r="AD140" s="209"/>
      <c r="AE140" s="209"/>
      <c r="AF140" s="209"/>
      <c r="AG140" s="209"/>
      <c r="AH140" s="209"/>
      <c r="AI140" s="209"/>
      <c r="AJ140" s="209"/>
      <c r="AK140" s="209"/>
      <c r="AL140" s="209"/>
    </row>
    <row r="141" ht="29.25" customHeight="1">
      <c r="A141" s="139"/>
      <c r="B141" s="139"/>
      <c r="C141" s="139"/>
      <c r="D141" s="139"/>
      <c r="E141" s="139"/>
      <c r="F141" s="139"/>
      <c r="G141" s="139"/>
      <c r="H141" s="140"/>
      <c r="I141" s="139"/>
      <c r="J141" s="139"/>
      <c r="K141" s="139"/>
      <c r="L141" s="139"/>
      <c r="M141" s="139"/>
      <c r="N141" s="139"/>
      <c r="O141" s="139"/>
      <c r="P141" s="139"/>
      <c r="Q141" s="139"/>
      <c r="R141" s="141"/>
      <c r="S141" s="186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</row>
    <row r="142" ht="29.25" customHeight="1">
      <c r="A142" s="139"/>
      <c r="B142" s="139"/>
      <c r="C142" s="139"/>
      <c r="D142" s="139"/>
      <c r="E142" s="139"/>
      <c r="F142" s="139"/>
      <c r="G142" s="139"/>
      <c r="H142" s="140"/>
      <c r="I142" s="139"/>
      <c r="J142" s="139"/>
      <c r="K142" s="139"/>
      <c r="L142" s="139"/>
      <c r="M142" s="139"/>
      <c r="N142" s="139"/>
      <c r="O142" s="139"/>
      <c r="P142" s="139"/>
      <c r="Q142" s="139"/>
      <c r="R142" s="204"/>
      <c r="S142" s="139"/>
      <c r="T142" s="139" t="s">
        <v>48</v>
      </c>
      <c r="U142" s="139" t="s">
        <v>72</v>
      </c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</row>
    <row r="143" ht="29.25" customHeight="1">
      <c r="A143" s="139"/>
      <c r="B143" s="139"/>
      <c r="C143" s="139"/>
      <c r="D143" s="139"/>
      <c r="E143" s="139"/>
      <c r="F143" s="139"/>
      <c r="G143" s="139"/>
      <c r="H143" s="140"/>
      <c r="I143" s="139"/>
      <c r="J143" s="139"/>
      <c r="K143" s="139"/>
      <c r="L143" s="139"/>
      <c r="M143" s="139"/>
      <c r="N143" s="139"/>
      <c r="O143" s="139"/>
      <c r="P143" s="139"/>
      <c r="Q143" s="139"/>
      <c r="R143" s="141"/>
      <c r="S143" s="139" t="s">
        <v>31</v>
      </c>
      <c r="T143" s="211">
        <f>SUMIFS($J$24:$J$138,$S$24:$S$138,"&gt;=3")</f>
        <v>3319.866</v>
      </c>
      <c r="U143" s="212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</row>
    <row r="144" ht="29.25" customHeight="1">
      <c r="A144" s="139" t="s">
        <v>32</v>
      </c>
      <c r="B144" s="139"/>
      <c r="C144" s="139"/>
      <c r="D144" s="139" t="s">
        <v>33</v>
      </c>
      <c r="E144" s="139"/>
      <c r="F144" s="139"/>
      <c r="G144" s="139"/>
      <c r="H144" s="140"/>
      <c r="I144" s="139"/>
      <c r="J144" s="139"/>
      <c r="K144" s="139"/>
      <c r="L144" s="139"/>
      <c r="M144" s="139"/>
      <c r="N144" s="139"/>
      <c r="O144" s="139"/>
      <c r="P144" s="139"/>
      <c r="Q144" s="139"/>
      <c r="R144" s="141"/>
      <c r="S144" s="139" t="s">
        <v>34</v>
      </c>
      <c r="T144" s="213">
        <f>J140-T143</f>
        <v>33031.62107</v>
      </c>
      <c r="U144" s="212">
        <f>+SUMIFS($U$24:$U$138,$S$24:$S$138,"&gt;=3")</f>
        <v>90</v>
      </c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</row>
    <row r="145" ht="29.25" customHeight="1">
      <c r="A145" s="139"/>
      <c r="B145" s="139"/>
      <c r="C145" s="139"/>
      <c r="D145" s="139"/>
      <c r="E145" s="139"/>
      <c r="F145" s="139"/>
      <c r="G145" s="139"/>
      <c r="H145" s="140"/>
      <c r="I145" s="139"/>
      <c r="J145" s="139"/>
      <c r="K145" s="139"/>
      <c r="L145" s="139"/>
      <c r="M145" s="139"/>
      <c r="N145" s="139"/>
      <c r="O145" s="139"/>
      <c r="P145" s="139"/>
      <c r="Q145" s="139"/>
      <c r="R145" s="204"/>
      <c r="S145" s="139"/>
      <c r="T145" s="214">
        <f>+I140</f>
        <v>292</v>
      </c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</row>
    <row r="146" ht="39.0" customHeight="1">
      <c r="A146" s="176"/>
      <c r="B146" s="160" t="s">
        <v>12</v>
      </c>
      <c r="C146" s="177" t="s">
        <v>73</v>
      </c>
      <c r="D146" s="52"/>
      <c r="E146" s="53"/>
      <c r="F146" s="178"/>
      <c r="G146" s="178"/>
      <c r="H146" s="179" t="s">
        <v>14</v>
      </c>
      <c r="I146" s="160" t="s">
        <v>15</v>
      </c>
      <c r="J146" s="160" t="s">
        <v>16</v>
      </c>
      <c r="K146" s="139"/>
      <c r="L146" s="139"/>
      <c r="M146" s="139"/>
      <c r="N146" s="139"/>
      <c r="O146" s="139"/>
      <c r="P146" s="139"/>
      <c r="Q146" s="139"/>
      <c r="R146" s="141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</row>
    <row r="147" ht="27.0" customHeight="1">
      <c r="A147" s="154">
        <v>1.0</v>
      </c>
      <c r="B147" s="215" t="s">
        <v>117</v>
      </c>
      <c r="C147" s="215">
        <v>80.0</v>
      </c>
      <c r="D147" s="215">
        <v>204.0</v>
      </c>
      <c r="E147" s="215">
        <v>155.0</v>
      </c>
      <c r="F147" s="215">
        <f t="shared" ref="F147:F154" si="134">1-VALUE(IF(RIGHT(B147, 1)="%", RIGHT(B147, 3), 0))</f>
        <v>0.2</v>
      </c>
      <c r="G147" s="215">
        <f t="shared" ref="G147:G154" si="135">+Q147*C147/100*D147/100*E147/100</f>
        <v>0</v>
      </c>
      <c r="H147" s="216">
        <f t="shared" ref="H147:H154" si="136">IF(F147=0, G147, F147*G147)</f>
        <v>0</v>
      </c>
      <c r="I147" s="215">
        <v>1.0</v>
      </c>
      <c r="J147" s="217">
        <f t="shared" ref="J147:J154" si="137">+I147*H147</f>
        <v>0</v>
      </c>
      <c r="K147" s="139"/>
      <c r="L147" s="176">
        <f t="shared" ref="L147:L150" si="138">D147*25.4/1000</f>
        <v>5.1816</v>
      </c>
      <c r="M147" s="160">
        <f t="shared" ref="M147:M150" si="139">+I147</f>
        <v>1</v>
      </c>
      <c r="N147" s="160">
        <f t="shared" ref="N147:N150" si="140">M147*L147</f>
        <v>5.1816</v>
      </c>
      <c r="O147" s="139"/>
      <c r="P147" s="139"/>
      <c r="Q147" s="139"/>
      <c r="R147" s="141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</row>
    <row r="148" ht="27.0" customHeight="1">
      <c r="A148" s="160">
        <v>2.0</v>
      </c>
      <c r="B148" s="218" t="s">
        <v>80</v>
      </c>
      <c r="C148" s="218">
        <v>87.0</v>
      </c>
      <c r="D148" s="218">
        <v>205.0</v>
      </c>
      <c r="E148" s="218">
        <v>234.0</v>
      </c>
      <c r="F148" s="218">
        <f t="shared" si="134"/>
        <v>0.2</v>
      </c>
      <c r="G148" s="218">
        <f t="shared" si="135"/>
        <v>0</v>
      </c>
      <c r="H148" s="219">
        <f t="shared" si="136"/>
        <v>0</v>
      </c>
      <c r="I148" s="218">
        <v>1.0</v>
      </c>
      <c r="J148" s="194">
        <f t="shared" si="137"/>
        <v>0</v>
      </c>
      <c r="K148" s="139"/>
      <c r="L148" s="176">
        <f t="shared" si="138"/>
        <v>5.207</v>
      </c>
      <c r="M148" s="160">
        <f t="shared" si="139"/>
        <v>1</v>
      </c>
      <c r="N148" s="160">
        <f t="shared" si="140"/>
        <v>5.207</v>
      </c>
      <c r="O148" s="139"/>
      <c r="P148" s="139"/>
      <c r="Q148" s="139"/>
      <c r="R148" s="141"/>
      <c r="S148" s="139"/>
      <c r="T148" s="220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</row>
    <row r="149" ht="27.0" customHeight="1">
      <c r="A149" s="160">
        <v>3.0</v>
      </c>
      <c r="B149" s="218" t="s">
        <v>64</v>
      </c>
      <c r="C149" s="218">
        <v>88.0</v>
      </c>
      <c r="D149" s="218">
        <v>215.0</v>
      </c>
      <c r="E149" s="218">
        <v>201.0</v>
      </c>
      <c r="F149" s="218">
        <f t="shared" si="134"/>
        <v>0.2</v>
      </c>
      <c r="G149" s="218">
        <f t="shared" si="135"/>
        <v>0</v>
      </c>
      <c r="H149" s="219">
        <f t="shared" si="136"/>
        <v>0</v>
      </c>
      <c r="I149" s="218">
        <v>1.0</v>
      </c>
      <c r="J149" s="194">
        <f t="shared" si="137"/>
        <v>0</v>
      </c>
      <c r="K149" s="139"/>
      <c r="L149" s="176">
        <f t="shared" si="138"/>
        <v>5.461</v>
      </c>
      <c r="M149" s="160">
        <f t="shared" si="139"/>
        <v>1</v>
      </c>
      <c r="N149" s="160">
        <f t="shared" si="140"/>
        <v>5.461</v>
      </c>
      <c r="O149" s="139"/>
      <c r="P149" s="139"/>
      <c r="Q149" s="139"/>
      <c r="R149" s="141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</row>
    <row r="150" ht="27.0" customHeight="1">
      <c r="A150" s="160">
        <v>4.0</v>
      </c>
      <c r="B150" s="218" t="s">
        <v>64</v>
      </c>
      <c r="C150" s="218">
        <v>89.0</v>
      </c>
      <c r="D150" s="218">
        <v>203.0</v>
      </c>
      <c r="E150" s="218">
        <v>232.0</v>
      </c>
      <c r="F150" s="218">
        <f t="shared" si="134"/>
        <v>0.2</v>
      </c>
      <c r="G150" s="218">
        <f t="shared" si="135"/>
        <v>0</v>
      </c>
      <c r="H150" s="219">
        <f t="shared" si="136"/>
        <v>0</v>
      </c>
      <c r="I150" s="218">
        <v>1.0</v>
      </c>
      <c r="J150" s="194">
        <f t="shared" si="137"/>
        <v>0</v>
      </c>
      <c r="K150" s="139"/>
      <c r="L150" s="176">
        <f t="shared" si="138"/>
        <v>5.1562</v>
      </c>
      <c r="M150" s="160">
        <f t="shared" si="139"/>
        <v>1</v>
      </c>
      <c r="N150" s="160">
        <f t="shared" si="140"/>
        <v>5.1562</v>
      </c>
      <c r="O150" s="139"/>
      <c r="P150" s="139"/>
      <c r="Q150" s="139"/>
      <c r="R150" s="141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</row>
    <row r="151" ht="27.0" customHeight="1">
      <c r="A151" s="154">
        <v>5.0</v>
      </c>
      <c r="B151" s="218" t="s">
        <v>79</v>
      </c>
      <c r="C151" s="218">
        <v>99.0</v>
      </c>
      <c r="D151" s="218">
        <v>207.0</v>
      </c>
      <c r="E151" s="218">
        <v>3000.0</v>
      </c>
      <c r="F151" s="218">
        <f t="shared" si="134"/>
        <v>0.2</v>
      </c>
      <c r="G151" s="218">
        <f t="shared" si="135"/>
        <v>0</v>
      </c>
      <c r="H151" s="219">
        <f t="shared" si="136"/>
        <v>0</v>
      </c>
      <c r="I151" s="218">
        <v>1.0</v>
      </c>
      <c r="J151" s="194">
        <f t="shared" si="137"/>
        <v>0</v>
      </c>
      <c r="K151" s="139"/>
      <c r="L151" s="139"/>
      <c r="M151" s="221"/>
      <c r="N151" s="221"/>
      <c r="O151" s="139"/>
      <c r="P151" s="139"/>
      <c r="Q151" s="139"/>
      <c r="R151" s="141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</row>
    <row r="152" ht="27.0" customHeight="1">
      <c r="A152" s="154">
        <v>6.0</v>
      </c>
      <c r="B152" s="218" t="s">
        <v>104</v>
      </c>
      <c r="C152" s="218">
        <v>86.0</v>
      </c>
      <c r="D152" s="218">
        <v>187.0</v>
      </c>
      <c r="E152" s="218">
        <v>244.0</v>
      </c>
      <c r="F152" s="218">
        <f t="shared" si="134"/>
        <v>0.2</v>
      </c>
      <c r="G152" s="218">
        <f t="shared" si="135"/>
        <v>0</v>
      </c>
      <c r="H152" s="219">
        <f t="shared" si="136"/>
        <v>0</v>
      </c>
      <c r="I152" s="218">
        <v>1.0</v>
      </c>
      <c r="J152" s="194">
        <f t="shared" si="137"/>
        <v>0</v>
      </c>
      <c r="K152" s="139"/>
      <c r="L152" s="139">
        <f t="shared" ref="L152:L154" si="141">D152*25.4/1000</f>
        <v>4.7498</v>
      </c>
      <c r="M152" s="221"/>
      <c r="N152" s="221"/>
      <c r="O152" s="139"/>
      <c r="P152" s="139"/>
      <c r="Q152" s="139"/>
      <c r="R152" s="141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</row>
    <row r="153" ht="27.0" customHeight="1">
      <c r="A153" s="160">
        <v>7.0</v>
      </c>
      <c r="B153" s="218" t="s">
        <v>107</v>
      </c>
      <c r="C153" s="218">
        <v>80.0</v>
      </c>
      <c r="D153" s="218">
        <v>204.0</v>
      </c>
      <c r="E153" s="218">
        <v>151.0</v>
      </c>
      <c r="F153" s="218">
        <f t="shared" si="134"/>
        <v>0.2</v>
      </c>
      <c r="G153" s="218">
        <f t="shared" si="135"/>
        <v>0</v>
      </c>
      <c r="H153" s="219">
        <f t="shared" si="136"/>
        <v>0</v>
      </c>
      <c r="I153" s="218">
        <v>1.0</v>
      </c>
      <c r="J153" s="194">
        <f t="shared" si="137"/>
        <v>0</v>
      </c>
      <c r="K153" s="139"/>
      <c r="L153" s="139">
        <f t="shared" si="141"/>
        <v>5.1816</v>
      </c>
      <c r="M153" s="221"/>
      <c r="N153" s="221"/>
      <c r="O153" s="139"/>
      <c r="P153" s="139"/>
      <c r="Q153" s="139"/>
      <c r="R153" s="141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</row>
    <row r="154" ht="27.0" customHeight="1">
      <c r="A154" s="160">
        <v>8.0</v>
      </c>
      <c r="B154" s="218" t="s">
        <v>103</v>
      </c>
      <c r="C154" s="218">
        <v>85.0</v>
      </c>
      <c r="D154" s="218">
        <v>204.0</v>
      </c>
      <c r="E154" s="218">
        <v>154.0</v>
      </c>
      <c r="F154" s="218">
        <f t="shared" si="134"/>
        <v>0.2</v>
      </c>
      <c r="G154" s="218">
        <f t="shared" si="135"/>
        <v>0</v>
      </c>
      <c r="H154" s="219">
        <f t="shared" si="136"/>
        <v>0</v>
      </c>
      <c r="I154" s="218">
        <v>1.0</v>
      </c>
      <c r="J154" s="194">
        <f t="shared" si="137"/>
        <v>0</v>
      </c>
      <c r="K154" s="139"/>
      <c r="L154" s="139">
        <f t="shared" si="141"/>
        <v>5.1816</v>
      </c>
      <c r="M154" s="221"/>
      <c r="N154" s="221"/>
      <c r="O154" s="139"/>
      <c r="P154" s="139"/>
      <c r="Q154" s="139"/>
      <c r="R154" s="141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</row>
    <row r="155" ht="24.75" customHeight="1">
      <c r="A155" s="160"/>
      <c r="B155" s="197"/>
      <c r="C155" s="197"/>
      <c r="D155" s="197"/>
      <c r="E155" s="197"/>
      <c r="F155" s="197"/>
      <c r="G155" s="197"/>
      <c r="H155" s="269" t="s">
        <v>38</v>
      </c>
      <c r="I155" s="197"/>
      <c r="J155" s="226">
        <f>SUM(J147:J154)</f>
        <v>0</v>
      </c>
      <c r="K155" s="139"/>
      <c r="L155" s="139"/>
      <c r="M155" s="139"/>
      <c r="N155" s="139"/>
      <c r="O155" s="139"/>
      <c r="P155" s="139"/>
      <c r="Q155" s="139"/>
      <c r="R155" s="141"/>
      <c r="S155" s="227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</row>
    <row r="156" ht="18.75" customHeight="1">
      <c r="A156" s="174"/>
      <c r="B156" s="144"/>
      <c r="C156" s="144"/>
      <c r="D156" s="144"/>
      <c r="E156" s="144"/>
      <c r="F156" s="144"/>
      <c r="G156" s="144"/>
      <c r="H156" s="145"/>
      <c r="I156" s="144"/>
      <c r="J156" s="175"/>
      <c r="K156" s="139"/>
      <c r="L156" s="139"/>
      <c r="M156" s="139"/>
      <c r="N156" s="139"/>
      <c r="O156" s="139"/>
      <c r="P156" s="139"/>
      <c r="Q156" s="139"/>
      <c r="R156" s="141"/>
      <c r="S156" s="227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</row>
    <row r="157" ht="18.75" customHeight="1">
      <c r="A157" s="139"/>
      <c r="B157" s="139"/>
      <c r="C157" s="139"/>
      <c r="D157" s="139"/>
      <c r="E157" s="139"/>
      <c r="F157" s="139"/>
      <c r="G157" s="139"/>
      <c r="H157" s="140"/>
      <c r="I157" s="139"/>
      <c r="J157" s="139"/>
      <c r="K157" s="139"/>
      <c r="L157" s="139"/>
      <c r="M157" s="139"/>
      <c r="N157" s="139"/>
      <c r="O157" s="139"/>
      <c r="P157" s="139"/>
      <c r="Q157" s="139"/>
      <c r="R157" s="141"/>
      <c r="S157" s="227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</row>
    <row r="158" ht="18.75" customHeight="1">
      <c r="A158" s="139"/>
      <c r="B158" s="139"/>
      <c r="C158" s="139"/>
      <c r="D158" s="139"/>
      <c r="E158" s="139"/>
      <c r="F158" s="139"/>
      <c r="G158" s="139"/>
      <c r="H158" s="140"/>
      <c r="I158" s="139"/>
      <c r="J158" s="139"/>
      <c r="K158" s="139"/>
      <c r="L158" s="139"/>
      <c r="M158" s="139"/>
      <c r="N158" s="139"/>
      <c r="O158" s="139"/>
      <c r="P158" s="139"/>
      <c r="Q158" s="139"/>
      <c r="R158" s="141"/>
      <c r="S158" s="227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</row>
    <row r="159" ht="18.75" customHeight="1">
      <c r="A159" s="139" t="s">
        <v>39</v>
      </c>
      <c r="B159" s="139"/>
      <c r="C159" s="139"/>
      <c r="D159" s="139"/>
      <c r="E159" s="139"/>
      <c r="F159" s="139"/>
      <c r="G159" s="139"/>
      <c r="H159" s="140"/>
      <c r="I159" s="139"/>
      <c r="J159" s="139"/>
      <c r="K159" s="139"/>
      <c r="L159" s="139"/>
      <c r="M159" s="139"/>
      <c r="N159" s="139"/>
      <c r="O159" s="139"/>
      <c r="P159" s="139"/>
      <c r="Q159" s="139"/>
      <c r="R159" s="141"/>
      <c r="S159" s="227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</row>
    <row r="160" ht="18.75" customHeight="1">
      <c r="A160" s="139"/>
      <c r="B160" s="139"/>
      <c r="C160" s="139"/>
      <c r="D160" s="139"/>
      <c r="E160" s="139"/>
      <c r="F160" s="139"/>
      <c r="G160" s="139"/>
      <c r="H160" s="140"/>
      <c r="I160" s="139"/>
      <c r="J160" s="139"/>
      <c r="K160" s="139"/>
      <c r="L160" s="139"/>
      <c r="M160" s="139"/>
      <c r="N160" s="139"/>
      <c r="O160" s="139"/>
      <c r="P160" s="139"/>
      <c r="Q160" s="139"/>
      <c r="R160" s="141"/>
      <c r="S160" s="227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</row>
    <row r="161" ht="42.0" customHeight="1">
      <c r="A161" s="176"/>
      <c r="B161" s="160" t="s">
        <v>12</v>
      </c>
      <c r="C161" s="177" t="s">
        <v>74</v>
      </c>
      <c r="D161" s="52"/>
      <c r="E161" s="53"/>
      <c r="F161" s="228"/>
      <c r="G161" s="228"/>
      <c r="H161" s="179" t="s">
        <v>14</v>
      </c>
      <c r="I161" s="224" t="s">
        <v>15</v>
      </c>
      <c r="J161" s="160" t="s">
        <v>16</v>
      </c>
      <c r="K161" s="139"/>
      <c r="L161" s="139"/>
      <c r="M161" s="139"/>
      <c r="N161" s="139"/>
      <c r="O161" s="139"/>
      <c r="P161" s="139"/>
      <c r="Q161" s="139"/>
      <c r="R161" s="141"/>
      <c r="S161" s="227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</row>
    <row r="162" ht="24.75" customHeight="1">
      <c r="A162" s="160">
        <v>1.0</v>
      </c>
      <c r="B162" s="229" t="s">
        <v>111</v>
      </c>
      <c r="C162" s="181"/>
      <c r="D162" s="181"/>
      <c r="E162" s="181"/>
      <c r="F162" s="181"/>
      <c r="G162" s="181"/>
      <c r="H162" s="232">
        <v>35.0</v>
      </c>
      <c r="I162" s="181">
        <v>1.0</v>
      </c>
      <c r="J162" s="194">
        <f t="shared" ref="J162:J177" si="142">+I162*H162</f>
        <v>35</v>
      </c>
      <c r="K162" s="176"/>
      <c r="L162" s="176"/>
      <c r="M162" s="176"/>
      <c r="N162" s="176"/>
      <c r="O162" s="176"/>
      <c r="P162" s="176"/>
      <c r="Q162" s="284"/>
      <c r="R162" s="231"/>
      <c r="S162" s="227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</row>
    <row r="163" ht="24.75" customHeight="1">
      <c r="A163" s="160">
        <v>2.0</v>
      </c>
      <c r="B163" s="215" t="s">
        <v>111</v>
      </c>
      <c r="C163" s="181"/>
      <c r="D163" s="181"/>
      <c r="E163" s="181"/>
      <c r="F163" s="181"/>
      <c r="G163" s="181"/>
      <c r="H163" s="232">
        <v>20.0</v>
      </c>
      <c r="I163" s="181">
        <v>1.0</v>
      </c>
      <c r="J163" s="194">
        <f t="shared" si="142"/>
        <v>20</v>
      </c>
      <c r="K163" s="176"/>
      <c r="L163" s="176"/>
      <c r="M163" s="176"/>
      <c r="N163" s="176"/>
      <c r="O163" s="176"/>
      <c r="P163" s="176"/>
      <c r="Q163" s="284"/>
      <c r="R163" s="231"/>
      <c r="S163" s="227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</row>
    <row r="164" ht="24.75" customHeight="1">
      <c r="A164" s="160">
        <v>3.0</v>
      </c>
      <c r="B164" s="182" t="s">
        <v>77</v>
      </c>
      <c r="C164" s="181"/>
      <c r="D164" s="181"/>
      <c r="E164" s="181"/>
      <c r="F164" s="181"/>
      <c r="G164" s="181"/>
      <c r="H164" s="232">
        <v>40.0</v>
      </c>
      <c r="I164" s="181">
        <v>1.0</v>
      </c>
      <c r="J164" s="194">
        <f t="shared" si="142"/>
        <v>40</v>
      </c>
      <c r="K164" s="176"/>
      <c r="L164" s="176"/>
      <c r="M164" s="176"/>
      <c r="N164" s="176"/>
      <c r="O164" s="176"/>
      <c r="P164" s="176"/>
      <c r="Q164" s="284"/>
      <c r="R164" s="231"/>
      <c r="S164" s="227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</row>
    <row r="165" ht="24.75" customHeight="1">
      <c r="A165" s="160">
        <v>4.0</v>
      </c>
      <c r="B165" s="218" t="s">
        <v>77</v>
      </c>
      <c r="C165" s="181"/>
      <c r="D165" s="181"/>
      <c r="E165" s="181"/>
      <c r="F165" s="181"/>
      <c r="G165" s="181"/>
      <c r="H165" s="232">
        <v>27.0</v>
      </c>
      <c r="I165" s="181">
        <v>1.0</v>
      </c>
      <c r="J165" s="194">
        <f t="shared" si="142"/>
        <v>27</v>
      </c>
      <c r="K165" s="176"/>
      <c r="L165" s="176"/>
      <c r="M165" s="176"/>
      <c r="N165" s="176"/>
      <c r="O165" s="176"/>
      <c r="P165" s="176"/>
      <c r="Q165" s="284"/>
      <c r="R165" s="231"/>
      <c r="S165" s="227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</row>
    <row r="166" ht="24.75" customHeight="1">
      <c r="A166" s="160">
        <v>5.0</v>
      </c>
      <c r="B166" s="182" t="s">
        <v>55</v>
      </c>
      <c r="C166" s="181"/>
      <c r="D166" s="181"/>
      <c r="E166" s="181"/>
      <c r="F166" s="181"/>
      <c r="G166" s="181"/>
      <c r="H166" s="232">
        <v>69.0</v>
      </c>
      <c r="I166" s="181">
        <v>1.0</v>
      </c>
      <c r="J166" s="194">
        <f t="shared" si="142"/>
        <v>69</v>
      </c>
      <c r="K166" s="176"/>
      <c r="L166" s="176"/>
      <c r="M166" s="176"/>
      <c r="N166" s="176"/>
      <c r="O166" s="176"/>
      <c r="P166" s="176"/>
      <c r="Q166" s="284"/>
      <c r="R166" s="231"/>
      <c r="S166" s="227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</row>
    <row r="167" ht="24.75" customHeight="1">
      <c r="A167" s="160">
        <v>6.0</v>
      </c>
      <c r="B167" s="218" t="s">
        <v>55</v>
      </c>
      <c r="C167" s="181"/>
      <c r="D167" s="181"/>
      <c r="E167" s="181"/>
      <c r="F167" s="181"/>
      <c r="G167" s="181"/>
      <c r="H167" s="232">
        <v>38.0</v>
      </c>
      <c r="I167" s="181">
        <v>1.0</v>
      </c>
      <c r="J167" s="194">
        <f t="shared" si="142"/>
        <v>38</v>
      </c>
      <c r="K167" s="176"/>
      <c r="L167" s="176"/>
      <c r="M167" s="176"/>
      <c r="N167" s="176"/>
      <c r="O167" s="176"/>
      <c r="P167" s="176"/>
      <c r="Q167" s="284"/>
      <c r="R167" s="231"/>
      <c r="S167" s="227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</row>
    <row r="168" ht="24.75" customHeight="1">
      <c r="A168" s="160">
        <v>7.0</v>
      </c>
      <c r="B168" s="182" t="s">
        <v>55</v>
      </c>
      <c r="C168" s="181"/>
      <c r="D168" s="181"/>
      <c r="E168" s="181"/>
      <c r="F168" s="181"/>
      <c r="G168" s="181"/>
      <c r="H168" s="232">
        <v>60.0</v>
      </c>
      <c r="I168" s="181">
        <v>1.0</v>
      </c>
      <c r="J168" s="194">
        <f t="shared" si="142"/>
        <v>60</v>
      </c>
      <c r="K168" s="176"/>
      <c r="L168" s="176"/>
      <c r="M168" s="176"/>
      <c r="N168" s="176"/>
      <c r="O168" s="176"/>
      <c r="P168" s="176"/>
      <c r="Q168" s="284"/>
      <c r="R168" s="231"/>
      <c r="S168" s="227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</row>
    <row r="169" ht="24.75" customHeight="1">
      <c r="A169" s="160">
        <v>8.0</v>
      </c>
      <c r="B169" s="218" t="s">
        <v>55</v>
      </c>
      <c r="C169" s="181"/>
      <c r="D169" s="181"/>
      <c r="E169" s="181"/>
      <c r="F169" s="181"/>
      <c r="G169" s="181"/>
      <c r="H169" s="232">
        <v>49.0</v>
      </c>
      <c r="I169" s="181">
        <v>1.0</v>
      </c>
      <c r="J169" s="194">
        <f t="shared" si="142"/>
        <v>49</v>
      </c>
      <c r="K169" s="176"/>
      <c r="L169" s="176"/>
      <c r="M169" s="176"/>
      <c r="N169" s="176"/>
      <c r="O169" s="176"/>
      <c r="P169" s="176"/>
      <c r="Q169" s="284"/>
      <c r="R169" s="231"/>
      <c r="S169" s="227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</row>
    <row r="170" ht="24.75" customHeight="1">
      <c r="A170" s="160">
        <v>9.0</v>
      </c>
      <c r="B170" s="233" t="s">
        <v>76</v>
      </c>
      <c r="C170" s="181"/>
      <c r="D170" s="181"/>
      <c r="E170" s="181"/>
      <c r="F170" s="181"/>
      <c r="G170" s="181"/>
      <c r="H170" s="232">
        <v>51.0</v>
      </c>
      <c r="I170" s="181">
        <v>1.0</v>
      </c>
      <c r="J170" s="194">
        <f t="shared" si="142"/>
        <v>51</v>
      </c>
      <c r="K170" s="176"/>
      <c r="L170" s="176"/>
      <c r="M170" s="176"/>
      <c r="N170" s="176"/>
      <c r="O170" s="176"/>
      <c r="P170" s="176"/>
      <c r="Q170" s="284"/>
      <c r="R170" s="231"/>
      <c r="S170" s="227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</row>
    <row r="171" ht="24.75" customHeight="1">
      <c r="A171" s="160">
        <v>10.0</v>
      </c>
      <c r="B171" s="234" t="s">
        <v>76</v>
      </c>
      <c r="C171" s="181"/>
      <c r="D171" s="181"/>
      <c r="E171" s="181"/>
      <c r="F171" s="181"/>
      <c r="G171" s="181"/>
      <c r="H171" s="232">
        <v>10.0</v>
      </c>
      <c r="I171" s="181">
        <v>1.0</v>
      </c>
      <c r="J171" s="194">
        <f t="shared" si="142"/>
        <v>10</v>
      </c>
      <c r="K171" s="176"/>
      <c r="L171" s="176"/>
      <c r="M171" s="176"/>
      <c r="N171" s="176"/>
      <c r="O171" s="176"/>
      <c r="P171" s="176"/>
      <c r="Q171" s="284"/>
      <c r="R171" s="231"/>
      <c r="S171" s="227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</row>
    <row r="172" ht="24.75" customHeight="1">
      <c r="A172" s="160">
        <v>11.0</v>
      </c>
      <c r="B172" s="182" t="s">
        <v>99</v>
      </c>
      <c r="C172" s="181"/>
      <c r="D172" s="181"/>
      <c r="E172" s="181"/>
      <c r="F172" s="181"/>
      <c r="G172" s="181"/>
      <c r="H172" s="232">
        <v>55.0</v>
      </c>
      <c r="I172" s="181">
        <v>1.0</v>
      </c>
      <c r="J172" s="194">
        <f t="shared" si="142"/>
        <v>55</v>
      </c>
      <c r="K172" s="176"/>
      <c r="L172" s="176"/>
      <c r="M172" s="176"/>
      <c r="N172" s="176"/>
      <c r="O172" s="176"/>
      <c r="P172" s="176"/>
      <c r="Q172" s="284"/>
      <c r="R172" s="231"/>
      <c r="S172" s="227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</row>
    <row r="173" ht="24.75" customHeight="1">
      <c r="A173" s="160">
        <v>12.0</v>
      </c>
      <c r="B173" s="218" t="s">
        <v>99</v>
      </c>
      <c r="C173" s="181"/>
      <c r="D173" s="181"/>
      <c r="E173" s="181"/>
      <c r="F173" s="181"/>
      <c r="G173" s="181"/>
      <c r="H173" s="232">
        <v>35.0</v>
      </c>
      <c r="I173" s="181">
        <v>1.0</v>
      </c>
      <c r="J173" s="194">
        <f t="shared" si="142"/>
        <v>35</v>
      </c>
      <c r="K173" s="176"/>
      <c r="L173" s="176"/>
      <c r="M173" s="176"/>
      <c r="N173" s="176"/>
      <c r="O173" s="176"/>
      <c r="P173" s="176"/>
      <c r="Q173" s="284"/>
      <c r="R173" s="231"/>
      <c r="S173" s="227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</row>
    <row r="174" ht="24.75" customHeight="1">
      <c r="A174" s="160">
        <v>13.0</v>
      </c>
      <c r="B174" s="182" t="s">
        <v>97</v>
      </c>
      <c r="C174" s="181"/>
      <c r="D174" s="181"/>
      <c r="E174" s="181"/>
      <c r="F174" s="181"/>
      <c r="G174" s="181"/>
      <c r="H174" s="232">
        <v>40.0</v>
      </c>
      <c r="I174" s="181">
        <v>1.0</v>
      </c>
      <c r="J174" s="194">
        <f t="shared" si="142"/>
        <v>40</v>
      </c>
      <c r="K174" s="176"/>
      <c r="L174" s="176"/>
      <c r="M174" s="176"/>
      <c r="N174" s="176"/>
      <c r="O174" s="176"/>
      <c r="P174" s="176"/>
      <c r="Q174" s="284"/>
      <c r="R174" s="231"/>
      <c r="S174" s="227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</row>
    <row r="175" ht="24.75" customHeight="1">
      <c r="A175" s="160">
        <v>14.0</v>
      </c>
      <c r="B175" s="218" t="s">
        <v>97</v>
      </c>
      <c r="C175" s="181"/>
      <c r="D175" s="181"/>
      <c r="E175" s="181"/>
      <c r="F175" s="181"/>
      <c r="G175" s="181"/>
      <c r="H175" s="232">
        <v>20.0</v>
      </c>
      <c r="I175" s="181">
        <v>1.0</v>
      </c>
      <c r="J175" s="194">
        <f t="shared" si="142"/>
        <v>20</v>
      </c>
      <c r="K175" s="176"/>
      <c r="L175" s="176"/>
      <c r="M175" s="176"/>
      <c r="N175" s="176"/>
      <c r="O175" s="176"/>
      <c r="P175" s="176"/>
      <c r="Q175" s="284"/>
      <c r="R175" s="231"/>
      <c r="S175" s="227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</row>
    <row r="176" ht="24.75" customHeight="1">
      <c r="A176" s="160">
        <v>15.0</v>
      </c>
      <c r="B176" s="182" t="s">
        <v>98</v>
      </c>
      <c r="C176" s="181"/>
      <c r="D176" s="181"/>
      <c r="E176" s="181"/>
      <c r="F176" s="181"/>
      <c r="G176" s="181"/>
      <c r="H176" s="232">
        <v>32.0</v>
      </c>
      <c r="I176" s="181">
        <v>1.0</v>
      </c>
      <c r="J176" s="194">
        <f t="shared" si="142"/>
        <v>32</v>
      </c>
      <c r="K176" s="176"/>
      <c r="L176" s="176"/>
      <c r="M176" s="176"/>
      <c r="N176" s="176"/>
      <c r="O176" s="176"/>
      <c r="P176" s="176"/>
      <c r="Q176" s="284"/>
      <c r="R176" s="231"/>
      <c r="S176" s="227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</row>
    <row r="177" ht="24.75" customHeight="1">
      <c r="A177" s="160">
        <v>16.0</v>
      </c>
      <c r="B177" s="218" t="s">
        <v>98</v>
      </c>
      <c r="C177" s="181"/>
      <c r="D177" s="181"/>
      <c r="E177" s="181"/>
      <c r="F177" s="181"/>
      <c r="G177" s="181"/>
      <c r="H177" s="232">
        <v>14.0</v>
      </c>
      <c r="I177" s="181">
        <v>1.0</v>
      </c>
      <c r="J177" s="194">
        <f t="shared" si="142"/>
        <v>14</v>
      </c>
      <c r="K177" s="176"/>
      <c r="L177" s="176"/>
      <c r="M177" s="176"/>
      <c r="N177" s="176"/>
      <c r="O177" s="176"/>
      <c r="P177" s="176"/>
      <c r="Q177" s="284"/>
      <c r="R177" s="231"/>
      <c r="S177" s="227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</row>
    <row r="178" ht="18.75" customHeight="1">
      <c r="A178" s="139"/>
      <c r="B178" s="139"/>
      <c r="C178" s="139"/>
      <c r="D178" s="139"/>
      <c r="E178" s="139"/>
      <c r="F178" s="139"/>
      <c r="G178" s="139"/>
      <c r="H178" s="140" t="s">
        <v>38</v>
      </c>
      <c r="I178" s="139"/>
      <c r="J178" s="235">
        <f>SUM(J162:J177)</f>
        <v>595</v>
      </c>
      <c r="K178" s="236"/>
      <c r="L178" s="236"/>
      <c r="M178" s="236"/>
      <c r="N178" s="236"/>
      <c r="O178" s="236"/>
      <c r="P178" s="236"/>
      <c r="Q178" s="236"/>
      <c r="R178" s="237"/>
      <c r="S178" s="227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</row>
    <row r="179" ht="18.75" customHeight="1">
      <c r="A179" s="144"/>
      <c r="B179" s="144"/>
      <c r="C179" s="144"/>
      <c r="D179" s="144"/>
      <c r="E179" s="144"/>
      <c r="F179" s="144"/>
      <c r="G179" s="144"/>
      <c r="H179" s="145"/>
      <c r="I179" s="173"/>
      <c r="J179" s="205">
        <f>+J178*60%</f>
        <v>357</v>
      </c>
      <c r="K179" s="205"/>
      <c r="L179" s="205"/>
      <c r="M179" s="205"/>
      <c r="N179" s="205"/>
      <c r="O179" s="205"/>
      <c r="P179" s="205"/>
      <c r="Q179" s="205"/>
      <c r="R179" s="207">
        <f>+J178*40%</f>
        <v>238</v>
      </c>
      <c r="S179" s="227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</row>
    <row r="180" ht="18.75" customHeight="1">
      <c r="A180" s="139"/>
      <c r="B180" s="139"/>
      <c r="C180" s="139"/>
      <c r="D180" s="139"/>
      <c r="E180" s="139"/>
      <c r="F180" s="139"/>
      <c r="G180" s="139"/>
      <c r="H180" s="140"/>
      <c r="I180" s="139"/>
      <c r="J180" s="139"/>
      <c r="K180" s="139"/>
      <c r="L180" s="139"/>
      <c r="M180" s="139"/>
      <c r="N180" s="139"/>
      <c r="O180" s="139"/>
      <c r="P180" s="139"/>
      <c r="Q180" s="139"/>
      <c r="R180" s="141"/>
      <c r="S180" s="227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</row>
    <row r="181" ht="18.75" customHeight="1">
      <c r="A181" s="139"/>
      <c r="B181" s="139"/>
      <c r="C181" s="139"/>
      <c r="D181" s="139"/>
      <c r="E181" s="139"/>
      <c r="F181" s="139"/>
      <c r="G181" s="139"/>
      <c r="H181" s="140"/>
      <c r="I181" s="139"/>
      <c r="J181" s="139"/>
      <c r="K181" s="139"/>
      <c r="L181" s="139"/>
      <c r="M181" s="139"/>
      <c r="N181" s="139"/>
      <c r="O181" s="139"/>
      <c r="P181" s="139"/>
      <c r="Q181" s="139"/>
      <c r="R181" s="141"/>
      <c r="S181" s="227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</row>
    <row r="182" ht="19.5" customHeight="1">
      <c r="A182" s="238" t="s">
        <v>41</v>
      </c>
      <c r="B182" s="139"/>
      <c r="C182" s="139"/>
      <c r="D182" s="139"/>
      <c r="E182" s="139"/>
      <c r="F182" s="139"/>
      <c r="G182" s="139"/>
      <c r="H182" s="140"/>
      <c r="I182" s="139"/>
      <c r="J182" s="139"/>
      <c r="K182" s="139"/>
      <c r="L182" s="139"/>
      <c r="M182" s="139"/>
      <c r="N182" s="139"/>
      <c r="O182" s="139"/>
      <c r="P182" s="139"/>
      <c r="Q182" s="139"/>
      <c r="R182" s="141"/>
      <c r="S182" s="227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</row>
    <row r="183" ht="57.0" customHeight="1">
      <c r="A183" s="239"/>
      <c r="B183" s="240" t="s">
        <v>42</v>
      </c>
      <c r="C183" s="240" t="s">
        <v>43</v>
      </c>
      <c r="D183" s="240" t="s">
        <v>44</v>
      </c>
      <c r="E183" s="240" t="s">
        <v>45</v>
      </c>
      <c r="F183" s="240"/>
      <c r="G183" s="240"/>
      <c r="H183" s="241" t="s">
        <v>46</v>
      </c>
      <c r="I183" s="242" t="s">
        <v>47</v>
      </c>
      <c r="J183" s="139"/>
      <c r="K183" s="139"/>
      <c r="L183" s="139"/>
      <c r="M183" s="139"/>
      <c r="N183" s="139"/>
      <c r="O183" s="139"/>
      <c r="P183" s="139"/>
      <c r="Q183" s="139"/>
      <c r="R183" s="141"/>
      <c r="S183" s="227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</row>
    <row r="184" ht="18.75" customHeight="1">
      <c r="A184" s="243" t="s">
        <v>48</v>
      </c>
      <c r="B184" s="244">
        <f>+E17</f>
        <v>42274.116</v>
      </c>
      <c r="C184" s="245">
        <f>+J140</f>
        <v>36351.48707</v>
      </c>
      <c r="D184" s="245">
        <f>+J155</f>
        <v>0</v>
      </c>
      <c r="E184" s="246">
        <f>J179</f>
        <v>357</v>
      </c>
      <c r="F184" s="246"/>
      <c r="G184" s="246"/>
      <c r="H184" s="247">
        <f>+I17</f>
        <v>1695.6464</v>
      </c>
      <c r="I184" s="248">
        <f>+B184-C184-D184-E184-H184</f>
        <v>3869.982534</v>
      </c>
      <c r="J184" s="139"/>
      <c r="K184" s="139"/>
      <c r="L184" s="139"/>
      <c r="M184" s="139"/>
      <c r="N184" s="139"/>
      <c r="O184" s="139"/>
      <c r="P184" s="139"/>
      <c r="Q184" s="139"/>
      <c r="R184" s="141"/>
      <c r="S184" s="227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</row>
    <row r="185" ht="19.5" customHeight="1">
      <c r="A185" s="249" t="s">
        <v>49</v>
      </c>
      <c r="B185" s="250"/>
      <c r="C185" s="251">
        <f>+C184/B184</f>
        <v>0.8598994019</v>
      </c>
      <c r="D185" s="251">
        <f>+D184/B184</f>
        <v>0</v>
      </c>
      <c r="E185" s="251">
        <f>+E184/B184</f>
        <v>0.008444883862</v>
      </c>
      <c r="F185" s="251"/>
      <c r="G185" s="251"/>
      <c r="H185" s="252">
        <f>+H184/B184</f>
        <v>0.04011074767</v>
      </c>
      <c r="I185" s="253">
        <f>+I184/B184</f>
        <v>0.09154496653</v>
      </c>
      <c r="J185" s="139"/>
      <c r="K185" s="139"/>
      <c r="L185" s="139"/>
      <c r="M185" s="139"/>
      <c r="N185" s="139"/>
      <c r="O185" s="139"/>
      <c r="P185" s="139"/>
      <c r="Q185" s="139"/>
      <c r="R185" s="141"/>
      <c r="S185" s="227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</row>
    <row r="186" ht="19.5" customHeight="1">
      <c r="A186" s="163"/>
      <c r="B186" s="221"/>
      <c r="C186" s="254"/>
      <c r="D186" s="254"/>
      <c r="E186" s="254"/>
      <c r="F186" s="254"/>
      <c r="G186" s="254"/>
      <c r="H186" s="255"/>
      <c r="I186" s="256"/>
      <c r="J186" s="139"/>
      <c r="K186" s="139"/>
      <c r="L186" s="139"/>
      <c r="M186" s="139"/>
      <c r="N186" s="139"/>
      <c r="O186" s="139"/>
      <c r="P186" s="139"/>
      <c r="Q186" s="139"/>
      <c r="R186" s="141"/>
      <c r="S186" s="227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</row>
    <row r="187" ht="18.75" customHeight="1">
      <c r="A187" s="257"/>
      <c r="B187" s="258"/>
      <c r="C187" s="258"/>
      <c r="D187" s="258" t="s">
        <v>50</v>
      </c>
      <c r="E187" s="258" t="s">
        <v>48</v>
      </c>
      <c r="F187" s="258"/>
      <c r="G187" s="258"/>
      <c r="H187" s="259">
        <f>+D184+E184+H184+I184</f>
        <v>5922.628934</v>
      </c>
      <c r="I187" s="260"/>
      <c r="J187" s="139"/>
      <c r="K187" s="139"/>
      <c r="L187" s="139"/>
      <c r="M187" s="139"/>
      <c r="N187" s="139"/>
      <c r="O187" s="139"/>
      <c r="P187" s="139"/>
      <c r="Q187" s="139"/>
      <c r="R187" s="141"/>
      <c r="S187" s="140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</row>
    <row r="188" ht="18.75" customHeight="1">
      <c r="A188" s="261"/>
      <c r="B188" s="139"/>
      <c r="C188" s="139"/>
      <c r="D188" s="139"/>
      <c r="E188" s="139" t="s">
        <v>49</v>
      </c>
      <c r="F188" s="139"/>
      <c r="G188" s="139"/>
      <c r="H188" s="255">
        <f>+H187/B184</f>
        <v>0.1401005981</v>
      </c>
      <c r="I188" s="262"/>
      <c r="J188" s="139"/>
      <c r="K188" s="139"/>
      <c r="L188" s="139"/>
      <c r="M188" s="139"/>
      <c r="N188" s="139"/>
      <c r="O188" s="139"/>
      <c r="P188" s="139"/>
      <c r="Q188" s="139"/>
      <c r="R188" s="141"/>
      <c r="S188" s="140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</row>
    <row r="189" ht="18.75" customHeight="1">
      <c r="A189" s="261"/>
      <c r="B189" s="139"/>
      <c r="C189" s="139" t="s">
        <v>51</v>
      </c>
      <c r="D189" s="139"/>
      <c r="E189" s="139"/>
      <c r="F189" s="139"/>
      <c r="G189" s="139"/>
      <c r="H189" s="140"/>
      <c r="I189" s="262"/>
      <c r="J189" s="139"/>
      <c r="K189" s="139"/>
      <c r="L189" s="139"/>
      <c r="M189" s="139"/>
      <c r="N189" s="139"/>
      <c r="O189" s="139"/>
      <c r="P189" s="139"/>
      <c r="Q189" s="139"/>
      <c r="R189" s="141"/>
      <c r="S189" s="140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</row>
    <row r="190" ht="18.75" customHeight="1">
      <c r="A190" s="261"/>
      <c r="B190" s="139"/>
      <c r="C190" s="139"/>
      <c r="D190" s="139" t="s">
        <v>52</v>
      </c>
      <c r="E190" s="139"/>
      <c r="F190" s="139"/>
      <c r="G190" s="139"/>
      <c r="H190" s="140">
        <f>+H189*(H187-H184)</f>
        <v>0</v>
      </c>
      <c r="I190" s="262"/>
      <c r="J190" s="139"/>
      <c r="K190" s="139"/>
      <c r="L190" s="139"/>
      <c r="M190" s="139"/>
      <c r="N190" s="139"/>
      <c r="O190" s="139"/>
      <c r="P190" s="139"/>
      <c r="Q190" s="139"/>
      <c r="R190" s="141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</row>
    <row r="191" ht="19.5" customHeight="1">
      <c r="A191" s="263"/>
      <c r="B191" s="264"/>
      <c r="C191" s="264"/>
      <c r="D191" s="264"/>
      <c r="E191" s="264"/>
      <c r="F191" s="264"/>
      <c r="G191" s="264"/>
      <c r="H191" s="265"/>
      <c r="I191" s="266"/>
      <c r="J191" s="139"/>
      <c r="K191" s="139"/>
      <c r="L191" s="139"/>
      <c r="M191" s="139"/>
      <c r="N191" s="139"/>
      <c r="O191" s="139"/>
      <c r="P191" s="139"/>
      <c r="Q191" s="139"/>
      <c r="R191" s="141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</row>
    <row r="192" ht="18.75" customHeight="1">
      <c r="A192" s="139"/>
      <c r="B192" s="139"/>
      <c r="C192" s="139"/>
      <c r="D192" s="139"/>
      <c r="E192" s="139"/>
      <c r="F192" s="139"/>
      <c r="G192" s="139"/>
      <c r="H192" s="140"/>
      <c r="I192" s="139"/>
      <c r="J192" s="139"/>
      <c r="K192" s="139"/>
      <c r="L192" s="139"/>
      <c r="M192" s="139"/>
      <c r="N192" s="139"/>
      <c r="O192" s="139"/>
      <c r="P192" s="139"/>
      <c r="Q192" s="139"/>
      <c r="R192" s="141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</row>
    <row r="193" ht="18.75" customHeight="1">
      <c r="A193" s="139"/>
      <c r="B193" s="139"/>
      <c r="C193" s="139"/>
      <c r="D193" s="139"/>
      <c r="E193" s="139"/>
      <c r="F193" s="139"/>
      <c r="G193" s="139"/>
      <c r="H193" s="140"/>
      <c r="I193" s="139"/>
      <c r="J193" s="139"/>
      <c r="K193" s="139"/>
      <c r="L193" s="139"/>
      <c r="M193" s="139"/>
      <c r="N193" s="139"/>
      <c r="O193" s="139"/>
      <c r="P193" s="139"/>
      <c r="Q193" s="139"/>
      <c r="R193" s="141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</row>
    <row r="194" ht="18.75" customHeight="1">
      <c r="A194" s="139"/>
      <c r="B194" s="139"/>
      <c r="C194" s="139"/>
      <c r="D194" s="139"/>
      <c r="E194" s="139"/>
      <c r="F194" s="139"/>
      <c r="G194" s="139"/>
      <c r="H194" s="140"/>
      <c r="I194" s="139"/>
      <c r="J194" s="139"/>
      <c r="K194" s="139"/>
      <c r="L194" s="139"/>
      <c r="M194" s="139"/>
      <c r="N194" s="139"/>
      <c r="O194" s="139"/>
      <c r="P194" s="139"/>
      <c r="Q194" s="139"/>
      <c r="R194" s="141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7"/>
      <c r="R252" s="26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7"/>
      <c r="R253" s="26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7"/>
      <c r="R254" s="26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7"/>
      <c r="R255" s="26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7"/>
      <c r="R256" s="26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7"/>
      <c r="R257" s="26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7"/>
      <c r="R258" s="26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7"/>
      <c r="R259" s="26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7"/>
      <c r="R260" s="26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7"/>
      <c r="R261" s="26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7"/>
      <c r="R262" s="26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7"/>
      <c r="R263" s="26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7"/>
      <c r="R264" s="26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7"/>
      <c r="R265" s="26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7"/>
      <c r="R266" s="26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7"/>
      <c r="R267" s="26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7"/>
      <c r="R268" s="26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7"/>
      <c r="R269" s="26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7"/>
      <c r="R270" s="26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7"/>
      <c r="R271" s="26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7"/>
      <c r="R272" s="26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7"/>
      <c r="R273" s="26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7"/>
      <c r="R274" s="26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7"/>
      <c r="R275" s="26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7"/>
      <c r="R276" s="26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7"/>
      <c r="R277" s="26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7"/>
      <c r="R278" s="26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7"/>
      <c r="R279" s="26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7"/>
      <c r="R280" s="26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7"/>
      <c r="R281" s="26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7"/>
      <c r="R282" s="26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7"/>
      <c r="R283" s="26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7"/>
      <c r="R284" s="26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7"/>
      <c r="R285" s="26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7"/>
      <c r="R286" s="26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7"/>
      <c r="R287" s="26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7"/>
      <c r="R288" s="26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7"/>
      <c r="R289" s="26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7"/>
      <c r="R290" s="26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7"/>
      <c r="R291" s="26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7"/>
      <c r="R292" s="26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7"/>
      <c r="R293" s="26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7"/>
      <c r="R294" s="26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7"/>
      <c r="R295" s="26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7"/>
      <c r="R296" s="26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7"/>
      <c r="R297" s="26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7"/>
      <c r="R298" s="26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7"/>
      <c r="R299" s="26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7"/>
      <c r="R300" s="26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7"/>
      <c r="R301" s="26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7"/>
      <c r="R302" s="26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7"/>
      <c r="R303" s="268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7"/>
      <c r="R304" s="268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7"/>
      <c r="R305" s="268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7"/>
      <c r="R306" s="268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7"/>
      <c r="R307" s="268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7"/>
      <c r="R308" s="268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7"/>
      <c r="R309" s="268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7"/>
      <c r="R310" s="268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7"/>
      <c r="R311" s="268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7"/>
      <c r="R312" s="268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7"/>
      <c r="R313" s="268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7"/>
      <c r="R314" s="268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7"/>
      <c r="R315" s="268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7"/>
      <c r="R316" s="268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7"/>
      <c r="R317" s="268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7"/>
      <c r="R318" s="268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7"/>
      <c r="R319" s="268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7"/>
      <c r="R320" s="268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7"/>
      <c r="R321" s="268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7"/>
      <c r="R322" s="268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7"/>
      <c r="R323" s="268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7"/>
      <c r="R324" s="268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7"/>
      <c r="R325" s="268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7"/>
      <c r="R326" s="268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7"/>
      <c r="R327" s="268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7"/>
      <c r="R328" s="268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7"/>
      <c r="R329" s="268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7"/>
      <c r="R330" s="268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7"/>
      <c r="R331" s="268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7"/>
      <c r="R332" s="268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7"/>
      <c r="R333" s="268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7"/>
      <c r="R334" s="268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7"/>
      <c r="R335" s="268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7"/>
      <c r="R336" s="268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7"/>
      <c r="R337" s="268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7"/>
      <c r="R338" s="268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7"/>
      <c r="R339" s="268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7"/>
      <c r="R340" s="268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7"/>
      <c r="R341" s="268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7"/>
      <c r="R342" s="268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7"/>
      <c r="R343" s="268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7"/>
      <c r="R344" s="268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7"/>
      <c r="R345" s="268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7"/>
      <c r="R346" s="268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7"/>
      <c r="R347" s="268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7"/>
      <c r="R348" s="268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7"/>
      <c r="R349" s="268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7"/>
      <c r="R350" s="268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7"/>
      <c r="R351" s="268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</row>
    <row r="352" ht="18.0" customHeight="1">
      <c r="A352" s="7"/>
      <c r="B352" s="7"/>
      <c r="C352" s="7"/>
      <c r="D352" s="7"/>
      <c r="E352" s="7"/>
      <c r="F352" s="7"/>
      <c r="G352" s="7"/>
      <c r="H352" s="267"/>
      <c r="I352" s="7"/>
      <c r="J352" s="7"/>
      <c r="K352" s="7"/>
      <c r="L352" s="7"/>
      <c r="M352" s="7"/>
      <c r="N352" s="7"/>
      <c r="O352" s="7"/>
      <c r="P352" s="7"/>
      <c r="Q352" s="7"/>
      <c r="R352" s="268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</row>
    <row r="353" ht="18.0" customHeight="1">
      <c r="A353" s="7"/>
      <c r="B353" s="7"/>
      <c r="C353" s="7"/>
      <c r="D353" s="7"/>
      <c r="E353" s="7"/>
      <c r="F353" s="7"/>
      <c r="G353" s="7"/>
      <c r="H353" s="267"/>
      <c r="I353" s="7"/>
      <c r="J353" s="7"/>
      <c r="K353" s="7"/>
      <c r="L353" s="7"/>
      <c r="M353" s="7"/>
      <c r="N353" s="7"/>
      <c r="O353" s="7"/>
      <c r="P353" s="7"/>
      <c r="Q353" s="7"/>
      <c r="R353" s="268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</row>
    <row r="354" ht="18.0" customHeight="1">
      <c r="A354" s="7"/>
      <c r="B354" s="7"/>
      <c r="C354" s="7"/>
      <c r="D354" s="7"/>
      <c r="E354" s="7"/>
      <c r="F354" s="7"/>
      <c r="G354" s="7"/>
      <c r="H354" s="267"/>
      <c r="I354" s="7"/>
      <c r="J354" s="7"/>
      <c r="K354" s="7"/>
      <c r="L354" s="7"/>
      <c r="M354" s="7"/>
      <c r="N354" s="7"/>
      <c r="O354" s="7"/>
      <c r="P354" s="7"/>
      <c r="Q354" s="7"/>
      <c r="R354" s="268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</row>
    <row r="355" ht="18.0" customHeight="1">
      <c r="A355" s="7"/>
      <c r="B355" s="7"/>
      <c r="C355" s="7"/>
      <c r="D355" s="7"/>
      <c r="E355" s="7"/>
      <c r="F355" s="7"/>
      <c r="G355" s="7"/>
      <c r="H355" s="267"/>
      <c r="I355" s="7"/>
      <c r="J355" s="7"/>
      <c r="K355" s="7"/>
      <c r="L355" s="7"/>
      <c r="M355" s="7"/>
      <c r="N355" s="7"/>
      <c r="O355" s="7"/>
      <c r="P355" s="7"/>
      <c r="Q355" s="7"/>
      <c r="R355" s="268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</row>
    <row r="356" ht="18.0" customHeight="1">
      <c r="A356" s="7"/>
      <c r="B356" s="7"/>
      <c r="C356" s="7"/>
      <c r="D356" s="7"/>
      <c r="E356" s="7"/>
      <c r="F356" s="7"/>
      <c r="G356" s="7"/>
      <c r="H356" s="267"/>
      <c r="I356" s="7"/>
      <c r="J356" s="7"/>
      <c r="K356" s="7"/>
      <c r="L356" s="7"/>
      <c r="M356" s="7"/>
      <c r="N356" s="7"/>
      <c r="O356" s="7"/>
      <c r="P356" s="7"/>
      <c r="Q356" s="7"/>
      <c r="R356" s="268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</row>
    <row r="357" ht="18.0" customHeight="1">
      <c r="A357" s="7"/>
      <c r="B357" s="7"/>
      <c r="C357" s="7"/>
      <c r="D357" s="7"/>
      <c r="E357" s="7"/>
      <c r="F357" s="7"/>
      <c r="G357" s="7"/>
      <c r="H357" s="267"/>
      <c r="I357" s="7"/>
      <c r="J357" s="7"/>
      <c r="K357" s="7"/>
      <c r="L357" s="7"/>
      <c r="M357" s="7"/>
      <c r="N357" s="7"/>
      <c r="O357" s="7"/>
      <c r="P357" s="7"/>
      <c r="Q357" s="7"/>
      <c r="R357" s="268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</row>
    <row r="358" ht="18.0" customHeight="1">
      <c r="A358" s="7"/>
      <c r="B358" s="7"/>
      <c r="C358" s="7"/>
      <c r="D358" s="7"/>
      <c r="E358" s="7"/>
      <c r="F358" s="7"/>
      <c r="G358" s="7"/>
      <c r="H358" s="267"/>
      <c r="I358" s="7"/>
      <c r="J358" s="7"/>
      <c r="K358" s="7"/>
      <c r="L358" s="7"/>
      <c r="M358" s="7"/>
      <c r="N358" s="7"/>
      <c r="O358" s="7"/>
      <c r="P358" s="7"/>
      <c r="Q358" s="7"/>
      <c r="R358" s="268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</row>
    <row r="359" ht="18.0" customHeight="1">
      <c r="A359" s="7"/>
      <c r="B359" s="7"/>
      <c r="C359" s="7"/>
      <c r="D359" s="7"/>
      <c r="E359" s="7"/>
      <c r="F359" s="7"/>
      <c r="G359" s="7"/>
      <c r="H359" s="267"/>
      <c r="I359" s="7"/>
      <c r="J359" s="7"/>
      <c r="K359" s="7"/>
      <c r="L359" s="7"/>
      <c r="M359" s="7"/>
      <c r="N359" s="7"/>
      <c r="O359" s="7"/>
      <c r="P359" s="7"/>
      <c r="Q359" s="7"/>
      <c r="R359" s="268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</row>
    <row r="360" ht="18.0" customHeight="1">
      <c r="A360" s="7"/>
      <c r="B360" s="7"/>
      <c r="C360" s="7"/>
      <c r="D360" s="7"/>
      <c r="E360" s="7"/>
      <c r="F360" s="7"/>
      <c r="G360" s="7"/>
      <c r="H360" s="267"/>
      <c r="I360" s="7"/>
      <c r="J360" s="7"/>
      <c r="K360" s="7"/>
      <c r="L360" s="7"/>
      <c r="M360" s="7"/>
      <c r="N360" s="7"/>
      <c r="O360" s="7"/>
      <c r="P360" s="7"/>
      <c r="Q360" s="7"/>
      <c r="R360" s="268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</row>
    <row r="361" ht="18.0" customHeight="1">
      <c r="A361" s="7"/>
      <c r="B361" s="7"/>
      <c r="C361" s="7"/>
      <c r="D361" s="7"/>
      <c r="E361" s="7"/>
      <c r="F361" s="7"/>
      <c r="G361" s="7"/>
      <c r="H361" s="267"/>
      <c r="I361" s="7"/>
      <c r="J361" s="7"/>
      <c r="K361" s="7"/>
      <c r="L361" s="7"/>
      <c r="M361" s="7"/>
      <c r="N361" s="7"/>
      <c r="O361" s="7"/>
      <c r="P361" s="7"/>
      <c r="Q361" s="7"/>
      <c r="R361" s="268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</row>
    <row r="362" ht="18.0" customHeight="1">
      <c r="A362" s="7"/>
      <c r="B362" s="7"/>
      <c r="C362" s="7"/>
      <c r="D362" s="7"/>
      <c r="E362" s="7"/>
      <c r="F362" s="7"/>
      <c r="G362" s="7"/>
      <c r="H362" s="267"/>
      <c r="I362" s="7"/>
      <c r="J362" s="7"/>
      <c r="K362" s="7"/>
      <c r="L362" s="7"/>
      <c r="M362" s="7"/>
      <c r="N362" s="7"/>
      <c r="O362" s="7"/>
      <c r="P362" s="7"/>
      <c r="Q362" s="7"/>
      <c r="R362" s="268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</row>
    <row r="363" ht="18.0" customHeight="1">
      <c r="A363" s="7"/>
      <c r="B363" s="7"/>
      <c r="C363" s="7"/>
      <c r="D363" s="7"/>
      <c r="E363" s="7"/>
      <c r="F363" s="7"/>
      <c r="G363" s="7"/>
      <c r="H363" s="267"/>
      <c r="I363" s="7"/>
      <c r="J363" s="7"/>
      <c r="K363" s="7"/>
      <c r="L363" s="7"/>
      <c r="M363" s="7"/>
      <c r="N363" s="7"/>
      <c r="O363" s="7"/>
      <c r="P363" s="7"/>
      <c r="Q363" s="7"/>
      <c r="R363" s="268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</row>
    <row r="364" ht="18.0" customHeight="1">
      <c r="A364" s="7"/>
      <c r="B364" s="7"/>
      <c r="C364" s="7"/>
      <c r="D364" s="7"/>
      <c r="E364" s="7"/>
      <c r="F364" s="7"/>
      <c r="G364" s="7"/>
      <c r="H364" s="267"/>
      <c r="I364" s="7"/>
      <c r="J364" s="7"/>
      <c r="K364" s="7"/>
      <c r="L364" s="7"/>
      <c r="M364" s="7"/>
      <c r="N364" s="7"/>
      <c r="O364" s="7"/>
      <c r="P364" s="7"/>
      <c r="Q364" s="7"/>
      <c r="R364" s="268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</row>
    <row r="365" ht="18.0" customHeight="1">
      <c r="A365" s="7"/>
      <c r="B365" s="7"/>
      <c r="C365" s="7"/>
      <c r="D365" s="7"/>
      <c r="E365" s="7"/>
      <c r="F365" s="7"/>
      <c r="G365" s="7"/>
      <c r="H365" s="267"/>
      <c r="I365" s="7"/>
      <c r="J365" s="7"/>
      <c r="K365" s="7"/>
      <c r="L365" s="7"/>
      <c r="M365" s="7"/>
      <c r="N365" s="7"/>
      <c r="O365" s="7"/>
      <c r="P365" s="7"/>
      <c r="Q365" s="7"/>
      <c r="R365" s="268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</row>
    <row r="366" ht="18.0" customHeight="1">
      <c r="A366" s="7"/>
      <c r="B366" s="7"/>
      <c r="C366" s="7"/>
      <c r="D366" s="7"/>
      <c r="E366" s="7"/>
      <c r="F366" s="7"/>
      <c r="G366" s="7"/>
      <c r="H366" s="267"/>
      <c r="I366" s="7"/>
      <c r="J366" s="7"/>
      <c r="K366" s="7"/>
      <c r="L366" s="7"/>
      <c r="M366" s="7"/>
      <c r="N366" s="7"/>
      <c r="O366" s="7"/>
      <c r="P366" s="7"/>
      <c r="Q366" s="7"/>
      <c r="R366" s="268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</row>
    <row r="367" ht="18.0" customHeight="1">
      <c r="A367" s="7"/>
      <c r="B367" s="7"/>
      <c r="C367" s="7"/>
      <c r="D367" s="7"/>
      <c r="E367" s="7"/>
      <c r="F367" s="7"/>
      <c r="G367" s="7"/>
      <c r="H367" s="267"/>
      <c r="I367" s="7"/>
      <c r="J367" s="7"/>
      <c r="K367" s="7"/>
      <c r="L367" s="7"/>
      <c r="M367" s="7"/>
      <c r="N367" s="7"/>
      <c r="O367" s="7"/>
      <c r="P367" s="7"/>
      <c r="Q367" s="7"/>
      <c r="R367" s="268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</row>
    <row r="368" ht="18.0" customHeight="1">
      <c r="A368" s="7"/>
      <c r="B368" s="7"/>
      <c r="C368" s="7"/>
      <c r="D368" s="7"/>
      <c r="E368" s="7"/>
      <c r="F368" s="7"/>
      <c r="G368" s="7"/>
      <c r="H368" s="267"/>
      <c r="I368" s="7"/>
      <c r="J368" s="7"/>
      <c r="K368" s="7"/>
      <c r="L368" s="7"/>
      <c r="M368" s="7"/>
      <c r="N368" s="7"/>
      <c r="O368" s="7"/>
      <c r="P368" s="7"/>
      <c r="Q368" s="7"/>
      <c r="R368" s="268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</row>
    <row r="369" ht="18.0" customHeight="1">
      <c r="A369" s="7"/>
      <c r="B369" s="7"/>
      <c r="C369" s="7"/>
      <c r="D369" s="7"/>
      <c r="E369" s="7"/>
      <c r="F369" s="7"/>
      <c r="G369" s="7"/>
      <c r="H369" s="267"/>
      <c r="I369" s="7"/>
      <c r="J369" s="7"/>
      <c r="K369" s="7"/>
      <c r="L369" s="7"/>
      <c r="M369" s="7"/>
      <c r="N369" s="7"/>
      <c r="O369" s="7"/>
      <c r="P369" s="7"/>
      <c r="Q369" s="7"/>
      <c r="R369" s="268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</row>
    <row r="370" ht="18.0" customHeight="1">
      <c r="A370" s="7"/>
      <c r="B370" s="7"/>
      <c r="C370" s="7"/>
      <c r="D370" s="7"/>
      <c r="E370" s="7"/>
      <c r="F370" s="7"/>
      <c r="G370" s="7"/>
      <c r="H370" s="267"/>
      <c r="I370" s="7"/>
      <c r="J370" s="7"/>
      <c r="K370" s="7"/>
      <c r="L370" s="7"/>
      <c r="M370" s="7"/>
      <c r="N370" s="7"/>
      <c r="O370" s="7"/>
      <c r="P370" s="7"/>
      <c r="Q370" s="7"/>
      <c r="R370" s="268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</row>
    <row r="371" ht="18.0" customHeight="1">
      <c r="A371" s="7"/>
      <c r="B371" s="7"/>
      <c r="C371" s="7"/>
      <c r="D371" s="7"/>
      <c r="E371" s="7"/>
      <c r="F371" s="7"/>
      <c r="G371" s="7"/>
      <c r="H371" s="267"/>
      <c r="I371" s="7"/>
      <c r="J371" s="7"/>
      <c r="K371" s="7"/>
      <c r="L371" s="7"/>
      <c r="M371" s="7"/>
      <c r="N371" s="7"/>
      <c r="O371" s="7"/>
      <c r="P371" s="7"/>
      <c r="Q371" s="7"/>
      <c r="R371" s="268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</row>
    <row r="372" ht="18.0" customHeight="1">
      <c r="A372" s="7"/>
      <c r="B372" s="7"/>
      <c r="C372" s="7"/>
      <c r="D372" s="7"/>
      <c r="E372" s="7"/>
      <c r="F372" s="7"/>
      <c r="G372" s="7"/>
      <c r="H372" s="267"/>
      <c r="I372" s="7"/>
      <c r="J372" s="7"/>
      <c r="K372" s="7"/>
      <c r="L372" s="7"/>
      <c r="M372" s="7"/>
      <c r="N372" s="7"/>
      <c r="O372" s="7"/>
      <c r="P372" s="7"/>
      <c r="Q372" s="7"/>
      <c r="R372" s="268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</row>
    <row r="373" ht="18.0" customHeight="1">
      <c r="A373" s="7"/>
      <c r="B373" s="7"/>
      <c r="C373" s="7"/>
      <c r="D373" s="7"/>
      <c r="E373" s="7"/>
      <c r="F373" s="7"/>
      <c r="G373" s="7"/>
      <c r="H373" s="267"/>
      <c r="I373" s="7"/>
      <c r="J373" s="7"/>
      <c r="K373" s="7"/>
      <c r="L373" s="7"/>
      <c r="M373" s="7"/>
      <c r="N373" s="7"/>
      <c r="O373" s="7"/>
      <c r="P373" s="7"/>
      <c r="Q373" s="7"/>
      <c r="R373" s="268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</row>
    <row r="374" ht="18.0" customHeight="1">
      <c r="A374" s="7"/>
      <c r="B374" s="7"/>
      <c r="C374" s="7"/>
      <c r="D374" s="7"/>
      <c r="E374" s="7"/>
      <c r="F374" s="7"/>
      <c r="G374" s="7"/>
      <c r="H374" s="267"/>
      <c r="I374" s="7"/>
      <c r="J374" s="7"/>
      <c r="K374" s="7"/>
      <c r="L374" s="7"/>
      <c r="M374" s="7"/>
      <c r="N374" s="7"/>
      <c r="O374" s="7"/>
      <c r="P374" s="7"/>
      <c r="Q374" s="7"/>
      <c r="R374" s="268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</row>
    <row r="375" ht="18.0" customHeight="1">
      <c r="A375" s="7"/>
      <c r="B375" s="7"/>
      <c r="C375" s="7"/>
      <c r="D375" s="7"/>
      <c r="E375" s="7"/>
      <c r="F375" s="7"/>
      <c r="G375" s="7"/>
      <c r="H375" s="267"/>
      <c r="I375" s="7"/>
      <c r="J375" s="7"/>
      <c r="K375" s="7"/>
      <c r="L375" s="7"/>
      <c r="M375" s="7"/>
      <c r="N375" s="7"/>
      <c r="O375" s="7"/>
      <c r="P375" s="7"/>
      <c r="Q375" s="7"/>
      <c r="R375" s="268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</row>
    <row r="376" ht="18.0" customHeight="1">
      <c r="A376" s="7"/>
      <c r="B376" s="7"/>
      <c r="C376" s="7"/>
      <c r="D376" s="7"/>
      <c r="E376" s="7"/>
      <c r="F376" s="7"/>
      <c r="G376" s="7"/>
      <c r="H376" s="267"/>
      <c r="I376" s="7"/>
      <c r="J376" s="7"/>
      <c r="K376" s="7"/>
      <c r="L376" s="7"/>
      <c r="M376" s="7"/>
      <c r="N376" s="7"/>
      <c r="O376" s="7"/>
      <c r="P376" s="7"/>
      <c r="Q376" s="7"/>
      <c r="R376" s="268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</row>
    <row r="377" ht="18.0" customHeight="1">
      <c r="A377" s="7"/>
      <c r="B377" s="7"/>
      <c r="C377" s="7"/>
      <c r="D377" s="7"/>
      <c r="E377" s="7"/>
      <c r="F377" s="7"/>
      <c r="G377" s="7"/>
      <c r="H377" s="267"/>
      <c r="I377" s="7"/>
      <c r="J377" s="7"/>
      <c r="K377" s="7"/>
      <c r="L377" s="7"/>
      <c r="M377" s="7"/>
      <c r="N377" s="7"/>
      <c r="O377" s="7"/>
      <c r="P377" s="7"/>
      <c r="Q377" s="7"/>
      <c r="R377" s="268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</row>
    <row r="378" ht="18.0" customHeight="1">
      <c r="A378" s="7"/>
      <c r="B378" s="7"/>
      <c r="C378" s="7"/>
      <c r="D378" s="7"/>
      <c r="E378" s="7"/>
      <c r="F378" s="7"/>
      <c r="G378" s="7"/>
      <c r="H378" s="267"/>
      <c r="I378" s="7"/>
      <c r="J378" s="7"/>
      <c r="K378" s="7"/>
      <c r="L378" s="7"/>
      <c r="M378" s="7"/>
      <c r="N378" s="7"/>
      <c r="O378" s="7"/>
      <c r="P378" s="7"/>
      <c r="Q378" s="7"/>
      <c r="R378" s="268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</row>
    <row r="379" ht="18.0" customHeight="1">
      <c r="A379" s="7"/>
      <c r="B379" s="7"/>
      <c r="C379" s="7"/>
      <c r="D379" s="7"/>
      <c r="E379" s="7"/>
      <c r="F379" s="7"/>
      <c r="G379" s="7"/>
      <c r="H379" s="267"/>
      <c r="I379" s="7"/>
      <c r="J379" s="7"/>
      <c r="K379" s="7"/>
      <c r="L379" s="7"/>
      <c r="M379" s="7"/>
      <c r="N379" s="7"/>
      <c r="O379" s="7"/>
      <c r="P379" s="7"/>
      <c r="Q379" s="7"/>
      <c r="R379" s="268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</row>
    <row r="380" ht="18.0" customHeight="1">
      <c r="A380" s="7"/>
      <c r="B380" s="7"/>
      <c r="C380" s="7"/>
      <c r="D380" s="7"/>
      <c r="E380" s="7"/>
      <c r="F380" s="7"/>
      <c r="G380" s="7"/>
      <c r="H380" s="267"/>
      <c r="I380" s="7"/>
      <c r="J380" s="7"/>
      <c r="K380" s="7"/>
      <c r="L380" s="7"/>
      <c r="M380" s="7"/>
      <c r="N380" s="7"/>
      <c r="O380" s="7"/>
      <c r="P380" s="7"/>
      <c r="Q380" s="7"/>
      <c r="R380" s="268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</row>
    <row r="381" ht="18.0" customHeight="1">
      <c r="A381" s="7"/>
      <c r="B381" s="7"/>
      <c r="C381" s="7"/>
      <c r="D381" s="7"/>
      <c r="E381" s="7"/>
      <c r="F381" s="7"/>
      <c r="G381" s="7"/>
      <c r="H381" s="267"/>
      <c r="I381" s="7"/>
      <c r="J381" s="7"/>
      <c r="K381" s="7"/>
      <c r="L381" s="7"/>
      <c r="M381" s="7"/>
      <c r="N381" s="7"/>
      <c r="O381" s="7"/>
      <c r="P381" s="7"/>
      <c r="Q381" s="7"/>
      <c r="R381" s="268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</row>
    <row r="382" ht="18.0" customHeight="1">
      <c r="A382" s="7"/>
      <c r="B382" s="7"/>
      <c r="C382" s="7"/>
      <c r="D382" s="7"/>
      <c r="E382" s="7"/>
      <c r="F382" s="7"/>
      <c r="G382" s="7"/>
      <c r="H382" s="267"/>
      <c r="I382" s="7"/>
      <c r="J382" s="7"/>
      <c r="K382" s="7"/>
      <c r="L382" s="7"/>
      <c r="M382" s="7"/>
      <c r="N382" s="7"/>
      <c r="O382" s="7"/>
      <c r="P382" s="7"/>
      <c r="Q382" s="7"/>
      <c r="R382" s="268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</row>
    <row r="383" ht="18.0" customHeight="1">
      <c r="A383" s="7"/>
      <c r="B383" s="7"/>
      <c r="C383" s="7"/>
      <c r="D383" s="7"/>
      <c r="E383" s="7"/>
      <c r="F383" s="7"/>
      <c r="G383" s="7"/>
      <c r="H383" s="267"/>
      <c r="I383" s="7"/>
      <c r="J383" s="7"/>
      <c r="K383" s="7"/>
      <c r="L383" s="7"/>
      <c r="M383" s="7"/>
      <c r="N383" s="7"/>
      <c r="O383" s="7"/>
      <c r="P383" s="7"/>
      <c r="Q383" s="7"/>
      <c r="R383" s="268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</row>
    <row r="384" ht="18.0" customHeight="1">
      <c r="A384" s="7"/>
      <c r="B384" s="7"/>
      <c r="C384" s="7"/>
      <c r="D384" s="7"/>
      <c r="E384" s="7"/>
      <c r="F384" s="7"/>
      <c r="G384" s="7"/>
      <c r="H384" s="267"/>
      <c r="I384" s="7"/>
      <c r="J384" s="7"/>
      <c r="K384" s="7"/>
      <c r="L384" s="7"/>
      <c r="M384" s="7"/>
      <c r="N384" s="7"/>
      <c r="O384" s="7"/>
      <c r="P384" s="7"/>
      <c r="Q384" s="7"/>
      <c r="R384" s="268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</row>
    <row r="385" ht="18.0" customHeight="1">
      <c r="A385" s="7"/>
      <c r="B385" s="7"/>
      <c r="C385" s="7"/>
      <c r="D385" s="7"/>
      <c r="E385" s="7"/>
      <c r="F385" s="7"/>
      <c r="G385" s="7"/>
      <c r="H385" s="267"/>
      <c r="I385" s="7"/>
      <c r="J385" s="7"/>
      <c r="K385" s="7"/>
      <c r="L385" s="7"/>
      <c r="M385" s="7"/>
      <c r="N385" s="7"/>
      <c r="O385" s="7"/>
      <c r="P385" s="7"/>
      <c r="Q385" s="7"/>
      <c r="R385" s="268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</row>
    <row r="386" ht="18.0" customHeight="1">
      <c r="A386" s="7"/>
      <c r="B386" s="7"/>
      <c r="C386" s="7"/>
      <c r="D386" s="7"/>
      <c r="E386" s="7"/>
      <c r="F386" s="7"/>
      <c r="G386" s="7"/>
      <c r="H386" s="267"/>
      <c r="I386" s="7"/>
      <c r="J386" s="7"/>
      <c r="K386" s="7"/>
      <c r="L386" s="7"/>
      <c r="M386" s="7"/>
      <c r="N386" s="7"/>
      <c r="O386" s="7"/>
      <c r="P386" s="7"/>
      <c r="Q386" s="7"/>
      <c r="R386" s="268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</row>
    <row r="387" ht="18.0" customHeight="1">
      <c r="A387" s="7"/>
      <c r="B387" s="7"/>
      <c r="C387" s="7"/>
      <c r="D387" s="7"/>
      <c r="E387" s="7"/>
      <c r="F387" s="7"/>
      <c r="G387" s="7"/>
      <c r="H387" s="267"/>
      <c r="I387" s="7"/>
      <c r="J387" s="7"/>
      <c r="K387" s="7"/>
      <c r="L387" s="7"/>
      <c r="M387" s="7"/>
      <c r="N387" s="7"/>
      <c r="O387" s="7"/>
      <c r="P387" s="7"/>
      <c r="Q387" s="7"/>
      <c r="R387" s="268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</row>
    <row r="388" ht="18.0" customHeight="1">
      <c r="A388" s="7"/>
      <c r="B388" s="7"/>
      <c r="C388" s="7"/>
      <c r="D388" s="7"/>
      <c r="E388" s="7"/>
      <c r="F388" s="7"/>
      <c r="G388" s="7"/>
      <c r="H388" s="267"/>
      <c r="I388" s="7"/>
      <c r="J388" s="7"/>
      <c r="K388" s="7"/>
      <c r="L388" s="7"/>
      <c r="M388" s="7"/>
      <c r="N388" s="7"/>
      <c r="O388" s="7"/>
      <c r="P388" s="7"/>
      <c r="Q388" s="7"/>
      <c r="R388" s="268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</row>
    <row r="389" ht="18.0" customHeight="1">
      <c r="A389" s="7"/>
      <c r="B389" s="7"/>
      <c r="C389" s="7"/>
      <c r="D389" s="7"/>
      <c r="E389" s="7"/>
      <c r="F389" s="7"/>
      <c r="G389" s="7"/>
      <c r="H389" s="267"/>
      <c r="I389" s="7"/>
      <c r="J389" s="7"/>
      <c r="K389" s="7"/>
      <c r="L389" s="7"/>
      <c r="M389" s="7"/>
      <c r="N389" s="7"/>
      <c r="O389" s="7"/>
      <c r="P389" s="7"/>
      <c r="Q389" s="7"/>
      <c r="R389" s="268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</row>
    <row r="390" ht="18.0" customHeight="1">
      <c r="A390" s="7"/>
      <c r="B390" s="7"/>
      <c r="C390" s="7"/>
      <c r="D390" s="7"/>
      <c r="E390" s="7"/>
      <c r="F390" s="7"/>
      <c r="G390" s="7"/>
      <c r="H390" s="267"/>
      <c r="I390" s="7"/>
      <c r="J390" s="7"/>
      <c r="K390" s="7"/>
      <c r="L390" s="7"/>
      <c r="M390" s="7"/>
      <c r="N390" s="7"/>
      <c r="O390" s="7"/>
      <c r="P390" s="7"/>
      <c r="Q390" s="7"/>
      <c r="R390" s="268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</row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7:D17"/>
    <mergeCell ref="E18:H18"/>
    <mergeCell ref="C23:E23"/>
    <mergeCell ref="C146:E146"/>
    <mergeCell ref="C161:E161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44366.0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198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77</v>
      </c>
      <c r="C8" s="154">
        <v>16.5</v>
      </c>
      <c r="D8" s="155">
        <v>0.1057</v>
      </c>
      <c r="E8" s="156">
        <f>195.557*9.6</f>
        <v>1877.3472</v>
      </c>
      <c r="F8" s="156"/>
      <c r="G8" s="156"/>
      <c r="H8" s="157">
        <v>9.6</v>
      </c>
      <c r="I8" s="158">
        <f t="shared" ref="I8:I13" si="1">+D8*E8</f>
        <v>198.435599</v>
      </c>
      <c r="J8" s="159">
        <f t="shared" ref="J8:J13" si="2">E8-I8</f>
        <v>1678.911601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97</v>
      </c>
      <c r="C9" s="154">
        <v>24.5</v>
      </c>
      <c r="D9" s="155">
        <v>0.0575</v>
      </c>
      <c r="E9" s="156">
        <f>247.888*14.3</f>
        <v>3544.7984</v>
      </c>
      <c r="F9" s="156"/>
      <c r="G9" s="156"/>
      <c r="H9" s="157">
        <v>14.3</v>
      </c>
      <c r="I9" s="158">
        <f t="shared" si="1"/>
        <v>203.825908</v>
      </c>
      <c r="J9" s="159">
        <f t="shared" si="2"/>
        <v>3340.972492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56</v>
      </c>
      <c r="C10" s="154">
        <v>29.5</v>
      </c>
      <c r="D10" s="155">
        <v>0.0146</v>
      </c>
      <c r="E10" s="156">
        <f>257.19*11</f>
        <v>2829.09</v>
      </c>
      <c r="F10" s="156"/>
      <c r="G10" s="156"/>
      <c r="H10" s="157">
        <v>11.0</v>
      </c>
      <c r="I10" s="158">
        <f t="shared" si="1"/>
        <v>41.304714</v>
      </c>
      <c r="J10" s="159">
        <f t="shared" si="2"/>
        <v>2787.785286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55</v>
      </c>
      <c r="C11" s="154">
        <v>29.5</v>
      </c>
      <c r="D11" s="161">
        <v>0.0155</v>
      </c>
      <c r="E11" s="162">
        <f>257.02*53.9</f>
        <v>13853.378</v>
      </c>
      <c r="F11" s="162"/>
      <c r="G11" s="162"/>
      <c r="H11" s="157">
        <v>53.9</v>
      </c>
      <c r="I11" s="158">
        <f t="shared" si="1"/>
        <v>214.727359</v>
      </c>
      <c r="J11" s="159">
        <f t="shared" si="2"/>
        <v>13638.65064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199</v>
      </c>
      <c r="C12" s="160">
        <v>22.5</v>
      </c>
      <c r="D12" s="161">
        <v>0.0983</v>
      </c>
      <c r="E12" s="162">
        <f>215.983*1.1</f>
        <v>237.5813</v>
      </c>
      <c r="F12" s="162"/>
      <c r="G12" s="162"/>
      <c r="H12" s="157">
        <v>1.1</v>
      </c>
      <c r="I12" s="158">
        <f t="shared" si="1"/>
        <v>23.35424179</v>
      </c>
      <c r="J12" s="159">
        <f t="shared" si="2"/>
        <v>214.2270582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26.25" customHeight="1">
      <c r="A13" s="153">
        <v>6.0</v>
      </c>
      <c r="B13" s="160" t="s">
        <v>200</v>
      </c>
      <c r="C13" s="160">
        <v>24.5</v>
      </c>
      <c r="D13" s="161">
        <v>0.0647</v>
      </c>
      <c r="E13" s="162">
        <f>226.248*1.1</f>
        <v>248.8728</v>
      </c>
      <c r="F13" s="162"/>
      <c r="G13" s="162"/>
      <c r="H13" s="157">
        <v>1.1</v>
      </c>
      <c r="I13" s="158">
        <f t="shared" si="1"/>
        <v>16.10207016</v>
      </c>
      <c r="J13" s="159">
        <f t="shared" si="2"/>
        <v>232.7707298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63"/>
      <c r="B14" s="164"/>
      <c r="C14" s="165"/>
      <c r="D14" s="166"/>
      <c r="E14" s="167">
        <f>SUM(E8:E13)</f>
        <v>22591.0677</v>
      </c>
      <c r="F14" s="168"/>
      <c r="G14" s="168"/>
      <c r="H14" s="169"/>
      <c r="I14" s="170">
        <f t="shared" ref="I14:J14" si="3">SUM(I8:I13)</f>
        <v>697.749892</v>
      </c>
      <c r="J14" s="171">
        <f t="shared" si="3"/>
        <v>21893.31781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72"/>
      <c r="B15" s="144"/>
      <c r="C15" s="144"/>
      <c r="D15" s="173"/>
      <c r="E15" s="174"/>
      <c r="F15" s="151"/>
      <c r="G15" s="151"/>
      <c r="H15" s="147"/>
      <c r="I15" s="175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 t="s">
        <v>11</v>
      </c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40.5" customHeight="1">
      <c r="A20" s="176"/>
      <c r="B20" s="160" t="s">
        <v>12</v>
      </c>
      <c r="C20" s="177" t="s">
        <v>62</v>
      </c>
      <c r="D20" s="52"/>
      <c r="E20" s="53"/>
      <c r="F20" s="178"/>
      <c r="G20" s="178"/>
      <c r="H20" s="179" t="s">
        <v>14</v>
      </c>
      <c r="I20" s="160" t="s">
        <v>15</v>
      </c>
      <c r="J20" s="160" t="s">
        <v>16</v>
      </c>
      <c r="K20" s="139"/>
      <c r="L20" s="160" t="s">
        <v>17</v>
      </c>
      <c r="M20" s="160" t="s">
        <v>15</v>
      </c>
      <c r="N20" s="176" t="s">
        <v>18</v>
      </c>
      <c r="O20" s="139"/>
      <c r="P20" s="139"/>
      <c r="Q20" s="176" t="s">
        <v>129</v>
      </c>
      <c r="R20" s="180"/>
      <c r="S20" s="160" t="s">
        <v>17</v>
      </c>
      <c r="T20" s="160" t="s">
        <v>15</v>
      </c>
      <c r="U20" s="176" t="s">
        <v>18</v>
      </c>
      <c r="V20" s="139"/>
      <c r="W20" s="176" t="s">
        <v>19</v>
      </c>
      <c r="X20" s="176" t="s">
        <v>20</v>
      </c>
      <c r="Y20" s="176" t="s">
        <v>21</v>
      </c>
      <c r="Z20" s="176" t="s">
        <v>201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1.0</v>
      </c>
      <c r="B21" s="182" t="s">
        <v>80</v>
      </c>
      <c r="C21" s="183">
        <v>98.0</v>
      </c>
      <c r="D21" s="183">
        <v>203.0</v>
      </c>
      <c r="E21" s="183">
        <v>237.0</v>
      </c>
      <c r="F21" s="183">
        <f t="shared" ref="F21:F82" si="5">VALUE(IF(RIGHT(B21, 1)="%", RIGHT(B21, 3), 0))</f>
        <v>0.8</v>
      </c>
      <c r="G21" s="183">
        <f t="shared" ref="G21:G82" si="6">+R21*C21/100*D21/100*E21/100</f>
        <v>77.795487</v>
      </c>
      <c r="H21" s="184">
        <f t="shared" ref="H21:H82" si="7">IF(F21=0, G21, F21*G21)</f>
        <v>62.2363896</v>
      </c>
      <c r="I21" s="183">
        <v>1.0</v>
      </c>
      <c r="J21" s="185">
        <f t="shared" ref="J21:J82" si="8">+I21*H21</f>
        <v>62.2363896</v>
      </c>
      <c r="K21" s="139"/>
      <c r="L21" s="176">
        <f>D21*25.4/1000</f>
        <v>5.1562</v>
      </c>
      <c r="M21" s="160">
        <f>+I21</f>
        <v>1</v>
      </c>
      <c r="N21" s="160">
        <f>M21*L21</f>
        <v>5.1562</v>
      </c>
      <c r="O21" s="139"/>
      <c r="P21" s="139"/>
      <c r="Q21" s="176"/>
      <c r="R21" s="281">
        <f>+$C$8</f>
        <v>16.5</v>
      </c>
      <c r="S21" s="176">
        <f t="shared" ref="S21:S83" si="9">E21/100</f>
        <v>2.37</v>
      </c>
      <c r="T21" s="160">
        <f t="shared" ref="T21:T83" si="10">I21</f>
        <v>1</v>
      </c>
      <c r="U21" s="160">
        <f t="shared" ref="U21:U83" si="11">T21*S21</f>
        <v>2.37</v>
      </c>
      <c r="V21" s="282">
        <f t="shared" ref="V21:V32" si="12">$R$21*C21/100*D21/100*E21/100</f>
        <v>77.795487</v>
      </c>
      <c r="W21" s="176">
        <f t="shared" ref="W21:X21" si="4">C21/100</f>
        <v>0.98</v>
      </c>
      <c r="X21" s="176">
        <f t="shared" si="4"/>
        <v>2.03</v>
      </c>
      <c r="Y21" s="176">
        <f t="shared" ref="Y21:Y83" si="14">U21</f>
        <v>2.37</v>
      </c>
      <c r="Z21" s="283">
        <f t="shared" ref="Z21:Z83" si="15">W21*X21*Y21</f>
        <v>4.714878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2.0</v>
      </c>
      <c r="B22" s="191" t="s">
        <v>77</v>
      </c>
      <c r="C22" s="191">
        <v>106.0</v>
      </c>
      <c r="D22" s="191">
        <v>203.0</v>
      </c>
      <c r="E22" s="191">
        <v>237.0</v>
      </c>
      <c r="F22" s="191">
        <f t="shared" si="5"/>
        <v>0</v>
      </c>
      <c r="G22" s="191">
        <f t="shared" si="6"/>
        <v>0</v>
      </c>
      <c r="H22" s="192">
        <f t="shared" si="7"/>
        <v>0</v>
      </c>
      <c r="I22" s="191">
        <v>1.0</v>
      </c>
      <c r="J22" s="194">
        <f t="shared" si="8"/>
        <v>0</v>
      </c>
      <c r="K22" s="139"/>
      <c r="L22" s="176"/>
      <c r="M22" s="160"/>
      <c r="N22" s="160"/>
      <c r="O22" s="139"/>
      <c r="P22" s="139"/>
      <c r="Q22" s="176">
        <v>91.0</v>
      </c>
      <c r="R22" s="281"/>
      <c r="S22" s="176">
        <f t="shared" si="9"/>
        <v>2.37</v>
      </c>
      <c r="T22" s="160">
        <f t="shared" si="10"/>
        <v>1</v>
      </c>
      <c r="U22" s="160">
        <f t="shared" si="11"/>
        <v>2.37</v>
      </c>
      <c r="V22" s="282">
        <f t="shared" si="12"/>
        <v>84.146139</v>
      </c>
      <c r="W22" s="176">
        <f t="shared" ref="W22:X22" si="13">C22/100</f>
        <v>1.06</v>
      </c>
      <c r="X22" s="176">
        <f t="shared" si="13"/>
        <v>2.03</v>
      </c>
      <c r="Y22" s="176">
        <f t="shared" si="14"/>
        <v>2.37</v>
      </c>
      <c r="Z22" s="283">
        <f t="shared" si="15"/>
        <v>5.099766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3.0</v>
      </c>
      <c r="B23" s="191" t="s">
        <v>77</v>
      </c>
      <c r="C23" s="191">
        <v>100.0</v>
      </c>
      <c r="D23" s="191">
        <v>203.0</v>
      </c>
      <c r="E23" s="191">
        <v>135.0</v>
      </c>
      <c r="F23" s="191">
        <f t="shared" si="5"/>
        <v>0</v>
      </c>
      <c r="G23" s="191">
        <f t="shared" si="6"/>
        <v>0</v>
      </c>
      <c r="H23" s="192">
        <f t="shared" si="7"/>
        <v>0</v>
      </c>
      <c r="I23" s="191">
        <v>1.0</v>
      </c>
      <c r="J23" s="194">
        <f t="shared" si="8"/>
        <v>0</v>
      </c>
      <c r="K23" s="139"/>
      <c r="L23" s="176">
        <f t="shared" ref="L23:L45" si="17">D23*25.4/1000</f>
        <v>5.1562</v>
      </c>
      <c r="M23" s="160">
        <f t="shared" ref="M23:M82" si="18">+I23</f>
        <v>1</v>
      </c>
      <c r="N23" s="160">
        <f t="shared" ref="N23:N45" si="19">M23*L23</f>
        <v>5.1562</v>
      </c>
      <c r="O23" s="139"/>
      <c r="P23" s="139"/>
      <c r="Q23" s="176"/>
      <c r="R23" s="281"/>
      <c r="S23" s="176">
        <f t="shared" si="9"/>
        <v>1.35</v>
      </c>
      <c r="T23" s="160">
        <f t="shared" si="10"/>
        <v>1</v>
      </c>
      <c r="U23" s="160">
        <f t="shared" si="11"/>
        <v>1.35</v>
      </c>
      <c r="V23" s="282">
        <f t="shared" si="12"/>
        <v>45.21825</v>
      </c>
      <c r="W23" s="176">
        <f t="shared" ref="W23:X23" si="16">C23/100</f>
        <v>1</v>
      </c>
      <c r="X23" s="176">
        <f t="shared" si="16"/>
        <v>2.03</v>
      </c>
      <c r="Y23" s="176">
        <f t="shared" si="14"/>
        <v>1.35</v>
      </c>
      <c r="Z23" s="283">
        <f t="shared" si="15"/>
        <v>2.7405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4.0</v>
      </c>
      <c r="B24" s="191" t="s">
        <v>77</v>
      </c>
      <c r="C24" s="191">
        <v>101.0</v>
      </c>
      <c r="D24" s="191">
        <v>203.0</v>
      </c>
      <c r="E24" s="191">
        <v>237.0</v>
      </c>
      <c r="F24" s="191">
        <f t="shared" si="5"/>
        <v>0</v>
      </c>
      <c r="G24" s="191">
        <f t="shared" si="6"/>
        <v>0</v>
      </c>
      <c r="H24" s="192">
        <f t="shared" si="7"/>
        <v>0</v>
      </c>
      <c r="I24" s="191">
        <v>1.0</v>
      </c>
      <c r="J24" s="194">
        <f t="shared" si="8"/>
        <v>0</v>
      </c>
      <c r="K24" s="139"/>
      <c r="L24" s="176">
        <f t="shared" si="17"/>
        <v>5.1562</v>
      </c>
      <c r="M24" s="160">
        <f t="shared" si="18"/>
        <v>1</v>
      </c>
      <c r="N24" s="160">
        <f t="shared" si="19"/>
        <v>5.1562</v>
      </c>
      <c r="O24" s="139"/>
      <c r="P24" s="139"/>
      <c r="Q24" s="176"/>
      <c r="R24" s="281"/>
      <c r="S24" s="176">
        <f t="shared" si="9"/>
        <v>2.37</v>
      </c>
      <c r="T24" s="160">
        <f t="shared" si="10"/>
        <v>1</v>
      </c>
      <c r="U24" s="160">
        <f t="shared" si="11"/>
        <v>2.37</v>
      </c>
      <c r="V24" s="282">
        <f t="shared" si="12"/>
        <v>80.1769815</v>
      </c>
      <c r="W24" s="176">
        <f t="shared" ref="W24:X24" si="20">C24/100</f>
        <v>1.01</v>
      </c>
      <c r="X24" s="176">
        <f t="shared" si="20"/>
        <v>2.03</v>
      </c>
      <c r="Y24" s="176">
        <f t="shared" si="14"/>
        <v>2.37</v>
      </c>
      <c r="Z24" s="283">
        <f t="shared" si="15"/>
        <v>4.859211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5.0</v>
      </c>
      <c r="B25" s="191" t="s">
        <v>77</v>
      </c>
      <c r="C25" s="191">
        <v>100.0</v>
      </c>
      <c r="D25" s="191">
        <v>203.0</v>
      </c>
      <c r="E25" s="191">
        <v>237.0</v>
      </c>
      <c r="F25" s="191">
        <f t="shared" si="5"/>
        <v>0</v>
      </c>
      <c r="G25" s="191">
        <f t="shared" si="6"/>
        <v>0</v>
      </c>
      <c r="H25" s="192">
        <f t="shared" si="7"/>
        <v>0</v>
      </c>
      <c r="I25" s="191">
        <v>3.0</v>
      </c>
      <c r="J25" s="194">
        <f t="shared" si="8"/>
        <v>0</v>
      </c>
      <c r="K25" s="139"/>
      <c r="L25" s="176">
        <f t="shared" si="17"/>
        <v>5.1562</v>
      </c>
      <c r="M25" s="160">
        <f t="shared" si="18"/>
        <v>3</v>
      </c>
      <c r="N25" s="160">
        <f t="shared" si="19"/>
        <v>15.4686</v>
      </c>
      <c r="O25" s="139"/>
      <c r="P25" s="139"/>
      <c r="Q25" s="176"/>
      <c r="R25" s="281"/>
      <c r="S25" s="176">
        <f t="shared" si="9"/>
        <v>2.37</v>
      </c>
      <c r="T25" s="160">
        <f t="shared" si="10"/>
        <v>3</v>
      </c>
      <c r="U25" s="160">
        <f t="shared" si="11"/>
        <v>7.11</v>
      </c>
      <c r="V25" s="282">
        <f t="shared" si="12"/>
        <v>79.38315</v>
      </c>
      <c r="W25" s="176">
        <f t="shared" ref="W25:X25" si="21">C25/100</f>
        <v>1</v>
      </c>
      <c r="X25" s="176">
        <f t="shared" si="21"/>
        <v>2.03</v>
      </c>
      <c r="Y25" s="176">
        <f t="shared" si="14"/>
        <v>7.11</v>
      </c>
      <c r="Z25" s="283">
        <f t="shared" si="15"/>
        <v>14.4333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6.0</v>
      </c>
      <c r="B26" s="191" t="s">
        <v>77</v>
      </c>
      <c r="C26" s="191">
        <v>102.0</v>
      </c>
      <c r="D26" s="191">
        <v>203.0</v>
      </c>
      <c r="E26" s="191">
        <v>235.0</v>
      </c>
      <c r="F26" s="191">
        <f t="shared" si="5"/>
        <v>0</v>
      </c>
      <c r="G26" s="191">
        <f t="shared" si="6"/>
        <v>0</v>
      </c>
      <c r="H26" s="192">
        <f t="shared" si="7"/>
        <v>0</v>
      </c>
      <c r="I26" s="191">
        <v>1.0</v>
      </c>
      <c r="J26" s="194">
        <f t="shared" si="8"/>
        <v>0</v>
      </c>
      <c r="K26" s="139"/>
      <c r="L26" s="176">
        <f t="shared" si="17"/>
        <v>5.1562</v>
      </c>
      <c r="M26" s="160">
        <f t="shared" si="18"/>
        <v>1</v>
      </c>
      <c r="N26" s="160">
        <f t="shared" si="19"/>
        <v>5.1562</v>
      </c>
      <c r="O26" s="139"/>
      <c r="P26" s="139"/>
      <c r="Q26" s="176"/>
      <c r="R26" s="281"/>
      <c r="S26" s="176">
        <f t="shared" si="9"/>
        <v>2.35</v>
      </c>
      <c r="T26" s="160">
        <f t="shared" si="10"/>
        <v>1</v>
      </c>
      <c r="U26" s="160">
        <f t="shared" si="11"/>
        <v>2.35</v>
      </c>
      <c r="V26" s="282">
        <f t="shared" si="12"/>
        <v>80.287515</v>
      </c>
      <c r="W26" s="176">
        <f t="shared" ref="W26:X26" si="22">C26/100</f>
        <v>1.02</v>
      </c>
      <c r="X26" s="176">
        <f t="shared" si="22"/>
        <v>2.03</v>
      </c>
      <c r="Y26" s="176">
        <f t="shared" si="14"/>
        <v>2.35</v>
      </c>
      <c r="Z26" s="283">
        <f t="shared" si="15"/>
        <v>4.86591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7.0</v>
      </c>
      <c r="B27" s="191" t="s">
        <v>77</v>
      </c>
      <c r="C27" s="191">
        <v>98.0</v>
      </c>
      <c r="D27" s="191">
        <v>203.0</v>
      </c>
      <c r="E27" s="191">
        <v>237.0</v>
      </c>
      <c r="F27" s="191">
        <f t="shared" si="5"/>
        <v>0</v>
      </c>
      <c r="G27" s="191">
        <f t="shared" si="6"/>
        <v>0</v>
      </c>
      <c r="H27" s="192">
        <f t="shared" si="7"/>
        <v>0</v>
      </c>
      <c r="I27" s="191">
        <v>2.0</v>
      </c>
      <c r="J27" s="194">
        <f t="shared" si="8"/>
        <v>0</v>
      </c>
      <c r="K27" s="139"/>
      <c r="L27" s="176">
        <f t="shared" si="17"/>
        <v>5.1562</v>
      </c>
      <c r="M27" s="160">
        <f t="shared" si="18"/>
        <v>2</v>
      </c>
      <c r="N27" s="160">
        <f t="shared" si="19"/>
        <v>10.3124</v>
      </c>
      <c r="O27" s="139"/>
      <c r="P27" s="139"/>
      <c r="Q27" s="176"/>
      <c r="R27" s="281"/>
      <c r="S27" s="176">
        <f t="shared" si="9"/>
        <v>2.37</v>
      </c>
      <c r="T27" s="160">
        <f t="shared" si="10"/>
        <v>2</v>
      </c>
      <c r="U27" s="160">
        <f t="shared" si="11"/>
        <v>4.74</v>
      </c>
      <c r="V27" s="282">
        <f t="shared" si="12"/>
        <v>77.795487</v>
      </c>
      <c r="W27" s="176">
        <f t="shared" ref="W27:X27" si="23">C27/100</f>
        <v>0.98</v>
      </c>
      <c r="X27" s="176">
        <f t="shared" si="23"/>
        <v>2.03</v>
      </c>
      <c r="Y27" s="176">
        <f t="shared" si="14"/>
        <v>4.74</v>
      </c>
      <c r="Z27" s="283">
        <f t="shared" si="15"/>
        <v>9.429756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8.0</v>
      </c>
      <c r="B28" s="191" t="s">
        <v>77</v>
      </c>
      <c r="C28" s="191">
        <v>99.0</v>
      </c>
      <c r="D28" s="191">
        <v>203.0</v>
      </c>
      <c r="E28" s="191">
        <v>237.0</v>
      </c>
      <c r="F28" s="191">
        <f t="shared" si="5"/>
        <v>0</v>
      </c>
      <c r="G28" s="191">
        <f t="shared" si="6"/>
        <v>0</v>
      </c>
      <c r="H28" s="192">
        <f t="shared" si="7"/>
        <v>0</v>
      </c>
      <c r="I28" s="191">
        <v>1.0</v>
      </c>
      <c r="J28" s="194">
        <f t="shared" si="8"/>
        <v>0</v>
      </c>
      <c r="K28" s="139"/>
      <c r="L28" s="176">
        <f t="shared" si="17"/>
        <v>5.1562</v>
      </c>
      <c r="M28" s="160">
        <f t="shared" si="18"/>
        <v>1</v>
      </c>
      <c r="N28" s="160">
        <f t="shared" si="19"/>
        <v>5.1562</v>
      </c>
      <c r="O28" s="139"/>
      <c r="P28" s="139"/>
      <c r="Q28" s="176"/>
      <c r="R28" s="281"/>
      <c r="S28" s="176">
        <f t="shared" si="9"/>
        <v>2.37</v>
      </c>
      <c r="T28" s="160">
        <f t="shared" si="10"/>
        <v>1</v>
      </c>
      <c r="U28" s="160">
        <f t="shared" si="11"/>
        <v>2.37</v>
      </c>
      <c r="V28" s="282">
        <f t="shared" si="12"/>
        <v>78.5893185</v>
      </c>
      <c r="W28" s="176">
        <f t="shared" ref="W28:X28" si="24">C28/100</f>
        <v>0.99</v>
      </c>
      <c r="X28" s="176">
        <f t="shared" si="24"/>
        <v>2.03</v>
      </c>
      <c r="Y28" s="176">
        <f t="shared" si="14"/>
        <v>2.37</v>
      </c>
      <c r="Z28" s="283">
        <f t="shared" si="15"/>
        <v>4.762989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9.0</v>
      </c>
      <c r="B29" s="191" t="s">
        <v>77</v>
      </c>
      <c r="C29" s="191">
        <v>100.0</v>
      </c>
      <c r="D29" s="191">
        <v>203.0</v>
      </c>
      <c r="E29" s="191">
        <v>236.0</v>
      </c>
      <c r="F29" s="191">
        <f t="shared" si="5"/>
        <v>0</v>
      </c>
      <c r="G29" s="191">
        <f t="shared" si="6"/>
        <v>0</v>
      </c>
      <c r="H29" s="192">
        <f t="shared" si="7"/>
        <v>0</v>
      </c>
      <c r="I29" s="191">
        <v>1.0</v>
      </c>
      <c r="J29" s="194">
        <f t="shared" si="8"/>
        <v>0</v>
      </c>
      <c r="K29" s="139"/>
      <c r="L29" s="176">
        <f t="shared" si="17"/>
        <v>5.1562</v>
      </c>
      <c r="M29" s="160">
        <f t="shared" si="18"/>
        <v>1</v>
      </c>
      <c r="N29" s="160">
        <f t="shared" si="19"/>
        <v>5.1562</v>
      </c>
      <c r="O29" s="139"/>
      <c r="P29" s="139"/>
      <c r="Q29" s="176">
        <v>81.0</v>
      </c>
      <c r="R29" s="281"/>
      <c r="S29" s="176">
        <f t="shared" si="9"/>
        <v>2.36</v>
      </c>
      <c r="T29" s="160">
        <f t="shared" si="10"/>
        <v>1</v>
      </c>
      <c r="U29" s="160">
        <f t="shared" si="11"/>
        <v>2.36</v>
      </c>
      <c r="V29" s="282">
        <f t="shared" si="12"/>
        <v>79.0482</v>
      </c>
      <c r="W29" s="176">
        <f t="shared" ref="W29:X29" si="25">C29/100</f>
        <v>1</v>
      </c>
      <c r="X29" s="176">
        <f t="shared" si="25"/>
        <v>2.03</v>
      </c>
      <c r="Y29" s="176">
        <f t="shared" si="14"/>
        <v>2.36</v>
      </c>
      <c r="Z29" s="283">
        <f t="shared" si="15"/>
        <v>4.7908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10.0</v>
      </c>
      <c r="B30" s="191" t="s">
        <v>77</v>
      </c>
      <c r="C30" s="191">
        <v>100.0</v>
      </c>
      <c r="D30" s="191">
        <v>203.0</v>
      </c>
      <c r="E30" s="191">
        <v>236.0</v>
      </c>
      <c r="F30" s="191">
        <f t="shared" si="5"/>
        <v>0</v>
      </c>
      <c r="G30" s="191">
        <f t="shared" si="6"/>
        <v>0</v>
      </c>
      <c r="H30" s="192">
        <f t="shared" si="7"/>
        <v>0</v>
      </c>
      <c r="I30" s="191">
        <v>1.0</v>
      </c>
      <c r="J30" s="194">
        <f t="shared" si="8"/>
        <v>0</v>
      </c>
      <c r="K30" s="139"/>
      <c r="L30" s="176">
        <f t="shared" si="17"/>
        <v>5.1562</v>
      </c>
      <c r="M30" s="160">
        <f t="shared" si="18"/>
        <v>1</v>
      </c>
      <c r="N30" s="160">
        <f t="shared" si="19"/>
        <v>5.1562</v>
      </c>
      <c r="O30" s="139"/>
      <c r="P30" s="139"/>
      <c r="Q30" s="176"/>
      <c r="R30" s="281"/>
      <c r="S30" s="176">
        <f t="shared" si="9"/>
        <v>2.36</v>
      </c>
      <c r="T30" s="160">
        <f t="shared" si="10"/>
        <v>1</v>
      </c>
      <c r="U30" s="160">
        <f t="shared" si="11"/>
        <v>2.36</v>
      </c>
      <c r="V30" s="282">
        <f t="shared" si="12"/>
        <v>79.0482</v>
      </c>
      <c r="W30" s="176">
        <f t="shared" ref="W30:X30" si="26">C30/100</f>
        <v>1</v>
      </c>
      <c r="X30" s="176">
        <f t="shared" si="26"/>
        <v>2.03</v>
      </c>
      <c r="Y30" s="176">
        <f t="shared" si="14"/>
        <v>2.36</v>
      </c>
      <c r="Z30" s="283">
        <f t="shared" si="15"/>
        <v>4.7908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11.0</v>
      </c>
      <c r="B31" s="191" t="s">
        <v>77</v>
      </c>
      <c r="C31" s="191">
        <v>102.0</v>
      </c>
      <c r="D31" s="191">
        <v>203.0</v>
      </c>
      <c r="E31" s="191">
        <v>237.0</v>
      </c>
      <c r="F31" s="191">
        <f t="shared" si="5"/>
        <v>0</v>
      </c>
      <c r="G31" s="191">
        <f t="shared" si="6"/>
        <v>0</v>
      </c>
      <c r="H31" s="192">
        <f t="shared" si="7"/>
        <v>0</v>
      </c>
      <c r="I31" s="191">
        <v>4.0</v>
      </c>
      <c r="J31" s="194">
        <f t="shared" si="8"/>
        <v>0</v>
      </c>
      <c r="K31" s="139"/>
      <c r="L31" s="176">
        <f t="shared" si="17"/>
        <v>5.1562</v>
      </c>
      <c r="M31" s="160">
        <f t="shared" si="18"/>
        <v>4</v>
      </c>
      <c r="N31" s="160">
        <f t="shared" si="19"/>
        <v>20.6248</v>
      </c>
      <c r="O31" s="139"/>
      <c r="P31" s="139"/>
      <c r="Q31" s="176"/>
      <c r="R31" s="281"/>
      <c r="S31" s="176">
        <f t="shared" si="9"/>
        <v>2.37</v>
      </c>
      <c r="T31" s="160">
        <f t="shared" si="10"/>
        <v>4</v>
      </c>
      <c r="U31" s="160">
        <f t="shared" si="11"/>
        <v>9.48</v>
      </c>
      <c r="V31" s="282">
        <f t="shared" si="12"/>
        <v>80.970813</v>
      </c>
      <c r="W31" s="176">
        <f t="shared" ref="W31:X31" si="27">C31/100</f>
        <v>1.02</v>
      </c>
      <c r="X31" s="176">
        <f t="shared" si="27"/>
        <v>2.03</v>
      </c>
      <c r="Y31" s="176">
        <f t="shared" si="14"/>
        <v>9.48</v>
      </c>
      <c r="Z31" s="283">
        <f t="shared" si="15"/>
        <v>19.629288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12.0</v>
      </c>
      <c r="B32" s="191" t="s">
        <v>77</v>
      </c>
      <c r="C32" s="191">
        <v>98.0</v>
      </c>
      <c r="D32" s="191">
        <v>203.0</v>
      </c>
      <c r="E32" s="191">
        <v>236.0</v>
      </c>
      <c r="F32" s="191">
        <f t="shared" si="5"/>
        <v>0</v>
      </c>
      <c r="G32" s="191">
        <f t="shared" si="6"/>
        <v>0</v>
      </c>
      <c r="H32" s="192">
        <f t="shared" si="7"/>
        <v>0</v>
      </c>
      <c r="I32" s="191">
        <v>2.0</v>
      </c>
      <c r="J32" s="194">
        <f t="shared" si="8"/>
        <v>0</v>
      </c>
      <c r="K32" s="139"/>
      <c r="L32" s="176">
        <f t="shared" si="17"/>
        <v>5.1562</v>
      </c>
      <c r="M32" s="160">
        <f t="shared" si="18"/>
        <v>2</v>
      </c>
      <c r="N32" s="160">
        <f t="shared" si="19"/>
        <v>10.3124</v>
      </c>
      <c r="O32" s="139"/>
      <c r="P32" s="139"/>
      <c r="Q32" s="176"/>
      <c r="R32" s="281"/>
      <c r="S32" s="176">
        <f t="shared" si="9"/>
        <v>2.36</v>
      </c>
      <c r="T32" s="160">
        <f t="shared" si="10"/>
        <v>2</v>
      </c>
      <c r="U32" s="160">
        <f t="shared" si="11"/>
        <v>4.72</v>
      </c>
      <c r="V32" s="282">
        <f t="shared" si="12"/>
        <v>77.467236</v>
      </c>
      <c r="W32" s="176">
        <f t="shared" ref="W32:X32" si="28">C32/100</f>
        <v>0.98</v>
      </c>
      <c r="X32" s="176">
        <f t="shared" si="28"/>
        <v>2.03</v>
      </c>
      <c r="Y32" s="176">
        <f t="shared" si="14"/>
        <v>4.72</v>
      </c>
      <c r="Z32" s="283">
        <f t="shared" si="15"/>
        <v>9.389968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13.0</v>
      </c>
      <c r="B33" s="182" t="s">
        <v>107</v>
      </c>
      <c r="C33" s="183">
        <v>90.0</v>
      </c>
      <c r="D33" s="183">
        <v>190.0</v>
      </c>
      <c r="E33" s="183">
        <v>190.0</v>
      </c>
      <c r="F33" s="183">
        <f t="shared" si="5"/>
        <v>0.8</v>
      </c>
      <c r="G33" s="183">
        <f t="shared" si="6"/>
        <v>79.6005</v>
      </c>
      <c r="H33" s="184">
        <f t="shared" si="7"/>
        <v>63.6804</v>
      </c>
      <c r="I33" s="183">
        <v>1.0</v>
      </c>
      <c r="J33" s="185">
        <f t="shared" si="8"/>
        <v>63.6804</v>
      </c>
      <c r="K33" s="139"/>
      <c r="L33" s="176">
        <f t="shared" si="17"/>
        <v>4.826</v>
      </c>
      <c r="M33" s="160">
        <f t="shared" si="18"/>
        <v>1</v>
      </c>
      <c r="N33" s="160">
        <f t="shared" si="19"/>
        <v>4.826</v>
      </c>
      <c r="O33" s="139"/>
      <c r="P33" s="139"/>
      <c r="Q33" s="176"/>
      <c r="R33" s="281">
        <f>+C9</f>
        <v>24.5</v>
      </c>
      <c r="S33" s="176">
        <f t="shared" si="9"/>
        <v>1.9</v>
      </c>
      <c r="T33" s="160">
        <f t="shared" si="10"/>
        <v>1</v>
      </c>
      <c r="U33" s="160">
        <f t="shared" si="11"/>
        <v>1.9</v>
      </c>
      <c r="V33" s="282">
        <f t="shared" ref="V33:V52" si="30">$R$33*C33/100*D33/100*E33/100</f>
        <v>79.6005</v>
      </c>
      <c r="W33" s="176">
        <f t="shared" ref="W33:X33" si="29">C33/100</f>
        <v>0.9</v>
      </c>
      <c r="X33" s="176">
        <f t="shared" si="29"/>
        <v>1.9</v>
      </c>
      <c r="Y33" s="176">
        <f t="shared" si="14"/>
        <v>1.9</v>
      </c>
      <c r="Z33" s="283">
        <f t="shared" si="15"/>
        <v>3.249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14.0</v>
      </c>
      <c r="B34" s="191" t="s">
        <v>97</v>
      </c>
      <c r="C34" s="191">
        <v>96.0</v>
      </c>
      <c r="D34" s="191">
        <v>190.0</v>
      </c>
      <c r="E34" s="191">
        <v>158.0</v>
      </c>
      <c r="F34" s="191">
        <f t="shared" si="5"/>
        <v>0</v>
      </c>
      <c r="G34" s="191">
        <f t="shared" si="6"/>
        <v>0</v>
      </c>
      <c r="H34" s="192">
        <f t="shared" si="7"/>
        <v>0</v>
      </c>
      <c r="I34" s="191">
        <v>1.0</v>
      </c>
      <c r="J34" s="194">
        <f t="shared" si="8"/>
        <v>0</v>
      </c>
      <c r="K34" s="139"/>
      <c r="L34" s="176">
        <f t="shared" si="17"/>
        <v>4.826</v>
      </c>
      <c r="M34" s="160">
        <f t="shared" si="18"/>
        <v>1</v>
      </c>
      <c r="N34" s="160">
        <f t="shared" si="19"/>
        <v>4.826</v>
      </c>
      <c r="O34" s="139"/>
      <c r="P34" s="139"/>
      <c r="Q34" s="176"/>
      <c r="R34" s="281"/>
      <c r="S34" s="176">
        <f t="shared" si="9"/>
        <v>1.58</v>
      </c>
      <c r="T34" s="160">
        <f t="shared" si="10"/>
        <v>1</v>
      </c>
      <c r="U34" s="160">
        <f t="shared" si="11"/>
        <v>1.58</v>
      </c>
      <c r="V34" s="282">
        <f t="shared" si="30"/>
        <v>70.60704</v>
      </c>
      <c r="W34" s="176">
        <f t="shared" ref="W34:X34" si="31">C34/100</f>
        <v>0.96</v>
      </c>
      <c r="X34" s="176">
        <f t="shared" si="31"/>
        <v>1.9</v>
      </c>
      <c r="Y34" s="176">
        <f t="shared" si="14"/>
        <v>1.58</v>
      </c>
      <c r="Z34" s="283">
        <f t="shared" si="15"/>
        <v>2.88192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15.0</v>
      </c>
      <c r="B35" s="191" t="s">
        <v>97</v>
      </c>
      <c r="C35" s="191">
        <v>100.0</v>
      </c>
      <c r="D35" s="191">
        <v>190.0</v>
      </c>
      <c r="E35" s="191">
        <v>179.0</v>
      </c>
      <c r="F35" s="191">
        <f t="shared" si="5"/>
        <v>0</v>
      </c>
      <c r="G35" s="191">
        <f t="shared" si="6"/>
        <v>0</v>
      </c>
      <c r="H35" s="192">
        <f t="shared" si="7"/>
        <v>0</v>
      </c>
      <c r="I35" s="191">
        <v>1.0</v>
      </c>
      <c r="J35" s="194">
        <f t="shared" si="8"/>
        <v>0</v>
      </c>
      <c r="K35" s="139"/>
      <c r="L35" s="176">
        <f t="shared" si="17"/>
        <v>4.826</v>
      </c>
      <c r="M35" s="160">
        <f t="shared" si="18"/>
        <v>1</v>
      </c>
      <c r="N35" s="160">
        <f t="shared" si="19"/>
        <v>4.826</v>
      </c>
      <c r="O35" s="139"/>
      <c r="P35" s="139"/>
      <c r="Q35" s="176"/>
      <c r="R35" s="281"/>
      <c r="S35" s="176">
        <f t="shared" si="9"/>
        <v>1.79</v>
      </c>
      <c r="T35" s="160">
        <f t="shared" si="10"/>
        <v>1</v>
      </c>
      <c r="U35" s="160">
        <f t="shared" si="11"/>
        <v>1.79</v>
      </c>
      <c r="V35" s="282">
        <f t="shared" si="30"/>
        <v>83.3245</v>
      </c>
      <c r="W35" s="176">
        <f t="shared" ref="W35:X35" si="32">C35/100</f>
        <v>1</v>
      </c>
      <c r="X35" s="176">
        <f t="shared" si="32"/>
        <v>1.9</v>
      </c>
      <c r="Y35" s="176">
        <f t="shared" si="14"/>
        <v>1.79</v>
      </c>
      <c r="Z35" s="283">
        <f t="shared" si="15"/>
        <v>3.401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16.0</v>
      </c>
      <c r="B36" s="191" t="s">
        <v>97</v>
      </c>
      <c r="C36" s="191">
        <v>100.0</v>
      </c>
      <c r="D36" s="191">
        <v>190.0</v>
      </c>
      <c r="E36" s="191">
        <v>180.0</v>
      </c>
      <c r="F36" s="191">
        <f t="shared" si="5"/>
        <v>0</v>
      </c>
      <c r="G36" s="191">
        <f t="shared" si="6"/>
        <v>0</v>
      </c>
      <c r="H36" s="192">
        <f t="shared" si="7"/>
        <v>0</v>
      </c>
      <c r="I36" s="191">
        <v>2.0</v>
      </c>
      <c r="J36" s="194">
        <f t="shared" si="8"/>
        <v>0</v>
      </c>
      <c r="K36" s="139"/>
      <c r="L36" s="176">
        <f t="shared" si="17"/>
        <v>4.826</v>
      </c>
      <c r="M36" s="160">
        <f t="shared" si="18"/>
        <v>2</v>
      </c>
      <c r="N36" s="160">
        <f t="shared" si="19"/>
        <v>9.652</v>
      </c>
      <c r="O36" s="139"/>
      <c r="P36" s="139"/>
      <c r="Q36" s="176"/>
      <c r="R36" s="281"/>
      <c r="S36" s="176">
        <f t="shared" si="9"/>
        <v>1.8</v>
      </c>
      <c r="T36" s="160">
        <f t="shared" si="10"/>
        <v>2</v>
      </c>
      <c r="U36" s="160">
        <f t="shared" si="11"/>
        <v>3.6</v>
      </c>
      <c r="V36" s="282">
        <f t="shared" si="30"/>
        <v>83.79</v>
      </c>
      <c r="W36" s="176">
        <f t="shared" ref="W36:X36" si="33">C36/100</f>
        <v>1</v>
      </c>
      <c r="X36" s="176">
        <f t="shared" si="33"/>
        <v>1.9</v>
      </c>
      <c r="Y36" s="176">
        <f t="shared" si="14"/>
        <v>3.6</v>
      </c>
      <c r="Z36" s="283">
        <f t="shared" si="15"/>
        <v>6.84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17.0</v>
      </c>
      <c r="B37" s="191" t="s">
        <v>97</v>
      </c>
      <c r="C37" s="191">
        <v>96.0</v>
      </c>
      <c r="D37" s="191">
        <v>190.0</v>
      </c>
      <c r="E37" s="191">
        <v>160.0</v>
      </c>
      <c r="F37" s="191">
        <f t="shared" si="5"/>
        <v>0</v>
      </c>
      <c r="G37" s="191">
        <f t="shared" si="6"/>
        <v>0</v>
      </c>
      <c r="H37" s="192">
        <f t="shared" si="7"/>
        <v>0</v>
      </c>
      <c r="I37" s="191">
        <v>2.0</v>
      </c>
      <c r="J37" s="194">
        <f t="shared" si="8"/>
        <v>0</v>
      </c>
      <c r="K37" s="139"/>
      <c r="L37" s="176">
        <f t="shared" si="17"/>
        <v>4.826</v>
      </c>
      <c r="M37" s="160">
        <f t="shared" si="18"/>
        <v>2</v>
      </c>
      <c r="N37" s="160">
        <f t="shared" si="19"/>
        <v>9.652</v>
      </c>
      <c r="O37" s="139"/>
      <c r="P37" s="139"/>
      <c r="Q37" s="176"/>
      <c r="R37" s="281"/>
      <c r="S37" s="176">
        <f t="shared" si="9"/>
        <v>1.6</v>
      </c>
      <c r="T37" s="160">
        <f t="shared" si="10"/>
        <v>2</v>
      </c>
      <c r="U37" s="160">
        <f t="shared" si="11"/>
        <v>3.2</v>
      </c>
      <c r="V37" s="282">
        <f t="shared" si="30"/>
        <v>71.5008</v>
      </c>
      <c r="W37" s="176">
        <f t="shared" ref="W37:X37" si="34">C37/100</f>
        <v>0.96</v>
      </c>
      <c r="X37" s="176">
        <f t="shared" si="34"/>
        <v>1.9</v>
      </c>
      <c r="Y37" s="176">
        <f t="shared" si="14"/>
        <v>3.2</v>
      </c>
      <c r="Z37" s="283">
        <f t="shared" si="15"/>
        <v>5.8368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18.0</v>
      </c>
      <c r="B38" s="191" t="s">
        <v>97</v>
      </c>
      <c r="C38" s="191">
        <v>99.0</v>
      </c>
      <c r="D38" s="191">
        <v>190.0</v>
      </c>
      <c r="E38" s="191">
        <v>180.0</v>
      </c>
      <c r="F38" s="191">
        <f t="shared" si="5"/>
        <v>0</v>
      </c>
      <c r="G38" s="191">
        <f t="shared" si="6"/>
        <v>0</v>
      </c>
      <c r="H38" s="192">
        <f t="shared" si="7"/>
        <v>0</v>
      </c>
      <c r="I38" s="191">
        <v>1.0</v>
      </c>
      <c r="J38" s="194">
        <f t="shared" si="8"/>
        <v>0</v>
      </c>
      <c r="K38" s="139"/>
      <c r="L38" s="176">
        <f t="shared" si="17"/>
        <v>4.826</v>
      </c>
      <c r="M38" s="160">
        <f t="shared" si="18"/>
        <v>1</v>
      </c>
      <c r="N38" s="160">
        <f t="shared" si="19"/>
        <v>4.826</v>
      </c>
      <c r="O38" s="139"/>
      <c r="P38" s="139"/>
      <c r="Q38" s="176">
        <v>87.0</v>
      </c>
      <c r="R38" s="281"/>
      <c r="S38" s="176">
        <f t="shared" si="9"/>
        <v>1.8</v>
      </c>
      <c r="T38" s="160">
        <f t="shared" si="10"/>
        <v>1</v>
      </c>
      <c r="U38" s="160">
        <f t="shared" si="11"/>
        <v>1.8</v>
      </c>
      <c r="V38" s="282">
        <f t="shared" si="30"/>
        <v>82.9521</v>
      </c>
      <c r="W38" s="176">
        <f t="shared" ref="W38:X38" si="35">C38/100</f>
        <v>0.99</v>
      </c>
      <c r="X38" s="176">
        <f t="shared" si="35"/>
        <v>1.9</v>
      </c>
      <c r="Y38" s="176">
        <f t="shared" si="14"/>
        <v>1.8</v>
      </c>
      <c r="Z38" s="283">
        <f t="shared" si="15"/>
        <v>3.3858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19.0</v>
      </c>
      <c r="B39" s="191" t="s">
        <v>97</v>
      </c>
      <c r="C39" s="191">
        <v>99.0</v>
      </c>
      <c r="D39" s="191">
        <v>190.0</v>
      </c>
      <c r="E39" s="191">
        <v>180.0</v>
      </c>
      <c r="F39" s="191">
        <f t="shared" si="5"/>
        <v>0</v>
      </c>
      <c r="G39" s="191">
        <f t="shared" si="6"/>
        <v>0</v>
      </c>
      <c r="H39" s="192">
        <f t="shared" si="7"/>
        <v>0</v>
      </c>
      <c r="I39" s="191">
        <v>1.0</v>
      </c>
      <c r="J39" s="194">
        <f t="shared" si="8"/>
        <v>0</v>
      </c>
      <c r="K39" s="139"/>
      <c r="L39" s="176">
        <f t="shared" si="17"/>
        <v>4.826</v>
      </c>
      <c r="M39" s="160">
        <f t="shared" si="18"/>
        <v>1</v>
      </c>
      <c r="N39" s="160">
        <f t="shared" si="19"/>
        <v>4.826</v>
      </c>
      <c r="O39" s="139"/>
      <c r="P39" s="139"/>
      <c r="Q39" s="176">
        <v>87.0</v>
      </c>
      <c r="R39" s="281"/>
      <c r="S39" s="176">
        <f t="shared" si="9"/>
        <v>1.8</v>
      </c>
      <c r="T39" s="160">
        <f t="shared" si="10"/>
        <v>1</v>
      </c>
      <c r="U39" s="160">
        <f t="shared" si="11"/>
        <v>1.8</v>
      </c>
      <c r="V39" s="282">
        <f t="shared" si="30"/>
        <v>82.9521</v>
      </c>
      <c r="W39" s="176">
        <f t="shared" ref="W39:X39" si="36">C39/100</f>
        <v>0.99</v>
      </c>
      <c r="X39" s="176">
        <f t="shared" si="36"/>
        <v>1.9</v>
      </c>
      <c r="Y39" s="176">
        <f t="shared" si="14"/>
        <v>1.8</v>
      </c>
      <c r="Z39" s="283">
        <f t="shared" si="15"/>
        <v>3.3858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20.0</v>
      </c>
      <c r="B40" s="191" t="s">
        <v>97</v>
      </c>
      <c r="C40" s="191">
        <v>99.0</v>
      </c>
      <c r="D40" s="191">
        <v>190.0</v>
      </c>
      <c r="E40" s="191">
        <v>180.0</v>
      </c>
      <c r="F40" s="191">
        <f t="shared" si="5"/>
        <v>0</v>
      </c>
      <c r="G40" s="191">
        <f t="shared" si="6"/>
        <v>0</v>
      </c>
      <c r="H40" s="192">
        <f t="shared" si="7"/>
        <v>0</v>
      </c>
      <c r="I40" s="191">
        <v>6.0</v>
      </c>
      <c r="J40" s="194">
        <f t="shared" si="8"/>
        <v>0</v>
      </c>
      <c r="K40" s="139"/>
      <c r="L40" s="176">
        <f t="shared" si="17"/>
        <v>4.826</v>
      </c>
      <c r="M40" s="160">
        <f t="shared" si="18"/>
        <v>6</v>
      </c>
      <c r="N40" s="160">
        <f t="shared" si="19"/>
        <v>28.956</v>
      </c>
      <c r="O40" s="139"/>
      <c r="P40" s="139"/>
      <c r="Q40" s="176"/>
      <c r="R40" s="281"/>
      <c r="S40" s="176">
        <f t="shared" si="9"/>
        <v>1.8</v>
      </c>
      <c r="T40" s="160">
        <f t="shared" si="10"/>
        <v>6</v>
      </c>
      <c r="U40" s="160">
        <f t="shared" si="11"/>
        <v>10.8</v>
      </c>
      <c r="V40" s="282">
        <f t="shared" si="30"/>
        <v>82.9521</v>
      </c>
      <c r="W40" s="176">
        <f t="shared" ref="W40:X40" si="37">C40/100</f>
        <v>0.99</v>
      </c>
      <c r="X40" s="176">
        <f t="shared" si="37"/>
        <v>1.9</v>
      </c>
      <c r="Y40" s="176">
        <f t="shared" si="14"/>
        <v>10.8</v>
      </c>
      <c r="Z40" s="283">
        <f t="shared" si="15"/>
        <v>20.3148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21.0</v>
      </c>
      <c r="B41" s="191" t="s">
        <v>97</v>
      </c>
      <c r="C41" s="191">
        <v>98.0</v>
      </c>
      <c r="D41" s="191">
        <v>190.0</v>
      </c>
      <c r="E41" s="191">
        <v>190.0</v>
      </c>
      <c r="F41" s="191">
        <f t="shared" si="5"/>
        <v>0</v>
      </c>
      <c r="G41" s="191">
        <f t="shared" si="6"/>
        <v>0</v>
      </c>
      <c r="H41" s="192">
        <f t="shared" si="7"/>
        <v>0</v>
      </c>
      <c r="I41" s="191">
        <v>6.0</v>
      </c>
      <c r="J41" s="194">
        <f t="shared" si="8"/>
        <v>0</v>
      </c>
      <c r="K41" s="139"/>
      <c r="L41" s="176">
        <f t="shared" si="17"/>
        <v>4.826</v>
      </c>
      <c r="M41" s="160">
        <f t="shared" si="18"/>
        <v>6</v>
      </c>
      <c r="N41" s="160">
        <f t="shared" si="19"/>
        <v>28.956</v>
      </c>
      <c r="O41" s="139"/>
      <c r="P41" s="139"/>
      <c r="Q41" s="176"/>
      <c r="R41" s="281"/>
      <c r="S41" s="176">
        <f t="shared" si="9"/>
        <v>1.9</v>
      </c>
      <c r="T41" s="160">
        <f t="shared" si="10"/>
        <v>6</v>
      </c>
      <c r="U41" s="160">
        <f t="shared" si="11"/>
        <v>11.4</v>
      </c>
      <c r="V41" s="282">
        <f t="shared" si="30"/>
        <v>86.6761</v>
      </c>
      <c r="W41" s="176">
        <f t="shared" ref="W41:X41" si="38">C41/100</f>
        <v>0.98</v>
      </c>
      <c r="X41" s="176">
        <f t="shared" si="38"/>
        <v>1.9</v>
      </c>
      <c r="Y41" s="176">
        <f t="shared" si="14"/>
        <v>11.4</v>
      </c>
      <c r="Z41" s="283">
        <f t="shared" si="15"/>
        <v>21.2268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22.0</v>
      </c>
      <c r="B42" s="191" t="s">
        <v>97</v>
      </c>
      <c r="C42" s="191">
        <v>97.0</v>
      </c>
      <c r="D42" s="191">
        <v>190.0</v>
      </c>
      <c r="E42" s="191">
        <v>190.0</v>
      </c>
      <c r="F42" s="191">
        <f t="shared" si="5"/>
        <v>0</v>
      </c>
      <c r="G42" s="191">
        <f t="shared" si="6"/>
        <v>0</v>
      </c>
      <c r="H42" s="192">
        <f t="shared" si="7"/>
        <v>0</v>
      </c>
      <c r="I42" s="191">
        <v>2.0</v>
      </c>
      <c r="J42" s="194">
        <f t="shared" si="8"/>
        <v>0</v>
      </c>
      <c r="K42" s="139"/>
      <c r="L42" s="176">
        <f t="shared" si="17"/>
        <v>4.826</v>
      </c>
      <c r="M42" s="160">
        <f t="shared" si="18"/>
        <v>2</v>
      </c>
      <c r="N42" s="160">
        <f t="shared" si="19"/>
        <v>9.652</v>
      </c>
      <c r="O42" s="139"/>
      <c r="P42" s="139"/>
      <c r="Q42" s="176"/>
      <c r="R42" s="281"/>
      <c r="S42" s="176">
        <f t="shared" si="9"/>
        <v>1.9</v>
      </c>
      <c r="T42" s="160">
        <f t="shared" si="10"/>
        <v>2</v>
      </c>
      <c r="U42" s="160">
        <f t="shared" si="11"/>
        <v>3.8</v>
      </c>
      <c r="V42" s="282">
        <f t="shared" si="30"/>
        <v>85.79165</v>
      </c>
      <c r="W42" s="176">
        <f t="shared" ref="W42:X42" si="39">C42/100</f>
        <v>0.97</v>
      </c>
      <c r="X42" s="176">
        <f t="shared" si="39"/>
        <v>1.9</v>
      </c>
      <c r="Y42" s="176">
        <f t="shared" si="14"/>
        <v>3.8</v>
      </c>
      <c r="Z42" s="283">
        <f t="shared" si="15"/>
        <v>7.0034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23.0</v>
      </c>
      <c r="B43" s="191" t="s">
        <v>97</v>
      </c>
      <c r="C43" s="191">
        <v>94.0</v>
      </c>
      <c r="D43" s="191">
        <v>190.0</v>
      </c>
      <c r="E43" s="191">
        <v>190.0</v>
      </c>
      <c r="F43" s="191">
        <f t="shared" si="5"/>
        <v>0</v>
      </c>
      <c r="G43" s="191">
        <f t="shared" si="6"/>
        <v>0</v>
      </c>
      <c r="H43" s="192">
        <f t="shared" si="7"/>
        <v>0</v>
      </c>
      <c r="I43" s="191">
        <v>1.0</v>
      </c>
      <c r="J43" s="194">
        <f t="shared" si="8"/>
        <v>0</v>
      </c>
      <c r="K43" s="139"/>
      <c r="L43" s="176">
        <f t="shared" si="17"/>
        <v>4.826</v>
      </c>
      <c r="M43" s="160">
        <f t="shared" si="18"/>
        <v>1</v>
      </c>
      <c r="N43" s="160">
        <f t="shared" si="19"/>
        <v>4.826</v>
      </c>
      <c r="O43" s="139"/>
      <c r="P43" s="139"/>
      <c r="Q43" s="176">
        <v>91.0</v>
      </c>
      <c r="R43" s="281"/>
      <c r="S43" s="176">
        <f t="shared" si="9"/>
        <v>1.9</v>
      </c>
      <c r="T43" s="160">
        <f t="shared" si="10"/>
        <v>1</v>
      </c>
      <c r="U43" s="160">
        <f t="shared" si="11"/>
        <v>1.9</v>
      </c>
      <c r="V43" s="282">
        <f t="shared" si="30"/>
        <v>83.1383</v>
      </c>
      <c r="W43" s="176">
        <f t="shared" ref="W43:X43" si="40">C43/100</f>
        <v>0.94</v>
      </c>
      <c r="X43" s="176">
        <f t="shared" si="40"/>
        <v>1.9</v>
      </c>
      <c r="Y43" s="176">
        <f t="shared" si="14"/>
        <v>1.9</v>
      </c>
      <c r="Z43" s="283">
        <f t="shared" si="15"/>
        <v>3.3934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24.0</v>
      </c>
      <c r="B44" s="191" t="s">
        <v>97</v>
      </c>
      <c r="C44" s="191">
        <v>94.0</v>
      </c>
      <c r="D44" s="191">
        <v>190.0</v>
      </c>
      <c r="E44" s="191">
        <v>190.0</v>
      </c>
      <c r="F44" s="191">
        <f t="shared" si="5"/>
        <v>0</v>
      </c>
      <c r="G44" s="191">
        <f t="shared" si="6"/>
        <v>0</v>
      </c>
      <c r="H44" s="192">
        <f t="shared" si="7"/>
        <v>0</v>
      </c>
      <c r="I44" s="191">
        <v>1.0</v>
      </c>
      <c r="J44" s="194">
        <f t="shared" si="8"/>
        <v>0</v>
      </c>
      <c r="K44" s="139"/>
      <c r="L44" s="176">
        <f t="shared" si="17"/>
        <v>4.826</v>
      </c>
      <c r="M44" s="160">
        <f t="shared" si="18"/>
        <v>1</v>
      </c>
      <c r="N44" s="160">
        <f t="shared" si="19"/>
        <v>4.826</v>
      </c>
      <c r="O44" s="139"/>
      <c r="P44" s="139"/>
      <c r="Q44" s="176">
        <v>92.0</v>
      </c>
      <c r="R44" s="281"/>
      <c r="S44" s="176">
        <f t="shared" si="9"/>
        <v>1.9</v>
      </c>
      <c r="T44" s="160">
        <f t="shared" si="10"/>
        <v>1</v>
      </c>
      <c r="U44" s="160">
        <f t="shared" si="11"/>
        <v>1.9</v>
      </c>
      <c r="V44" s="282">
        <f t="shared" si="30"/>
        <v>83.1383</v>
      </c>
      <c r="W44" s="176">
        <f t="shared" ref="W44:X44" si="41">C44/100</f>
        <v>0.94</v>
      </c>
      <c r="X44" s="176">
        <f t="shared" si="41"/>
        <v>1.9</v>
      </c>
      <c r="Y44" s="176">
        <f t="shared" si="14"/>
        <v>1.9</v>
      </c>
      <c r="Z44" s="283">
        <f t="shared" si="15"/>
        <v>3.3934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25.0</v>
      </c>
      <c r="B45" s="191" t="s">
        <v>97</v>
      </c>
      <c r="C45" s="191">
        <v>96.0</v>
      </c>
      <c r="D45" s="191">
        <v>190.0</v>
      </c>
      <c r="E45" s="191">
        <v>190.0</v>
      </c>
      <c r="F45" s="191">
        <f t="shared" si="5"/>
        <v>0</v>
      </c>
      <c r="G45" s="191">
        <f t="shared" si="6"/>
        <v>0</v>
      </c>
      <c r="H45" s="192">
        <f t="shared" si="7"/>
        <v>0</v>
      </c>
      <c r="I45" s="191">
        <v>1.0</v>
      </c>
      <c r="J45" s="194">
        <f t="shared" si="8"/>
        <v>0</v>
      </c>
      <c r="K45" s="139"/>
      <c r="L45" s="176">
        <f t="shared" si="17"/>
        <v>4.826</v>
      </c>
      <c r="M45" s="160">
        <f t="shared" si="18"/>
        <v>1</v>
      </c>
      <c r="N45" s="160">
        <f t="shared" si="19"/>
        <v>4.826</v>
      </c>
      <c r="O45" s="139"/>
      <c r="P45" s="139"/>
      <c r="Q45" s="176">
        <v>92.0</v>
      </c>
      <c r="R45" s="281"/>
      <c r="S45" s="176">
        <f t="shared" si="9"/>
        <v>1.9</v>
      </c>
      <c r="T45" s="160">
        <f t="shared" si="10"/>
        <v>1</v>
      </c>
      <c r="U45" s="160">
        <f t="shared" si="11"/>
        <v>1.9</v>
      </c>
      <c r="V45" s="282">
        <f t="shared" si="30"/>
        <v>84.9072</v>
      </c>
      <c r="W45" s="176">
        <f t="shared" ref="W45:X45" si="42">C45/100</f>
        <v>0.96</v>
      </c>
      <c r="X45" s="176">
        <f t="shared" si="42"/>
        <v>1.9</v>
      </c>
      <c r="Y45" s="176">
        <f t="shared" si="14"/>
        <v>1.9</v>
      </c>
      <c r="Z45" s="283">
        <f t="shared" si="15"/>
        <v>3.4656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26.0</v>
      </c>
      <c r="B46" s="191" t="s">
        <v>97</v>
      </c>
      <c r="C46" s="191">
        <v>96.0</v>
      </c>
      <c r="D46" s="191">
        <v>190.0</v>
      </c>
      <c r="E46" s="191">
        <v>190.0</v>
      </c>
      <c r="F46" s="191">
        <f t="shared" si="5"/>
        <v>0</v>
      </c>
      <c r="G46" s="191">
        <f t="shared" si="6"/>
        <v>0</v>
      </c>
      <c r="H46" s="192">
        <f t="shared" si="7"/>
        <v>0</v>
      </c>
      <c r="I46" s="191">
        <v>1.0</v>
      </c>
      <c r="J46" s="194">
        <f t="shared" si="8"/>
        <v>0</v>
      </c>
      <c r="K46" s="139"/>
      <c r="L46" s="197"/>
      <c r="M46" s="198">
        <f t="shared" si="18"/>
        <v>1</v>
      </c>
      <c r="N46" s="198"/>
      <c r="O46" s="139"/>
      <c r="P46" s="139"/>
      <c r="Q46" s="176"/>
      <c r="R46" s="281"/>
      <c r="S46" s="176">
        <f t="shared" si="9"/>
        <v>1.9</v>
      </c>
      <c r="T46" s="160">
        <f t="shared" si="10"/>
        <v>1</v>
      </c>
      <c r="U46" s="160">
        <f t="shared" si="11"/>
        <v>1.9</v>
      </c>
      <c r="V46" s="282">
        <f t="shared" si="30"/>
        <v>84.9072</v>
      </c>
      <c r="W46" s="176">
        <f t="shared" ref="W46:X46" si="43">C46/100</f>
        <v>0.96</v>
      </c>
      <c r="X46" s="176">
        <f t="shared" si="43"/>
        <v>1.9</v>
      </c>
      <c r="Y46" s="176">
        <f t="shared" si="14"/>
        <v>1.9</v>
      </c>
      <c r="Z46" s="283">
        <f t="shared" si="15"/>
        <v>3.4656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27.0</v>
      </c>
      <c r="B47" s="191" t="s">
        <v>97</v>
      </c>
      <c r="C47" s="191">
        <v>98.0</v>
      </c>
      <c r="D47" s="191">
        <v>190.0</v>
      </c>
      <c r="E47" s="191">
        <v>160.0</v>
      </c>
      <c r="F47" s="191">
        <f t="shared" si="5"/>
        <v>0</v>
      </c>
      <c r="G47" s="191">
        <f t="shared" si="6"/>
        <v>0</v>
      </c>
      <c r="H47" s="192">
        <f t="shared" si="7"/>
        <v>0</v>
      </c>
      <c r="I47" s="191">
        <v>1.0</v>
      </c>
      <c r="J47" s="194">
        <f t="shared" si="8"/>
        <v>0</v>
      </c>
      <c r="K47" s="139"/>
      <c r="L47" s="197"/>
      <c r="M47" s="198">
        <f t="shared" si="18"/>
        <v>1</v>
      </c>
      <c r="N47" s="198"/>
      <c r="O47" s="139"/>
      <c r="P47" s="139"/>
      <c r="Q47" s="176"/>
      <c r="R47" s="281"/>
      <c r="S47" s="176">
        <f t="shared" si="9"/>
        <v>1.6</v>
      </c>
      <c r="T47" s="160">
        <f t="shared" si="10"/>
        <v>1</v>
      </c>
      <c r="U47" s="160">
        <f t="shared" si="11"/>
        <v>1.6</v>
      </c>
      <c r="V47" s="282">
        <f t="shared" si="30"/>
        <v>72.9904</v>
      </c>
      <c r="W47" s="176">
        <f t="shared" ref="W47:X47" si="44">C47/100</f>
        <v>0.98</v>
      </c>
      <c r="X47" s="176">
        <f t="shared" si="44"/>
        <v>1.9</v>
      </c>
      <c r="Y47" s="176">
        <f t="shared" si="14"/>
        <v>1.6</v>
      </c>
      <c r="Z47" s="283">
        <f t="shared" si="15"/>
        <v>2.9792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28.0</v>
      </c>
      <c r="B48" s="191" t="s">
        <v>97</v>
      </c>
      <c r="C48" s="191">
        <v>97.0</v>
      </c>
      <c r="D48" s="191">
        <v>190.0</v>
      </c>
      <c r="E48" s="191">
        <v>157.0</v>
      </c>
      <c r="F48" s="191">
        <f t="shared" si="5"/>
        <v>0</v>
      </c>
      <c r="G48" s="191">
        <f t="shared" si="6"/>
        <v>0</v>
      </c>
      <c r="H48" s="192">
        <f t="shared" si="7"/>
        <v>0</v>
      </c>
      <c r="I48" s="191">
        <v>1.0</v>
      </c>
      <c r="J48" s="194">
        <f t="shared" si="8"/>
        <v>0</v>
      </c>
      <c r="K48" s="139"/>
      <c r="L48" s="197"/>
      <c r="M48" s="198">
        <f t="shared" si="18"/>
        <v>1</v>
      </c>
      <c r="N48" s="198"/>
      <c r="O48" s="139"/>
      <c r="P48" s="139"/>
      <c r="Q48" s="176"/>
      <c r="R48" s="281"/>
      <c r="S48" s="176">
        <f t="shared" si="9"/>
        <v>1.57</v>
      </c>
      <c r="T48" s="160">
        <f t="shared" si="10"/>
        <v>1</v>
      </c>
      <c r="U48" s="160">
        <f t="shared" si="11"/>
        <v>1.57</v>
      </c>
      <c r="V48" s="282">
        <f t="shared" si="30"/>
        <v>70.890995</v>
      </c>
      <c r="W48" s="176">
        <f t="shared" ref="W48:X48" si="45">C48/100</f>
        <v>0.97</v>
      </c>
      <c r="X48" s="176">
        <f t="shared" si="45"/>
        <v>1.9</v>
      </c>
      <c r="Y48" s="176">
        <f t="shared" si="14"/>
        <v>1.57</v>
      </c>
      <c r="Z48" s="283">
        <f t="shared" si="15"/>
        <v>2.89351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29.0</v>
      </c>
      <c r="B49" s="191" t="s">
        <v>97</v>
      </c>
      <c r="C49" s="191">
        <v>88.0</v>
      </c>
      <c r="D49" s="191">
        <v>190.0</v>
      </c>
      <c r="E49" s="191">
        <v>187.0</v>
      </c>
      <c r="F49" s="191">
        <f t="shared" si="5"/>
        <v>0</v>
      </c>
      <c r="G49" s="191">
        <f t="shared" si="6"/>
        <v>0</v>
      </c>
      <c r="H49" s="192">
        <f t="shared" si="7"/>
        <v>0</v>
      </c>
      <c r="I49" s="191">
        <v>1.0</v>
      </c>
      <c r="J49" s="194">
        <f t="shared" si="8"/>
        <v>0</v>
      </c>
      <c r="K49" s="139"/>
      <c r="L49" s="197"/>
      <c r="M49" s="198">
        <f t="shared" si="18"/>
        <v>1</v>
      </c>
      <c r="N49" s="198"/>
      <c r="O49" s="139"/>
      <c r="P49" s="139"/>
      <c r="Q49" s="176"/>
      <c r="R49" s="281"/>
      <c r="S49" s="176">
        <f t="shared" si="9"/>
        <v>1.87</v>
      </c>
      <c r="T49" s="160">
        <f t="shared" si="10"/>
        <v>1</v>
      </c>
      <c r="U49" s="160">
        <f t="shared" si="11"/>
        <v>1.87</v>
      </c>
      <c r="V49" s="282">
        <f t="shared" si="30"/>
        <v>76.60268</v>
      </c>
      <c r="W49" s="176">
        <f t="shared" ref="W49:X49" si="46">C49/100</f>
        <v>0.88</v>
      </c>
      <c r="X49" s="176">
        <f t="shared" si="46"/>
        <v>1.9</v>
      </c>
      <c r="Y49" s="176">
        <f t="shared" si="14"/>
        <v>1.87</v>
      </c>
      <c r="Z49" s="283">
        <f t="shared" si="15"/>
        <v>3.12664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30.0</v>
      </c>
      <c r="B50" s="191" t="s">
        <v>97</v>
      </c>
      <c r="C50" s="191">
        <v>100.0</v>
      </c>
      <c r="D50" s="191">
        <v>190.0</v>
      </c>
      <c r="E50" s="191">
        <v>157.0</v>
      </c>
      <c r="F50" s="191">
        <f t="shared" si="5"/>
        <v>0</v>
      </c>
      <c r="G50" s="191">
        <f t="shared" si="6"/>
        <v>0</v>
      </c>
      <c r="H50" s="192">
        <f t="shared" si="7"/>
        <v>0</v>
      </c>
      <c r="I50" s="191">
        <v>2.0</v>
      </c>
      <c r="J50" s="194">
        <f t="shared" si="8"/>
        <v>0</v>
      </c>
      <c r="K50" s="139"/>
      <c r="L50" s="197"/>
      <c r="M50" s="198">
        <f t="shared" si="18"/>
        <v>2</v>
      </c>
      <c r="N50" s="198"/>
      <c r="O50" s="139"/>
      <c r="P50" s="139"/>
      <c r="Q50" s="176"/>
      <c r="R50" s="281"/>
      <c r="S50" s="176">
        <f t="shared" si="9"/>
        <v>1.57</v>
      </c>
      <c r="T50" s="160">
        <f t="shared" si="10"/>
        <v>2</v>
      </c>
      <c r="U50" s="160">
        <f t="shared" si="11"/>
        <v>3.14</v>
      </c>
      <c r="V50" s="282">
        <f t="shared" si="30"/>
        <v>73.0835</v>
      </c>
      <c r="W50" s="176">
        <f t="shared" ref="W50:X50" si="47">C50/100</f>
        <v>1</v>
      </c>
      <c r="X50" s="176">
        <f t="shared" si="47"/>
        <v>1.9</v>
      </c>
      <c r="Y50" s="176">
        <f t="shared" si="14"/>
        <v>3.14</v>
      </c>
      <c r="Z50" s="283">
        <f t="shared" si="15"/>
        <v>5.966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31.0</v>
      </c>
      <c r="B51" s="191" t="s">
        <v>97</v>
      </c>
      <c r="C51" s="191">
        <v>98.0</v>
      </c>
      <c r="D51" s="191">
        <v>190.0</v>
      </c>
      <c r="E51" s="191">
        <v>158.0</v>
      </c>
      <c r="F51" s="191">
        <f t="shared" si="5"/>
        <v>0</v>
      </c>
      <c r="G51" s="191">
        <f t="shared" si="6"/>
        <v>0</v>
      </c>
      <c r="H51" s="192">
        <f t="shared" si="7"/>
        <v>0</v>
      </c>
      <c r="I51" s="191">
        <v>1.0</v>
      </c>
      <c r="J51" s="194">
        <f t="shared" si="8"/>
        <v>0</v>
      </c>
      <c r="K51" s="139"/>
      <c r="L51" s="197"/>
      <c r="M51" s="198">
        <f t="shared" si="18"/>
        <v>1</v>
      </c>
      <c r="N51" s="198"/>
      <c r="O51" s="139"/>
      <c r="P51" s="139"/>
      <c r="Q51" s="176"/>
      <c r="R51" s="281"/>
      <c r="S51" s="176">
        <f t="shared" si="9"/>
        <v>1.58</v>
      </c>
      <c r="T51" s="160">
        <f t="shared" si="10"/>
        <v>1</v>
      </c>
      <c r="U51" s="160">
        <f t="shared" si="11"/>
        <v>1.58</v>
      </c>
      <c r="V51" s="282">
        <f t="shared" si="30"/>
        <v>72.07802</v>
      </c>
      <c r="W51" s="176">
        <f t="shared" ref="W51:X51" si="48">C51/100</f>
        <v>0.98</v>
      </c>
      <c r="X51" s="176">
        <f t="shared" si="48"/>
        <v>1.9</v>
      </c>
      <c r="Y51" s="176">
        <f t="shared" si="14"/>
        <v>1.58</v>
      </c>
      <c r="Z51" s="283">
        <f t="shared" si="15"/>
        <v>2.94196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32.0</v>
      </c>
      <c r="B52" s="191" t="s">
        <v>97</v>
      </c>
      <c r="C52" s="191">
        <v>99.0</v>
      </c>
      <c r="D52" s="191">
        <v>190.0</v>
      </c>
      <c r="E52" s="191">
        <v>157.0</v>
      </c>
      <c r="F52" s="191">
        <f t="shared" si="5"/>
        <v>0</v>
      </c>
      <c r="G52" s="191">
        <f t="shared" si="6"/>
        <v>0</v>
      </c>
      <c r="H52" s="192">
        <f t="shared" si="7"/>
        <v>0</v>
      </c>
      <c r="I52" s="191">
        <v>2.0</v>
      </c>
      <c r="J52" s="194">
        <f t="shared" si="8"/>
        <v>0</v>
      </c>
      <c r="K52" s="139"/>
      <c r="L52" s="197"/>
      <c r="M52" s="198">
        <f t="shared" si="18"/>
        <v>2</v>
      </c>
      <c r="N52" s="198"/>
      <c r="O52" s="139"/>
      <c r="P52" s="139"/>
      <c r="Q52" s="176"/>
      <c r="R52" s="281"/>
      <c r="S52" s="176">
        <f t="shared" si="9"/>
        <v>1.57</v>
      </c>
      <c r="T52" s="160">
        <f t="shared" si="10"/>
        <v>2</v>
      </c>
      <c r="U52" s="160">
        <f t="shared" si="11"/>
        <v>3.14</v>
      </c>
      <c r="V52" s="282">
        <f t="shared" si="30"/>
        <v>72.352665</v>
      </c>
      <c r="W52" s="176">
        <f t="shared" ref="W52:X52" si="49">C52/100</f>
        <v>0.99</v>
      </c>
      <c r="X52" s="176">
        <f t="shared" si="49"/>
        <v>1.9</v>
      </c>
      <c r="Y52" s="176">
        <f t="shared" si="14"/>
        <v>3.14</v>
      </c>
      <c r="Z52" s="283">
        <f t="shared" si="15"/>
        <v>5.90634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33.0</v>
      </c>
      <c r="B53" s="182" t="s">
        <v>202</v>
      </c>
      <c r="C53" s="183">
        <v>86.0</v>
      </c>
      <c r="D53" s="183">
        <v>203.0</v>
      </c>
      <c r="E53" s="183">
        <v>202.0</v>
      </c>
      <c r="F53" s="183">
        <f t="shared" si="5"/>
        <v>0</v>
      </c>
      <c r="G53" s="183">
        <f t="shared" si="6"/>
        <v>104.032222</v>
      </c>
      <c r="H53" s="184">
        <f t="shared" si="7"/>
        <v>104.032222</v>
      </c>
      <c r="I53" s="183">
        <v>1.0</v>
      </c>
      <c r="J53" s="185">
        <f t="shared" si="8"/>
        <v>104.032222</v>
      </c>
      <c r="K53" s="139"/>
      <c r="L53" s="197"/>
      <c r="M53" s="198">
        <f t="shared" si="18"/>
        <v>1</v>
      </c>
      <c r="N53" s="198"/>
      <c r="O53" s="139"/>
      <c r="P53" s="139"/>
      <c r="Q53" s="176"/>
      <c r="R53" s="281">
        <f>+C10</f>
        <v>29.5</v>
      </c>
      <c r="S53" s="176">
        <f t="shared" si="9"/>
        <v>2.02</v>
      </c>
      <c r="T53" s="160">
        <f t="shared" si="10"/>
        <v>1</v>
      </c>
      <c r="U53" s="160">
        <f t="shared" si="11"/>
        <v>2.02</v>
      </c>
      <c r="V53" s="282">
        <f t="shared" ref="V53:V64" si="51">$R$53*C53/100*D53/100*E53/100</f>
        <v>104.032222</v>
      </c>
      <c r="W53" s="176">
        <f t="shared" ref="W53:X53" si="50">C53/100</f>
        <v>0.86</v>
      </c>
      <c r="X53" s="176">
        <f t="shared" si="50"/>
        <v>2.03</v>
      </c>
      <c r="Y53" s="176">
        <f t="shared" si="14"/>
        <v>2.02</v>
      </c>
      <c r="Z53" s="283">
        <f t="shared" si="15"/>
        <v>3.526516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34.0</v>
      </c>
      <c r="B54" s="191" t="s">
        <v>56</v>
      </c>
      <c r="C54" s="191">
        <v>96.0</v>
      </c>
      <c r="D54" s="191">
        <v>203.0</v>
      </c>
      <c r="E54" s="191">
        <v>201.0</v>
      </c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>
        <v>1.0</v>
      </c>
      <c r="J54" s="194">
        <f t="shared" si="8"/>
        <v>0</v>
      </c>
      <c r="K54" s="139"/>
      <c r="L54" s="197"/>
      <c r="M54" s="198">
        <f t="shared" si="18"/>
        <v>1</v>
      </c>
      <c r="N54" s="198"/>
      <c r="O54" s="139"/>
      <c r="P54" s="139"/>
      <c r="Q54" s="176">
        <v>118.0</v>
      </c>
      <c r="R54" s="281"/>
      <c r="S54" s="176">
        <f t="shared" si="9"/>
        <v>2.01</v>
      </c>
      <c r="T54" s="160">
        <f t="shared" si="10"/>
        <v>1</v>
      </c>
      <c r="U54" s="160">
        <f t="shared" si="11"/>
        <v>2.01</v>
      </c>
      <c r="V54" s="282">
        <f t="shared" si="51"/>
        <v>115.554096</v>
      </c>
      <c r="W54" s="176">
        <f t="shared" ref="W54:X54" si="52">C54/100</f>
        <v>0.96</v>
      </c>
      <c r="X54" s="176">
        <f t="shared" si="52"/>
        <v>2.03</v>
      </c>
      <c r="Y54" s="176">
        <f t="shared" si="14"/>
        <v>2.01</v>
      </c>
      <c r="Z54" s="283">
        <f t="shared" si="15"/>
        <v>3.917088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35.0</v>
      </c>
      <c r="B55" s="191" t="s">
        <v>56</v>
      </c>
      <c r="C55" s="191">
        <v>96.0</v>
      </c>
      <c r="D55" s="191">
        <v>203.0</v>
      </c>
      <c r="E55" s="191">
        <v>201.0</v>
      </c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>
        <v>5.0</v>
      </c>
      <c r="J55" s="194">
        <f t="shared" si="8"/>
        <v>0</v>
      </c>
      <c r="K55" s="139"/>
      <c r="L55" s="197"/>
      <c r="M55" s="198">
        <f t="shared" si="18"/>
        <v>5</v>
      </c>
      <c r="N55" s="198"/>
      <c r="O55" s="139"/>
      <c r="P55" s="139"/>
      <c r="Q55" s="176"/>
      <c r="R55" s="281"/>
      <c r="S55" s="176">
        <f t="shared" si="9"/>
        <v>2.01</v>
      </c>
      <c r="T55" s="160">
        <f t="shared" si="10"/>
        <v>5</v>
      </c>
      <c r="U55" s="160">
        <f t="shared" si="11"/>
        <v>10.05</v>
      </c>
      <c r="V55" s="282">
        <f t="shared" si="51"/>
        <v>115.554096</v>
      </c>
      <c r="W55" s="176">
        <f t="shared" ref="W55:X55" si="53">C55/100</f>
        <v>0.96</v>
      </c>
      <c r="X55" s="176">
        <f t="shared" si="53"/>
        <v>2.03</v>
      </c>
      <c r="Y55" s="176">
        <f t="shared" si="14"/>
        <v>10.05</v>
      </c>
      <c r="Z55" s="283">
        <f t="shared" si="15"/>
        <v>19.58544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36.0</v>
      </c>
      <c r="B56" s="191" t="s">
        <v>56</v>
      </c>
      <c r="C56" s="191">
        <v>94.0</v>
      </c>
      <c r="D56" s="191">
        <v>203.0</v>
      </c>
      <c r="E56" s="191">
        <v>201.0</v>
      </c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>
        <v>1.0</v>
      </c>
      <c r="J56" s="194">
        <f t="shared" si="8"/>
        <v>0</v>
      </c>
      <c r="K56" s="139"/>
      <c r="L56" s="197"/>
      <c r="M56" s="198">
        <f t="shared" si="18"/>
        <v>1</v>
      </c>
      <c r="N56" s="198"/>
      <c r="O56" s="139"/>
      <c r="P56" s="139"/>
      <c r="Q56" s="176">
        <v>118.0</v>
      </c>
      <c r="R56" s="281"/>
      <c r="S56" s="176">
        <f t="shared" si="9"/>
        <v>2.01</v>
      </c>
      <c r="T56" s="160">
        <f t="shared" si="10"/>
        <v>1</v>
      </c>
      <c r="U56" s="160">
        <f t="shared" si="11"/>
        <v>2.01</v>
      </c>
      <c r="V56" s="282">
        <f t="shared" si="51"/>
        <v>113.146719</v>
      </c>
      <c r="W56" s="176">
        <f t="shared" ref="W56:X56" si="54">C56/100</f>
        <v>0.94</v>
      </c>
      <c r="X56" s="176">
        <f t="shared" si="54"/>
        <v>2.03</v>
      </c>
      <c r="Y56" s="176">
        <f t="shared" si="14"/>
        <v>2.01</v>
      </c>
      <c r="Z56" s="283">
        <f t="shared" si="15"/>
        <v>3.835482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37.0</v>
      </c>
      <c r="B57" s="191" t="s">
        <v>56</v>
      </c>
      <c r="C57" s="191">
        <v>95.0</v>
      </c>
      <c r="D57" s="191">
        <v>203.0</v>
      </c>
      <c r="E57" s="191">
        <v>202.0</v>
      </c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>
        <v>2.0</v>
      </c>
      <c r="J57" s="194">
        <f t="shared" si="8"/>
        <v>0</v>
      </c>
      <c r="K57" s="139"/>
      <c r="L57" s="197"/>
      <c r="M57" s="198">
        <f t="shared" si="18"/>
        <v>2</v>
      </c>
      <c r="N57" s="198"/>
      <c r="O57" s="139"/>
      <c r="P57" s="139"/>
      <c r="Q57" s="176"/>
      <c r="R57" s="281"/>
      <c r="S57" s="176">
        <f t="shared" si="9"/>
        <v>2.02</v>
      </c>
      <c r="T57" s="160">
        <f t="shared" si="10"/>
        <v>2</v>
      </c>
      <c r="U57" s="160">
        <f t="shared" si="11"/>
        <v>4.04</v>
      </c>
      <c r="V57" s="282">
        <f t="shared" si="51"/>
        <v>114.919315</v>
      </c>
      <c r="W57" s="176">
        <f t="shared" ref="W57:X57" si="55">C57/100</f>
        <v>0.95</v>
      </c>
      <c r="X57" s="176">
        <f t="shared" si="55"/>
        <v>2.03</v>
      </c>
      <c r="Y57" s="176">
        <f t="shared" si="14"/>
        <v>4.04</v>
      </c>
      <c r="Z57" s="283">
        <f t="shared" si="15"/>
        <v>7.79114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38.0</v>
      </c>
      <c r="B58" s="191" t="s">
        <v>56</v>
      </c>
      <c r="C58" s="191">
        <v>96.0</v>
      </c>
      <c r="D58" s="191">
        <v>203.0</v>
      </c>
      <c r="E58" s="191">
        <v>202.0</v>
      </c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>
        <v>1.0</v>
      </c>
      <c r="J58" s="194">
        <f t="shared" si="8"/>
        <v>0</v>
      </c>
      <c r="K58" s="139"/>
      <c r="L58" s="197"/>
      <c r="M58" s="198">
        <f t="shared" si="18"/>
        <v>1</v>
      </c>
      <c r="N58" s="198"/>
      <c r="O58" s="139"/>
      <c r="P58" s="139"/>
      <c r="Q58" s="176">
        <v>118.0</v>
      </c>
      <c r="R58" s="281"/>
      <c r="S58" s="176">
        <f t="shared" si="9"/>
        <v>2.02</v>
      </c>
      <c r="T58" s="160">
        <f t="shared" si="10"/>
        <v>1</v>
      </c>
      <c r="U58" s="160">
        <f t="shared" si="11"/>
        <v>2.02</v>
      </c>
      <c r="V58" s="282">
        <f t="shared" si="51"/>
        <v>116.128992</v>
      </c>
      <c r="W58" s="176">
        <f t="shared" ref="W58:X58" si="56">C58/100</f>
        <v>0.96</v>
      </c>
      <c r="X58" s="176">
        <f t="shared" si="56"/>
        <v>2.03</v>
      </c>
      <c r="Y58" s="176">
        <f t="shared" si="14"/>
        <v>2.02</v>
      </c>
      <c r="Z58" s="283">
        <f t="shared" si="15"/>
        <v>3.936576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39.0</v>
      </c>
      <c r="B59" s="191" t="s">
        <v>56</v>
      </c>
      <c r="C59" s="191">
        <v>96.0</v>
      </c>
      <c r="D59" s="191">
        <v>203.0</v>
      </c>
      <c r="E59" s="191">
        <v>202.0</v>
      </c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>
        <v>1.0</v>
      </c>
      <c r="J59" s="194">
        <f t="shared" si="8"/>
        <v>0</v>
      </c>
      <c r="K59" s="139"/>
      <c r="L59" s="197"/>
      <c r="M59" s="198">
        <f t="shared" si="18"/>
        <v>1</v>
      </c>
      <c r="N59" s="198"/>
      <c r="O59" s="139"/>
      <c r="P59" s="139"/>
      <c r="Q59" s="176">
        <v>118.0</v>
      </c>
      <c r="R59" s="281"/>
      <c r="S59" s="176">
        <f t="shared" si="9"/>
        <v>2.02</v>
      </c>
      <c r="T59" s="160">
        <f t="shared" si="10"/>
        <v>1</v>
      </c>
      <c r="U59" s="160">
        <f t="shared" si="11"/>
        <v>2.02</v>
      </c>
      <c r="V59" s="282">
        <f t="shared" si="51"/>
        <v>116.128992</v>
      </c>
      <c r="W59" s="176">
        <f t="shared" ref="W59:X59" si="57">C59/100</f>
        <v>0.96</v>
      </c>
      <c r="X59" s="176">
        <f t="shared" si="57"/>
        <v>2.03</v>
      </c>
      <c r="Y59" s="176">
        <f t="shared" si="14"/>
        <v>2.02</v>
      </c>
      <c r="Z59" s="283">
        <f t="shared" si="15"/>
        <v>3.936576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40.0</v>
      </c>
      <c r="B60" s="191" t="s">
        <v>56</v>
      </c>
      <c r="C60" s="191">
        <v>96.0</v>
      </c>
      <c r="D60" s="191">
        <v>203.0</v>
      </c>
      <c r="E60" s="191">
        <v>202.0</v>
      </c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>
        <v>2.0</v>
      </c>
      <c r="J60" s="194">
        <f t="shared" si="8"/>
        <v>0</v>
      </c>
      <c r="K60" s="139"/>
      <c r="L60" s="197"/>
      <c r="M60" s="198">
        <f t="shared" si="18"/>
        <v>2</v>
      </c>
      <c r="N60" s="198"/>
      <c r="O60" s="139"/>
      <c r="P60" s="139"/>
      <c r="Q60" s="176"/>
      <c r="R60" s="281"/>
      <c r="S60" s="176">
        <f t="shared" si="9"/>
        <v>2.02</v>
      </c>
      <c r="T60" s="160">
        <f t="shared" si="10"/>
        <v>2</v>
      </c>
      <c r="U60" s="160">
        <f t="shared" si="11"/>
        <v>4.04</v>
      </c>
      <c r="V60" s="282">
        <f t="shared" si="51"/>
        <v>116.128992</v>
      </c>
      <c r="W60" s="176">
        <f t="shared" ref="W60:X60" si="58">C60/100</f>
        <v>0.96</v>
      </c>
      <c r="X60" s="176">
        <f t="shared" si="58"/>
        <v>2.03</v>
      </c>
      <c r="Y60" s="176">
        <f t="shared" si="14"/>
        <v>4.04</v>
      </c>
      <c r="Z60" s="283">
        <f t="shared" si="15"/>
        <v>7.873152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41.0</v>
      </c>
      <c r="B61" s="191" t="s">
        <v>56</v>
      </c>
      <c r="C61" s="191">
        <v>95.0</v>
      </c>
      <c r="D61" s="191">
        <v>203.0</v>
      </c>
      <c r="E61" s="191">
        <v>201.0</v>
      </c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>
        <v>4.0</v>
      </c>
      <c r="J61" s="194">
        <f t="shared" si="8"/>
        <v>0</v>
      </c>
      <c r="K61" s="139"/>
      <c r="L61" s="197"/>
      <c r="M61" s="198">
        <f t="shared" si="18"/>
        <v>4</v>
      </c>
      <c r="N61" s="198"/>
      <c r="O61" s="139"/>
      <c r="P61" s="139"/>
      <c r="Q61" s="176"/>
      <c r="R61" s="281"/>
      <c r="S61" s="176">
        <f t="shared" si="9"/>
        <v>2.01</v>
      </c>
      <c r="T61" s="160">
        <f t="shared" si="10"/>
        <v>4</v>
      </c>
      <c r="U61" s="160">
        <f t="shared" si="11"/>
        <v>8.04</v>
      </c>
      <c r="V61" s="282">
        <f t="shared" si="51"/>
        <v>114.3504075</v>
      </c>
      <c r="W61" s="176">
        <f t="shared" ref="W61:X61" si="59">C61/100</f>
        <v>0.95</v>
      </c>
      <c r="X61" s="176">
        <f t="shared" si="59"/>
        <v>2.03</v>
      </c>
      <c r="Y61" s="176">
        <f t="shared" si="14"/>
        <v>8.04</v>
      </c>
      <c r="Z61" s="283">
        <f t="shared" si="15"/>
        <v>15.50514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42.0</v>
      </c>
      <c r="B62" s="191" t="s">
        <v>56</v>
      </c>
      <c r="C62" s="191">
        <v>97.0</v>
      </c>
      <c r="D62" s="191">
        <v>203.0</v>
      </c>
      <c r="E62" s="191">
        <v>202.0</v>
      </c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>
        <v>1.0</v>
      </c>
      <c r="J62" s="194">
        <f t="shared" si="8"/>
        <v>0</v>
      </c>
      <c r="K62" s="139"/>
      <c r="L62" s="197"/>
      <c r="M62" s="198">
        <f t="shared" si="18"/>
        <v>1</v>
      </c>
      <c r="N62" s="198"/>
      <c r="O62" s="139"/>
      <c r="P62" s="139"/>
      <c r="Q62" s="176"/>
      <c r="R62" s="281"/>
      <c r="S62" s="176">
        <f t="shared" si="9"/>
        <v>2.02</v>
      </c>
      <c r="T62" s="160">
        <f t="shared" si="10"/>
        <v>1</v>
      </c>
      <c r="U62" s="160">
        <f t="shared" si="11"/>
        <v>2.02</v>
      </c>
      <c r="V62" s="282">
        <f t="shared" si="51"/>
        <v>117.338669</v>
      </c>
      <c r="W62" s="176">
        <f t="shared" ref="W62:X62" si="60">C62/100</f>
        <v>0.97</v>
      </c>
      <c r="X62" s="176">
        <f t="shared" si="60"/>
        <v>2.03</v>
      </c>
      <c r="Y62" s="176">
        <f t="shared" si="14"/>
        <v>2.02</v>
      </c>
      <c r="Z62" s="283">
        <f t="shared" si="15"/>
        <v>3.977582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43.0</v>
      </c>
      <c r="B63" s="191" t="s">
        <v>56</v>
      </c>
      <c r="C63" s="191">
        <v>97.0</v>
      </c>
      <c r="D63" s="191">
        <v>203.0</v>
      </c>
      <c r="E63" s="191">
        <v>201.0</v>
      </c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>
        <v>1.0</v>
      </c>
      <c r="J63" s="194">
        <f t="shared" si="8"/>
        <v>0</v>
      </c>
      <c r="K63" s="139"/>
      <c r="L63" s="197"/>
      <c r="M63" s="198">
        <f t="shared" si="18"/>
        <v>1</v>
      </c>
      <c r="N63" s="198"/>
      <c r="O63" s="139"/>
      <c r="P63" s="139"/>
      <c r="Q63" s="176"/>
      <c r="R63" s="141"/>
      <c r="S63" s="176">
        <f t="shared" si="9"/>
        <v>2.01</v>
      </c>
      <c r="T63" s="160">
        <f t="shared" si="10"/>
        <v>1</v>
      </c>
      <c r="U63" s="160">
        <f t="shared" si="11"/>
        <v>2.01</v>
      </c>
      <c r="V63" s="282">
        <f t="shared" si="51"/>
        <v>116.7577845</v>
      </c>
      <c r="W63" s="176">
        <f t="shared" ref="W63:X63" si="61">C63/100</f>
        <v>0.97</v>
      </c>
      <c r="X63" s="176">
        <f t="shared" si="61"/>
        <v>2.03</v>
      </c>
      <c r="Y63" s="176">
        <f t="shared" si="14"/>
        <v>2.01</v>
      </c>
      <c r="Z63" s="283">
        <f t="shared" si="15"/>
        <v>3.957891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44.0</v>
      </c>
      <c r="B64" s="191" t="s">
        <v>56</v>
      </c>
      <c r="C64" s="191">
        <v>90.0</v>
      </c>
      <c r="D64" s="191">
        <v>203.0</v>
      </c>
      <c r="E64" s="191">
        <v>202.0</v>
      </c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>
        <v>1.0</v>
      </c>
      <c r="J64" s="194">
        <f t="shared" si="8"/>
        <v>0</v>
      </c>
      <c r="K64" s="139"/>
      <c r="L64" s="197"/>
      <c r="M64" s="198">
        <f t="shared" si="18"/>
        <v>1</v>
      </c>
      <c r="N64" s="198"/>
      <c r="O64" s="139"/>
      <c r="P64" s="139"/>
      <c r="Q64" s="176">
        <v>116.0</v>
      </c>
      <c r="R64" s="141"/>
      <c r="S64" s="176">
        <f t="shared" si="9"/>
        <v>2.02</v>
      </c>
      <c r="T64" s="160">
        <f t="shared" si="10"/>
        <v>1</v>
      </c>
      <c r="U64" s="160">
        <f t="shared" si="11"/>
        <v>2.02</v>
      </c>
      <c r="V64" s="282">
        <f t="shared" si="51"/>
        <v>108.87093</v>
      </c>
      <c r="W64" s="176">
        <f t="shared" ref="W64:X64" si="62">C64/100</f>
        <v>0.9</v>
      </c>
      <c r="X64" s="176">
        <f t="shared" si="62"/>
        <v>2.03</v>
      </c>
      <c r="Y64" s="176">
        <f t="shared" si="14"/>
        <v>2.02</v>
      </c>
      <c r="Z64" s="283">
        <f t="shared" si="15"/>
        <v>3.69054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45.0</v>
      </c>
      <c r="B65" s="199" t="s">
        <v>55</v>
      </c>
      <c r="C65" s="191">
        <v>95.0</v>
      </c>
      <c r="D65" s="191">
        <v>203.0</v>
      </c>
      <c r="E65" s="191">
        <v>202.0</v>
      </c>
      <c r="F65" s="191">
        <f t="shared" si="5"/>
        <v>0</v>
      </c>
      <c r="G65" s="191">
        <f t="shared" si="6"/>
        <v>114.919315</v>
      </c>
      <c r="H65" s="192">
        <f t="shared" si="7"/>
        <v>114.919315</v>
      </c>
      <c r="I65" s="191">
        <v>50.0</v>
      </c>
      <c r="J65" s="194">
        <f t="shared" si="8"/>
        <v>5745.96575</v>
      </c>
      <c r="K65" s="139"/>
      <c r="L65" s="197"/>
      <c r="M65" s="198">
        <f t="shared" si="18"/>
        <v>50</v>
      </c>
      <c r="N65" s="198"/>
      <c r="O65" s="139"/>
      <c r="P65" s="139"/>
      <c r="Q65" s="176"/>
      <c r="R65" s="141">
        <f>+C11</f>
        <v>29.5</v>
      </c>
      <c r="S65" s="176">
        <f t="shared" si="9"/>
        <v>2.02</v>
      </c>
      <c r="T65" s="160">
        <f t="shared" si="10"/>
        <v>50</v>
      </c>
      <c r="U65" s="160">
        <f t="shared" si="11"/>
        <v>101</v>
      </c>
      <c r="V65" s="282">
        <f t="shared" ref="V65:V78" si="64">$R$65*C65/100*D65/100*E65/100</f>
        <v>114.919315</v>
      </c>
      <c r="W65" s="176">
        <f t="shared" ref="W65:X65" si="63">C65/100</f>
        <v>0.95</v>
      </c>
      <c r="X65" s="176">
        <f t="shared" si="63"/>
        <v>2.03</v>
      </c>
      <c r="Y65" s="176">
        <f t="shared" si="14"/>
        <v>101</v>
      </c>
      <c r="Z65" s="283">
        <f t="shared" si="15"/>
        <v>194.7785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46.0</v>
      </c>
      <c r="B66" s="191" t="s">
        <v>55</v>
      </c>
      <c r="C66" s="191">
        <v>95.0</v>
      </c>
      <c r="D66" s="191">
        <v>203.0</v>
      </c>
      <c r="E66" s="191">
        <v>204.0</v>
      </c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>
        <v>1.0</v>
      </c>
      <c r="J66" s="194">
        <f t="shared" si="8"/>
        <v>0</v>
      </c>
      <c r="K66" s="139"/>
      <c r="L66" s="197"/>
      <c r="M66" s="198">
        <f t="shared" si="18"/>
        <v>1</v>
      </c>
      <c r="N66" s="198"/>
      <c r="O66" s="139"/>
      <c r="P66" s="139"/>
      <c r="Q66" s="176"/>
      <c r="R66" s="141"/>
      <c r="S66" s="176">
        <f t="shared" si="9"/>
        <v>2.04</v>
      </c>
      <c r="T66" s="160">
        <f t="shared" si="10"/>
        <v>1</v>
      </c>
      <c r="U66" s="160">
        <f t="shared" si="11"/>
        <v>2.04</v>
      </c>
      <c r="V66" s="282">
        <f t="shared" si="64"/>
        <v>116.05713</v>
      </c>
      <c r="W66" s="176">
        <f t="shared" ref="W66:X66" si="65">C66/100</f>
        <v>0.95</v>
      </c>
      <c r="X66" s="176">
        <f t="shared" si="65"/>
        <v>2.03</v>
      </c>
      <c r="Y66" s="176">
        <f t="shared" si="14"/>
        <v>2.04</v>
      </c>
      <c r="Z66" s="283">
        <f t="shared" si="15"/>
        <v>3.93414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47.0</v>
      </c>
      <c r="B67" s="191" t="s">
        <v>55</v>
      </c>
      <c r="C67" s="191">
        <v>95.0</v>
      </c>
      <c r="D67" s="191">
        <v>203.0</v>
      </c>
      <c r="E67" s="191">
        <v>203.0</v>
      </c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>
        <v>2.0</v>
      </c>
      <c r="J67" s="194">
        <f t="shared" si="8"/>
        <v>0</v>
      </c>
      <c r="K67" s="139"/>
      <c r="L67" s="197"/>
      <c r="M67" s="198">
        <f t="shared" si="18"/>
        <v>2</v>
      </c>
      <c r="N67" s="198"/>
      <c r="O67" s="139"/>
      <c r="P67" s="139"/>
      <c r="Q67" s="176"/>
      <c r="R67" s="141"/>
      <c r="S67" s="176">
        <f t="shared" si="9"/>
        <v>2.03</v>
      </c>
      <c r="T67" s="160">
        <f t="shared" si="10"/>
        <v>2</v>
      </c>
      <c r="U67" s="160">
        <f t="shared" si="11"/>
        <v>4.06</v>
      </c>
      <c r="V67" s="282">
        <f t="shared" si="64"/>
        <v>115.4882225</v>
      </c>
      <c r="W67" s="176">
        <f t="shared" ref="W67:X67" si="66">C67/100</f>
        <v>0.95</v>
      </c>
      <c r="X67" s="176">
        <f t="shared" si="66"/>
        <v>2.03</v>
      </c>
      <c r="Y67" s="176">
        <f t="shared" si="14"/>
        <v>4.06</v>
      </c>
      <c r="Z67" s="283">
        <f t="shared" si="15"/>
        <v>7.82971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48.0</v>
      </c>
      <c r="B68" s="191" t="s">
        <v>55</v>
      </c>
      <c r="C68" s="191">
        <v>95.0</v>
      </c>
      <c r="D68" s="191">
        <v>203.0</v>
      </c>
      <c r="E68" s="191">
        <v>232.0</v>
      </c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>
        <v>15.0</v>
      </c>
      <c r="J68" s="194">
        <f t="shared" si="8"/>
        <v>0</v>
      </c>
      <c r="K68" s="139"/>
      <c r="L68" s="197"/>
      <c r="M68" s="198">
        <f t="shared" si="18"/>
        <v>15</v>
      </c>
      <c r="N68" s="198"/>
      <c r="O68" s="139"/>
      <c r="P68" s="139"/>
      <c r="Q68" s="176"/>
      <c r="R68" s="141"/>
      <c r="S68" s="176">
        <f t="shared" si="9"/>
        <v>2.32</v>
      </c>
      <c r="T68" s="160">
        <f t="shared" si="10"/>
        <v>15</v>
      </c>
      <c r="U68" s="160">
        <f t="shared" si="11"/>
        <v>34.8</v>
      </c>
      <c r="V68" s="282">
        <f t="shared" si="64"/>
        <v>131.98654</v>
      </c>
      <c r="W68" s="176">
        <f t="shared" ref="W68:X68" si="67">C68/100</f>
        <v>0.95</v>
      </c>
      <c r="X68" s="176">
        <f t="shared" si="67"/>
        <v>2.03</v>
      </c>
      <c r="Y68" s="176">
        <f t="shared" si="14"/>
        <v>34.8</v>
      </c>
      <c r="Z68" s="283">
        <f t="shared" si="15"/>
        <v>67.1118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49.0</v>
      </c>
      <c r="B69" s="191" t="s">
        <v>55</v>
      </c>
      <c r="C69" s="191">
        <v>96.0</v>
      </c>
      <c r="D69" s="191">
        <v>203.0</v>
      </c>
      <c r="E69" s="191">
        <v>232.0</v>
      </c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>
        <v>1.0</v>
      </c>
      <c r="J69" s="194">
        <f t="shared" si="8"/>
        <v>0</v>
      </c>
      <c r="K69" s="139"/>
      <c r="L69" s="197"/>
      <c r="M69" s="198">
        <f t="shared" si="18"/>
        <v>1</v>
      </c>
      <c r="N69" s="198"/>
      <c r="O69" s="139"/>
      <c r="P69" s="139"/>
      <c r="Q69" s="176">
        <v>133.0</v>
      </c>
      <c r="R69" s="141"/>
      <c r="S69" s="176">
        <f t="shared" si="9"/>
        <v>2.32</v>
      </c>
      <c r="T69" s="160">
        <f t="shared" si="10"/>
        <v>1</v>
      </c>
      <c r="U69" s="160">
        <f t="shared" si="11"/>
        <v>2.32</v>
      </c>
      <c r="V69" s="282">
        <f t="shared" si="64"/>
        <v>133.375872</v>
      </c>
      <c r="W69" s="176">
        <f t="shared" ref="W69:X69" si="68">C69/100</f>
        <v>0.96</v>
      </c>
      <c r="X69" s="176">
        <f t="shared" si="68"/>
        <v>2.03</v>
      </c>
      <c r="Y69" s="176">
        <f t="shared" si="14"/>
        <v>2.32</v>
      </c>
      <c r="Z69" s="283">
        <f t="shared" si="15"/>
        <v>4.521216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50.0</v>
      </c>
      <c r="B70" s="191" t="s">
        <v>55</v>
      </c>
      <c r="C70" s="191">
        <v>96.0</v>
      </c>
      <c r="D70" s="191">
        <v>203.0</v>
      </c>
      <c r="E70" s="191">
        <v>232.0</v>
      </c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>
        <v>1.0</v>
      </c>
      <c r="J70" s="194">
        <f t="shared" si="8"/>
        <v>0</v>
      </c>
      <c r="K70" s="139"/>
      <c r="L70" s="197"/>
      <c r="M70" s="198">
        <f t="shared" si="18"/>
        <v>1</v>
      </c>
      <c r="N70" s="198"/>
      <c r="O70" s="139"/>
      <c r="P70" s="139"/>
      <c r="Q70" s="176">
        <v>132.0</v>
      </c>
      <c r="R70" s="141"/>
      <c r="S70" s="176">
        <f t="shared" si="9"/>
        <v>2.32</v>
      </c>
      <c r="T70" s="160">
        <f t="shared" si="10"/>
        <v>1</v>
      </c>
      <c r="U70" s="160">
        <f t="shared" si="11"/>
        <v>2.32</v>
      </c>
      <c r="V70" s="282">
        <f t="shared" si="64"/>
        <v>133.375872</v>
      </c>
      <c r="W70" s="176">
        <f t="shared" ref="W70:X70" si="69">C70/100</f>
        <v>0.96</v>
      </c>
      <c r="X70" s="176">
        <f t="shared" si="69"/>
        <v>2.03</v>
      </c>
      <c r="Y70" s="176">
        <f t="shared" si="14"/>
        <v>2.32</v>
      </c>
      <c r="Z70" s="283">
        <f t="shared" si="15"/>
        <v>4.521216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51.0</v>
      </c>
      <c r="B71" s="191" t="s">
        <v>55</v>
      </c>
      <c r="C71" s="191">
        <v>96.0</v>
      </c>
      <c r="D71" s="191">
        <v>203.0</v>
      </c>
      <c r="E71" s="191">
        <v>232.0</v>
      </c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>
        <v>1.0</v>
      </c>
      <c r="J71" s="194">
        <f t="shared" si="8"/>
        <v>0</v>
      </c>
      <c r="K71" s="139"/>
      <c r="L71" s="197"/>
      <c r="M71" s="198">
        <f t="shared" si="18"/>
        <v>1</v>
      </c>
      <c r="N71" s="198"/>
      <c r="O71" s="139"/>
      <c r="P71" s="139"/>
      <c r="Q71" s="176">
        <v>133.0</v>
      </c>
      <c r="R71" s="141"/>
      <c r="S71" s="176">
        <f t="shared" si="9"/>
        <v>2.32</v>
      </c>
      <c r="T71" s="160">
        <f t="shared" si="10"/>
        <v>1</v>
      </c>
      <c r="U71" s="160">
        <f t="shared" si="11"/>
        <v>2.32</v>
      </c>
      <c r="V71" s="282">
        <f t="shared" si="64"/>
        <v>133.375872</v>
      </c>
      <c r="W71" s="176">
        <f t="shared" ref="W71:X71" si="70">C71/100</f>
        <v>0.96</v>
      </c>
      <c r="X71" s="176">
        <f t="shared" si="70"/>
        <v>2.03</v>
      </c>
      <c r="Y71" s="176">
        <f t="shared" si="14"/>
        <v>2.32</v>
      </c>
      <c r="Z71" s="283">
        <f t="shared" si="15"/>
        <v>4.521216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52.0</v>
      </c>
      <c r="B72" s="191" t="s">
        <v>55</v>
      </c>
      <c r="C72" s="191">
        <v>96.0</v>
      </c>
      <c r="D72" s="191">
        <v>203.0</v>
      </c>
      <c r="E72" s="191">
        <v>232.0</v>
      </c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>
        <v>1.0</v>
      </c>
      <c r="J72" s="194">
        <f t="shared" si="8"/>
        <v>0</v>
      </c>
      <c r="K72" s="139"/>
      <c r="L72" s="197"/>
      <c r="M72" s="198">
        <f t="shared" si="18"/>
        <v>1</v>
      </c>
      <c r="N72" s="198"/>
      <c r="O72" s="139"/>
      <c r="P72" s="139"/>
      <c r="Q72" s="176">
        <v>132.0</v>
      </c>
      <c r="R72" s="141"/>
      <c r="S72" s="176">
        <f t="shared" si="9"/>
        <v>2.32</v>
      </c>
      <c r="T72" s="160">
        <f t="shared" si="10"/>
        <v>1</v>
      </c>
      <c r="U72" s="160">
        <f t="shared" si="11"/>
        <v>2.32</v>
      </c>
      <c r="V72" s="282">
        <f t="shared" si="64"/>
        <v>133.375872</v>
      </c>
      <c r="W72" s="176">
        <f t="shared" ref="W72:X72" si="71">C72/100</f>
        <v>0.96</v>
      </c>
      <c r="X72" s="176">
        <f t="shared" si="71"/>
        <v>2.03</v>
      </c>
      <c r="Y72" s="176">
        <f t="shared" si="14"/>
        <v>2.32</v>
      </c>
      <c r="Z72" s="283">
        <f t="shared" si="15"/>
        <v>4.521216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53.0</v>
      </c>
      <c r="B73" s="191" t="s">
        <v>55</v>
      </c>
      <c r="C73" s="191">
        <v>96.0</v>
      </c>
      <c r="D73" s="191">
        <v>203.0</v>
      </c>
      <c r="E73" s="191">
        <v>232.0</v>
      </c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>
        <v>1.0</v>
      </c>
      <c r="J73" s="194">
        <f t="shared" si="8"/>
        <v>0</v>
      </c>
      <c r="K73" s="139"/>
      <c r="L73" s="197"/>
      <c r="M73" s="198">
        <f t="shared" si="18"/>
        <v>1</v>
      </c>
      <c r="N73" s="198"/>
      <c r="O73" s="139"/>
      <c r="P73" s="139"/>
      <c r="Q73" s="176">
        <v>132.0</v>
      </c>
      <c r="R73" s="141"/>
      <c r="S73" s="176">
        <f t="shared" si="9"/>
        <v>2.32</v>
      </c>
      <c r="T73" s="160">
        <f t="shared" si="10"/>
        <v>1</v>
      </c>
      <c r="U73" s="160">
        <f t="shared" si="11"/>
        <v>2.32</v>
      </c>
      <c r="V73" s="282">
        <f t="shared" si="64"/>
        <v>133.375872</v>
      </c>
      <c r="W73" s="176">
        <f t="shared" ref="W73:X73" si="72">C73/100</f>
        <v>0.96</v>
      </c>
      <c r="X73" s="176">
        <f t="shared" si="72"/>
        <v>2.03</v>
      </c>
      <c r="Y73" s="176">
        <f t="shared" si="14"/>
        <v>2.32</v>
      </c>
      <c r="Z73" s="283">
        <f t="shared" si="15"/>
        <v>4.521216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54.0</v>
      </c>
      <c r="B74" s="191" t="s">
        <v>55</v>
      </c>
      <c r="C74" s="191">
        <v>96.0</v>
      </c>
      <c r="D74" s="191">
        <v>203.0</v>
      </c>
      <c r="E74" s="191">
        <v>232.0</v>
      </c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>
        <v>25.0</v>
      </c>
      <c r="J74" s="194">
        <f t="shared" si="8"/>
        <v>0</v>
      </c>
      <c r="K74" s="139"/>
      <c r="L74" s="197"/>
      <c r="M74" s="198">
        <f t="shared" si="18"/>
        <v>25</v>
      </c>
      <c r="N74" s="198"/>
      <c r="O74" s="139"/>
      <c r="P74" s="139"/>
      <c r="Q74" s="176"/>
      <c r="R74" s="141"/>
      <c r="S74" s="176">
        <f t="shared" si="9"/>
        <v>2.32</v>
      </c>
      <c r="T74" s="160">
        <f t="shared" si="10"/>
        <v>25</v>
      </c>
      <c r="U74" s="160">
        <f t="shared" si="11"/>
        <v>58</v>
      </c>
      <c r="V74" s="282">
        <f t="shared" si="64"/>
        <v>133.375872</v>
      </c>
      <c r="W74" s="176">
        <f t="shared" ref="W74:X74" si="73">C74/100</f>
        <v>0.96</v>
      </c>
      <c r="X74" s="176">
        <f t="shared" si="73"/>
        <v>2.03</v>
      </c>
      <c r="Y74" s="176">
        <f t="shared" si="14"/>
        <v>58</v>
      </c>
      <c r="Z74" s="283">
        <f t="shared" si="15"/>
        <v>113.0304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55.0</v>
      </c>
      <c r="B75" s="191" t="s">
        <v>55</v>
      </c>
      <c r="C75" s="191">
        <v>96.0</v>
      </c>
      <c r="D75" s="191">
        <v>203.0</v>
      </c>
      <c r="E75" s="191">
        <v>201.0</v>
      </c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>
        <v>1.0</v>
      </c>
      <c r="J75" s="194">
        <f t="shared" si="8"/>
        <v>0</v>
      </c>
      <c r="K75" s="139"/>
      <c r="L75" s="197"/>
      <c r="M75" s="198">
        <f t="shared" si="18"/>
        <v>1</v>
      </c>
      <c r="N75" s="198"/>
      <c r="O75" s="139"/>
      <c r="P75" s="139"/>
      <c r="Q75" s="176"/>
      <c r="R75" s="141"/>
      <c r="S75" s="176">
        <f t="shared" si="9"/>
        <v>2.01</v>
      </c>
      <c r="T75" s="160">
        <f t="shared" si="10"/>
        <v>1</v>
      </c>
      <c r="U75" s="160">
        <f t="shared" si="11"/>
        <v>2.01</v>
      </c>
      <c r="V75" s="282">
        <f t="shared" si="64"/>
        <v>115.554096</v>
      </c>
      <c r="W75" s="176">
        <f t="shared" ref="W75:X75" si="74">C75/100</f>
        <v>0.96</v>
      </c>
      <c r="X75" s="176">
        <f t="shared" si="74"/>
        <v>2.03</v>
      </c>
      <c r="Y75" s="176">
        <f t="shared" si="14"/>
        <v>2.01</v>
      </c>
      <c r="Z75" s="283">
        <f t="shared" si="15"/>
        <v>3.917088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56.0</v>
      </c>
      <c r="B76" s="191" t="s">
        <v>55</v>
      </c>
      <c r="C76" s="191">
        <v>98.0</v>
      </c>
      <c r="D76" s="191">
        <v>203.0</v>
      </c>
      <c r="E76" s="191">
        <v>232.0</v>
      </c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>
        <v>3.0</v>
      </c>
      <c r="J76" s="194">
        <f t="shared" si="8"/>
        <v>0</v>
      </c>
      <c r="K76" s="139"/>
      <c r="L76" s="197"/>
      <c r="M76" s="198">
        <f t="shared" si="18"/>
        <v>3</v>
      </c>
      <c r="N76" s="198"/>
      <c r="O76" s="139"/>
      <c r="P76" s="139"/>
      <c r="Q76" s="176"/>
      <c r="R76" s="141"/>
      <c r="S76" s="176">
        <f t="shared" si="9"/>
        <v>2.32</v>
      </c>
      <c r="T76" s="160">
        <f t="shared" si="10"/>
        <v>3</v>
      </c>
      <c r="U76" s="160">
        <f t="shared" si="11"/>
        <v>6.96</v>
      </c>
      <c r="V76" s="282">
        <f t="shared" si="64"/>
        <v>136.154536</v>
      </c>
      <c r="W76" s="176">
        <f t="shared" ref="W76:X76" si="75">C76/100</f>
        <v>0.98</v>
      </c>
      <c r="X76" s="176">
        <f t="shared" si="75"/>
        <v>2.03</v>
      </c>
      <c r="Y76" s="176">
        <f t="shared" si="14"/>
        <v>6.96</v>
      </c>
      <c r="Z76" s="283">
        <f t="shared" si="15"/>
        <v>13.846224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57.0</v>
      </c>
      <c r="B77" s="191" t="s">
        <v>55</v>
      </c>
      <c r="C77" s="191">
        <v>73.0</v>
      </c>
      <c r="D77" s="191">
        <v>203.0</v>
      </c>
      <c r="E77" s="191">
        <v>156.0</v>
      </c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>
        <v>1.0</v>
      </c>
      <c r="J77" s="194">
        <f t="shared" si="8"/>
        <v>0</v>
      </c>
      <c r="K77" s="139"/>
      <c r="L77" s="197"/>
      <c r="M77" s="198">
        <f t="shared" si="18"/>
        <v>1</v>
      </c>
      <c r="N77" s="198"/>
      <c r="O77" s="139"/>
      <c r="P77" s="139"/>
      <c r="Q77" s="176"/>
      <c r="R77" s="141"/>
      <c r="S77" s="176">
        <f t="shared" si="9"/>
        <v>1.56</v>
      </c>
      <c r="T77" s="160">
        <f t="shared" si="10"/>
        <v>1</v>
      </c>
      <c r="U77" s="160">
        <f t="shared" si="11"/>
        <v>1.56</v>
      </c>
      <c r="V77" s="282">
        <f t="shared" si="64"/>
        <v>68.197038</v>
      </c>
      <c r="W77" s="176">
        <f t="shared" ref="W77:X77" si="76">C77/100</f>
        <v>0.73</v>
      </c>
      <c r="X77" s="176">
        <f t="shared" si="76"/>
        <v>2.03</v>
      </c>
      <c r="Y77" s="176">
        <f t="shared" si="14"/>
        <v>1.56</v>
      </c>
      <c r="Z77" s="283">
        <f t="shared" si="15"/>
        <v>2.311764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58.0</v>
      </c>
      <c r="B78" s="191" t="s">
        <v>55</v>
      </c>
      <c r="C78" s="191">
        <v>97.0</v>
      </c>
      <c r="D78" s="191">
        <v>203.0</v>
      </c>
      <c r="E78" s="191">
        <v>232.0</v>
      </c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>
        <v>1.0</v>
      </c>
      <c r="J78" s="194">
        <f t="shared" si="8"/>
        <v>0</v>
      </c>
      <c r="K78" s="139"/>
      <c r="L78" s="197"/>
      <c r="M78" s="198">
        <f t="shared" si="18"/>
        <v>1</v>
      </c>
      <c r="N78" s="198"/>
      <c r="O78" s="139"/>
      <c r="P78" s="139"/>
      <c r="Q78" s="176"/>
      <c r="R78" s="141"/>
      <c r="S78" s="176">
        <f t="shared" si="9"/>
        <v>2.32</v>
      </c>
      <c r="T78" s="160">
        <f t="shared" si="10"/>
        <v>1</v>
      </c>
      <c r="U78" s="160">
        <f t="shared" si="11"/>
        <v>2.32</v>
      </c>
      <c r="V78" s="282">
        <f t="shared" si="64"/>
        <v>134.765204</v>
      </c>
      <c r="W78" s="176">
        <f t="shared" ref="W78:X78" si="77">C78/100</f>
        <v>0.97</v>
      </c>
      <c r="X78" s="176">
        <f t="shared" si="77"/>
        <v>2.03</v>
      </c>
      <c r="Y78" s="176">
        <f t="shared" si="14"/>
        <v>2.32</v>
      </c>
      <c r="Z78" s="283">
        <f t="shared" si="15"/>
        <v>4.568312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59.0</v>
      </c>
      <c r="B79" s="275" t="s">
        <v>66</v>
      </c>
      <c r="C79" s="275">
        <v>180.0</v>
      </c>
      <c r="D79" s="275">
        <v>203.0</v>
      </c>
      <c r="E79" s="275">
        <v>95.0</v>
      </c>
      <c r="F79" s="275">
        <f t="shared" si="5"/>
        <v>0.5</v>
      </c>
      <c r="G79" s="275">
        <f t="shared" si="6"/>
        <v>102.40335</v>
      </c>
      <c r="H79" s="276">
        <f t="shared" si="7"/>
        <v>51.201675</v>
      </c>
      <c r="I79" s="275">
        <v>1.0</v>
      </c>
      <c r="J79" s="294">
        <f t="shared" si="8"/>
        <v>51.201675</v>
      </c>
      <c r="K79" s="295"/>
      <c r="L79" s="296"/>
      <c r="M79" s="297">
        <f t="shared" si="18"/>
        <v>1</v>
      </c>
      <c r="N79" s="297"/>
      <c r="O79" s="295"/>
      <c r="P79" s="295"/>
      <c r="Q79" s="302"/>
      <c r="R79" s="141">
        <f>+(29.5+29.5)/2</f>
        <v>29.5</v>
      </c>
      <c r="S79" s="176">
        <f t="shared" si="9"/>
        <v>0.95</v>
      </c>
      <c r="T79" s="160">
        <f t="shared" si="10"/>
        <v>1</v>
      </c>
      <c r="U79" s="160">
        <f t="shared" si="11"/>
        <v>0.95</v>
      </c>
      <c r="V79" s="282">
        <f t="shared" ref="V79:V82" si="79">R79*C79/100*D79/100*E79/100</f>
        <v>102.40335</v>
      </c>
      <c r="W79" s="176">
        <f t="shared" ref="W79:X79" si="78">C79/100</f>
        <v>1.8</v>
      </c>
      <c r="X79" s="176">
        <f t="shared" si="78"/>
        <v>2.03</v>
      </c>
      <c r="Y79" s="176">
        <f t="shared" si="14"/>
        <v>0.95</v>
      </c>
      <c r="Z79" s="283">
        <f t="shared" si="15"/>
        <v>3.4713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60.0</v>
      </c>
      <c r="B80" s="301" t="s">
        <v>203</v>
      </c>
      <c r="C80" s="191">
        <v>94.0</v>
      </c>
      <c r="D80" s="191">
        <v>194.0</v>
      </c>
      <c r="E80" s="191">
        <v>247.0</v>
      </c>
      <c r="F80" s="191">
        <f t="shared" si="5"/>
        <v>0.8</v>
      </c>
      <c r="G80" s="191">
        <f t="shared" si="6"/>
        <v>101.34657</v>
      </c>
      <c r="H80" s="192">
        <f t="shared" si="7"/>
        <v>81.077256</v>
      </c>
      <c r="I80" s="191">
        <v>1.0</v>
      </c>
      <c r="J80" s="194">
        <f t="shared" si="8"/>
        <v>81.077256</v>
      </c>
      <c r="K80" s="139"/>
      <c r="L80" s="176">
        <f t="shared" ref="L80:L81" si="81">D80*25.4/1000</f>
        <v>4.9276</v>
      </c>
      <c r="M80" s="160">
        <f t="shared" si="18"/>
        <v>1</v>
      </c>
      <c r="N80" s="160">
        <f t="shared" ref="N80:N81" si="82">M80*L80</f>
        <v>4.9276</v>
      </c>
      <c r="O80" s="139"/>
      <c r="P80" s="139"/>
      <c r="Q80" s="176"/>
      <c r="R80" s="141">
        <v>22.5</v>
      </c>
      <c r="S80" s="176">
        <f t="shared" si="9"/>
        <v>2.47</v>
      </c>
      <c r="T80" s="160">
        <f t="shared" si="10"/>
        <v>1</v>
      </c>
      <c r="U80" s="160">
        <f t="shared" si="11"/>
        <v>2.47</v>
      </c>
      <c r="V80" s="282">
        <f t="shared" si="79"/>
        <v>101.34657</v>
      </c>
      <c r="W80" s="176">
        <f t="shared" ref="W80:X80" si="80">C80/100</f>
        <v>0.94</v>
      </c>
      <c r="X80" s="176">
        <f t="shared" si="80"/>
        <v>1.94</v>
      </c>
      <c r="Y80" s="176">
        <f t="shared" si="14"/>
        <v>2.47</v>
      </c>
      <c r="Z80" s="283">
        <f t="shared" si="15"/>
        <v>4.504292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>
        <v>61.0</v>
      </c>
      <c r="B81" s="301" t="s">
        <v>204</v>
      </c>
      <c r="C81" s="191">
        <v>97.0</v>
      </c>
      <c r="D81" s="191">
        <v>200.0</v>
      </c>
      <c r="E81" s="191">
        <v>118.0</v>
      </c>
      <c r="F81" s="191">
        <f t="shared" si="5"/>
        <v>0.8</v>
      </c>
      <c r="G81" s="191">
        <f t="shared" si="6"/>
        <v>56.0854</v>
      </c>
      <c r="H81" s="192">
        <f t="shared" si="7"/>
        <v>44.86832</v>
      </c>
      <c r="I81" s="191">
        <v>1.0</v>
      </c>
      <c r="J81" s="194">
        <f t="shared" si="8"/>
        <v>44.86832</v>
      </c>
      <c r="K81" s="139"/>
      <c r="L81" s="197">
        <f t="shared" si="81"/>
        <v>5.08</v>
      </c>
      <c r="M81" s="198">
        <f t="shared" si="18"/>
        <v>1</v>
      </c>
      <c r="N81" s="198">
        <f t="shared" si="82"/>
        <v>5.08</v>
      </c>
      <c r="O81" s="139"/>
      <c r="P81" s="139"/>
      <c r="Q81" s="176"/>
      <c r="R81" s="141">
        <v>24.5</v>
      </c>
      <c r="S81" s="176">
        <f t="shared" si="9"/>
        <v>1.18</v>
      </c>
      <c r="T81" s="160">
        <f t="shared" si="10"/>
        <v>1</v>
      </c>
      <c r="U81" s="160">
        <f t="shared" si="11"/>
        <v>1.18</v>
      </c>
      <c r="V81" s="282">
        <f t="shared" si="79"/>
        <v>56.0854</v>
      </c>
      <c r="W81" s="176">
        <f t="shared" ref="W81:X81" si="83">C81/100</f>
        <v>0.97</v>
      </c>
      <c r="X81" s="176">
        <f t="shared" si="83"/>
        <v>2</v>
      </c>
      <c r="Y81" s="176">
        <f t="shared" si="14"/>
        <v>1.18</v>
      </c>
      <c r="Z81" s="283">
        <f t="shared" si="15"/>
        <v>2.2892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60">
        <v>62.0</v>
      </c>
      <c r="B82" s="191" t="s">
        <v>200</v>
      </c>
      <c r="C82" s="191">
        <v>78.0</v>
      </c>
      <c r="D82" s="191">
        <v>200.0</v>
      </c>
      <c r="E82" s="191">
        <v>213.0</v>
      </c>
      <c r="F82" s="191">
        <f t="shared" si="5"/>
        <v>0</v>
      </c>
      <c r="G82" s="191">
        <f t="shared" si="6"/>
        <v>81.4086</v>
      </c>
      <c r="H82" s="192">
        <f t="shared" si="7"/>
        <v>81.4086</v>
      </c>
      <c r="I82" s="191">
        <v>1.0</v>
      </c>
      <c r="J82" s="194">
        <f t="shared" si="8"/>
        <v>81.4086</v>
      </c>
      <c r="K82" s="139"/>
      <c r="L82" s="197"/>
      <c r="M82" s="198">
        <f t="shared" si="18"/>
        <v>1</v>
      </c>
      <c r="N82" s="198"/>
      <c r="O82" s="139"/>
      <c r="P82" s="139"/>
      <c r="Q82" s="176"/>
      <c r="R82" s="141">
        <v>24.5</v>
      </c>
      <c r="S82" s="176">
        <f t="shared" si="9"/>
        <v>2.13</v>
      </c>
      <c r="T82" s="160">
        <f t="shared" si="10"/>
        <v>1</v>
      </c>
      <c r="U82" s="160">
        <f t="shared" si="11"/>
        <v>2.13</v>
      </c>
      <c r="V82" s="282">
        <f t="shared" si="79"/>
        <v>81.4086</v>
      </c>
      <c r="W82" s="176">
        <f t="shared" ref="W82:X82" si="84">C82/100</f>
        <v>0.78</v>
      </c>
      <c r="X82" s="176">
        <f t="shared" si="84"/>
        <v>2</v>
      </c>
      <c r="Y82" s="176">
        <f t="shared" si="14"/>
        <v>2.13</v>
      </c>
      <c r="Z82" s="283">
        <f t="shared" si="15"/>
        <v>3.3228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customHeight="1">
      <c r="A83" s="160"/>
      <c r="B83" s="176"/>
      <c r="C83" s="176"/>
      <c r="D83" s="176"/>
      <c r="E83" s="176"/>
      <c r="F83" s="176"/>
      <c r="G83" s="176"/>
      <c r="H83" s="179"/>
      <c r="I83" s="160"/>
      <c r="J83" s="203">
        <f>+Q115</f>
        <v>156</v>
      </c>
      <c r="K83" s="139"/>
      <c r="L83" s="139"/>
      <c r="M83" s="139"/>
      <c r="N83" s="139"/>
      <c r="O83" s="139"/>
      <c r="P83" s="139"/>
      <c r="Q83" s="139"/>
      <c r="R83" s="204"/>
      <c r="S83" s="187">
        <f t="shared" si="9"/>
        <v>0</v>
      </c>
      <c r="T83" s="181" t="str">
        <f t="shared" si="10"/>
        <v/>
      </c>
      <c r="U83" s="181">
        <f t="shared" si="11"/>
        <v>0</v>
      </c>
      <c r="V83" s="186"/>
      <c r="W83" s="187">
        <f t="shared" ref="W83:X83" si="85">C83/100</f>
        <v>0</v>
      </c>
      <c r="X83" s="187">
        <f t="shared" si="85"/>
        <v>0</v>
      </c>
      <c r="Y83" s="187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customHeight="1">
      <c r="A84" s="160"/>
      <c r="B84" s="205"/>
      <c r="C84" s="205"/>
      <c r="D84" s="205"/>
      <c r="E84" s="205"/>
      <c r="F84" s="205"/>
      <c r="G84" s="205"/>
      <c r="H84" s="206"/>
      <c r="I84" s="207">
        <f>SUM(I21:I82)</f>
        <v>183</v>
      </c>
      <c r="J84" s="208">
        <f>SUM(J21:J83)</f>
        <v>6390.470613</v>
      </c>
      <c r="K84" s="209"/>
      <c r="L84" s="209"/>
      <c r="M84" s="209"/>
      <c r="N84" s="209"/>
      <c r="O84" s="209"/>
      <c r="P84" s="209"/>
      <c r="Q84" s="209"/>
      <c r="R84" s="141"/>
      <c r="S84" s="209">
        <f>SUMIFS($T$21:$T$82,$S$21:$S$82,"&gt;=3")</f>
        <v>0</v>
      </c>
      <c r="T84" s="209">
        <f t="shared" ref="T84:U84" si="86">SUM(T21:T82)</f>
        <v>183</v>
      </c>
      <c r="U84" s="209">
        <f t="shared" si="86"/>
        <v>379.5</v>
      </c>
      <c r="V84" s="209"/>
      <c r="W84" s="209"/>
      <c r="X84" s="209"/>
      <c r="Y84" s="209"/>
      <c r="Z84" s="210">
        <f>SUM(Z21:Z83)</f>
        <v>733.618869</v>
      </c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</row>
    <row r="85" ht="29.25" customHeight="1">
      <c r="A85" s="139"/>
      <c r="B85" s="139"/>
      <c r="C85" s="139"/>
      <c r="D85" s="139"/>
      <c r="E85" s="139"/>
      <c r="F85" s="139"/>
      <c r="G85" s="139"/>
      <c r="H85" s="140"/>
      <c r="I85" s="139"/>
      <c r="J85" s="139"/>
      <c r="K85" s="139"/>
      <c r="L85" s="139"/>
      <c r="M85" s="139"/>
      <c r="N85" s="139"/>
      <c r="O85" s="139"/>
      <c r="P85" s="139"/>
      <c r="Q85" s="139"/>
      <c r="R85" s="141"/>
      <c r="S85" s="186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9.25" customHeight="1">
      <c r="A86" s="139"/>
      <c r="B86" s="139"/>
      <c r="C86" s="139"/>
      <c r="D86" s="139"/>
      <c r="E86" s="139"/>
      <c r="F86" s="139"/>
      <c r="G86" s="139"/>
      <c r="H86" s="140"/>
      <c r="I86" s="139"/>
      <c r="J86" s="139"/>
      <c r="K86" s="139"/>
      <c r="L86" s="139"/>
      <c r="M86" s="139"/>
      <c r="N86" s="139"/>
      <c r="O86" s="139"/>
      <c r="P86" s="139"/>
      <c r="Q86" s="139"/>
      <c r="R86" s="204"/>
      <c r="S86" s="139"/>
      <c r="T86" s="139" t="s">
        <v>48</v>
      </c>
      <c r="U86" s="139" t="s">
        <v>72</v>
      </c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9.25" customHeight="1">
      <c r="A87" s="139"/>
      <c r="B87" s="139"/>
      <c r="C87" s="139"/>
      <c r="D87" s="139"/>
      <c r="E87" s="139"/>
      <c r="F87" s="139"/>
      <c r="G87" s="139"/>
      <c r="H87" s="140"/>
      <c r="I87" s="139"/>
      <c r="J87" s="139"/>
      <c r="K87" s="139"/>
      <c r="L87" s="139"/>
      <c r="M87" s="139"/>
      <c r="N87" s="139"/>
      <c r="O87" s="139"/>
      <c r="P87" s="139"/>
      <c r="Q87" s="139"/>
      <c r="R87" s="141"/>
      <c r="S87" s="139" t="s">
        <v>31</v>
      </c>
      <c r="T87" s="211">
        <f>SUMIFS($J$21:$J$82,$S$21:$S$82,"&gt;=3")</f>
        <v>0</v>
      </c>
      <c r="U87" s="212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9.25" customHeight="1">
      <c r="A88" s="139" t="s">
        <v>32</v>
      </c>
      <c r="B88" s="139"/>
      <c r="C88" s="139"/>
      <c r="D88" s="139" t="s">
        <v>33</v>
      </c>
      <c r="E88" s="139"/>
      <c r="F88" s="139"/>
      <c r="G88" s="139"/>
      <c r="H88" s="140"/>
      <c r="I88" s="139"/>
      <c r="J88" s="139"/>
      <c r="K88" s="139"/>
      <c r="L88" s="139"/>
      <c r="M88" s="139"/>
      <c r="N88" s="139"/>
      <c r="O88" s="139"/>
      <c r="P88" s="139"/>
      <c r="Q88" s="139"/>
      <c r="R88" s="141"/>
      <c r="S88" s="139" t="s">
        <v>34</v>
      </c>
      <c r="T88" s="213">
        <f>J84-T87</f>
        <v>6390.470613</v>
      </c>
      <c r="U88" s="212">
        <f>+SUMIFS($U$21:$U$82,$S$21:$S$82,"&gt;=3")</f>
        <v>0</v>
      </c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9.25" customHeight="1">
      <c r="A89" s="139"/>
      <c r="B89" s="139"/>
      <c r="C89" s="139"/>
      <c r="D89" s="139"/>
      <c r="E89" s="139"/>
      <c r="F89" s="139"/>
      <c r="G89" s="139"/>
      <c r="H89" s="140"/>
      <c r="I89" s="139"/>
      <c r="J89" s="139"/>
      <c r="K89" s="139"/>
      <c r="L89" s="139"/>
      <c r="M89" s="139"/>
      <c r="N89" s="139"/>
      <c r="O89" s="139"/>
      <c r="P89" s="139"/>
      <c r="Q89" s="139"/>
      <c r="R89" s="204"/>
      <c r="S89" s="139"/>
      <c r="T89" s="214">
        <f>+I84</f>
        <v>183</v>
      </c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39.0" customHeight="1">
      <c r="A90" s="176"/>
      <c r="B90" s="160" t="s">
        <v>12</v>
      </c>
      <c r="C90" s="177" t="s">
        <v>73</v>
      </c>
      <c r="D90" s="52"/>
      <c r="E90" s="53"/>
      <c r="F90" s="178"/>
      <c r="G90" s="178"/>
      <c r="H90" s="179" t="s">
        <v>14</v>
      </c>
      <c r="I90" s="160" t="s">
        <v>15</v>
      </c>
      <c r="J90" s="160" t="s">
        <v>16</v>
      </c>
      <c r="K90" s="139"/>
      <c r="L90" s="139"/>
      <c r="M90" s="139"/>
      <c r="N90" s="139"/>
      <c r="O90" s="139"/>
      <c r="P90" s="139"/>
      <c r="Q90" s="139"/>
      <c r="R90" s="141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54">
        <v>1.0</v>
      </c>
      <c r="B91" s="215" t="s">
        <v>80</v>
      </c>
      <c r="C91" s="215">
        <v>98.0</v>
      </c>
      <c r="D91" s="215">
        <v>203.0</v>
      </c>
      <c r="E91" s="215">
        <v>237.0</v>
      </c>
      <c r="F91" s="215">
        <f t="shared" ref="F91:F96" si="87">1-VALUE(IF(RIGHT(B91, 1)="%", RIGHT(B91, 3), 0))</f>
        <v>0.2</v>
      </c>
      <c r="G91" s="215">
        <f t="shared" ref="G91:G96" si="88">+Q91*C91/100*D91/100*E91/100</f>
        <v>0</v>
      </c>
      <c r="H91" s="216">
        <f t="shared" ref="H91:H96" si="89">IF(F91=0, G91, F91*G91)</f>
        <v>0</v>
      </c>
      <c r="I91" s="215">
        <v>1.0</v>
      </c>
      <c r="J91" s="217">
        <f t="shared" ref="J91:J96" si="90">+I91*H91</f>
        <v>0</v>
      </c>
      <c r="K91" s="139"/>
      <c r="L91" s="176">
        <f t="shared" ref="L91:L92" si="91">D91*25.4/1000</f>
        <v>5.1562</v>
      </c>
      <c r="M91" s="160">
        <f t="shared" ref="M91:M92" si="92">+I91</f>
        <v>1</v>
      </c>
      <c r="N91" s="160">
        <f t="shared" ref="N91:N92" si="93">M91*L91</f>
        <v>5.1562</v>
      </c>
      <c r="O91" s="139"/>
      <c r="P91" s="139"/>
      <c r="Q91" s="139"/>
      <c r="R91" s="141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54">
        <v>2.0</v>
      </c>
      <c r="B92" s="215" t="s">
        <v>107</v>
      </c>
      <c r="C92" s="215">
        <v>90.0</v>
      </c>
      <c r="D92" s="215">
        <v>190.0</v>
      </c>
      <c r="E92" s="215">
        <v>190.0</v>
      </c>
      <c r="F92" s="215">
        <f t="shared" si="87"/>
        <v>0.2</v>
      </c>
      <c r="G92" s="215">
        <f t="shared" si="88"/>
        <v>0</v>
      </c>
      <c r="H92" s="216">
        <f t="shared" si="89"/>
        <v>0</v>
      </c>
      <c r="I92" s="215">
        <v>1.0</v>
      </c>
      <c r="J92" s="217">
        <f t="shared" si="90"/>
        <v>0</v>
      </c>
      <c r="K92" s="139"/>
      <c r="L92" s="176">
        <f t="shared" si="91"/>
        <v>4.826</v>
      </c>
      <c r="M92" s="160">
        <f t="shared" si="92"/>
        <v>1</v>
      </c>
      <c r="N92" s="160">
        <f t="shared" si="93"/>
        <v>4.826</v>
      </c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54">
        <v>3.0</v>
      </c>
      <c r="B93" s="215" t="s">
        <v>202</v>
      </c>
      <c r="C93" s="215">
        <v>86.0</v>
      </c>
      <c r="D93" s="215">
        <v>203.0</v>
      </c>
      <c r="E93" s="215">
        <v>202.0</v>
      </c>
      <c r="F93" s="215">
        <f t="shared" si="87"/>
        <v>1</v>
      </c>
      <c r="G93" s="215">
        <f t="shared" si="88"/>
        <v>0</v>
      </c>
      <c r="H93" s="216">
        <f t="shared" si="89"/>
        <v>0</v>
      </c>
      <c r="I93" s="215">
        <v>1.0</v>
      </c>
      <c r="J93" s="217">
        <f t="shared" si="90"/>
        <v>0</v>
      </c>
      <c r="K93" s="139"/>
      <c r="L93" s="176"/>
      <c r="M93" s="160"/>
      <c r="N93" s="160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customHeight="1">
      <c r="A94" s="154">
        <v>4.0</v>
      </c>
      <c r="B94" s="215" t="s">
        <v>66</v>
      </c>
      <c r="C94" s="215">
        <v>180.0</v>
      </c>
      <c r="D94" s="215">
        <v>203.0</v>
      </c>
      <c r="E94" s="215">
        <v>95.0</v>
      </c>
      <c r="F94" s="215">
        <f t="shared" si="87"/>
        <v>0.5</v>
      </c>
      <c r="G94" s="215">
        <f t="shared" si="88"/>
        <v>0</v>
      </c>
      <c r="H94" s="216">
        <f t="shared" si="89"/>
        <v>0</v>
      </c>
      <c r="I94" s="215">
        <v>1.0</v>
      </c>
      <c r="J94" s="217">
        <f t="shared" si="90"/>
        <v>0</v>
      </c>
      <c r="K94" s="139"/>
      <c r="L94" s="176"/>
      <c r="M94" s="160"/>
      <c r="N94" s="160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customHeight="1">
      <c r="A95" s="154">
        <v>5.0</v>
      </c>
      <c r="B95" s="218" t="s">
        <v>203</v>
      </c>
      <c r="C95" s="218">
        <v>94.0</v>
      </c>
      <c r="D95" s="218">
        <v>194.0</v>
      </c>
      <c r="E95" s="218">
        <v>247.0</v>
      </c>
      <c r="F95" s="218">
        <f t="shared" si="87"/>
        <v>0.2</v>
      </c>
      <c r="G95" s="218">
        <f t="shared" si="88"/>
        <v>0</v>
      </c>
      <c r="H95" s="219">
        <f t="shared" si="89"/>
        <v>0</v>
      </c>
      <c r="I95" s="218">
        <v>1.0</v>
      </c>
      <c r="J95" s="194">
        <f t="shared" si="90"/>
        <v>0</v>
      </c>
      <c r="K95" s="139"/>
      <c r="L95" s="176">
        <f t="shared" ref="L95:L96" si="94">D95*25.4/1000</f>
        <v>4.9276</v>
      </c>
      <c r="M95" s="160">
        <f t="shared" ref="M95:M96" si="95">+I95</f>
        <v>1</v>
      </c>
      <c r="N95" s="160">
        <f t="shared" ref="N95:N96" si="96">M95*L95</f>
        <v>4.9276</v>
      </c>
      <c r="O95" s="139"/>
      <c r="P95" s="139"/>
      <c r="Q95" s="139"/>
      <c r="R95" s="139"/>
      <c r="S95" s="220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customHeight="1">
      <c r="A96" s="154">
        <v>6.0</v>
      </c>
      <c r="B96" s="218" t="s">
        <v>204</v>
      </c>
      <c r="C96" s="218">
        <v>97.0</v>
      </c>
      <c r="D96" s="218">
        <v>200.0</v>
      </c>
      <c r="E96" s="218">
        <v>118.0</v>
      </c>
      <c r="F96" s="218">
        <f t="shared" si="87"/>
        <v>0.2</v>
      </c>
      <c r="G96" s="218">
        <f t="shared" si="88"/>
        <v>0</v>
      </c>
      <c r="H96" s="219">
        <f t="shared" si="89"/>
        <v>0</v>
      </c>
      <c r="I96" s="218">
        <v>1.0</v>
      </c>
      <c r="J96" s="194">
        <f t="shared" si="90"/>
        <v>0</v>
      </c>
      <c r="K96" s="139"/>
      <c r="L96" s="176">
        <f t="shared" si="94"/>
        <v>5.08</v>
      </c>
      <c r="M96" s="160">
        <f t="shared" si="95"/>
        <v>1</v>
      </c>
      <c r="N96" s="160">
        <f t="shared" si="96"/>
        <v>5.08</v>
      </c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4.75" customHeight="1">
      <c r="A97" s="160"/>
      <c r="B97" s="197"/>
      <c r="C97" s="197"/>
      <c r="D97" s="197"/>
      <c r="E97" s="197"/>
      <c r="F97" s="197"/>
      <c r="G97" s="197"/>
      <c r="H97" s="269" t="s">
        <v>38</v>
      </c>
      <c r="I97" s="197"/>
      <c r="J97" s="226">
        <f>SUM(J91:J96)</f>
        <v>0</v>
      </c>
      <c r="K97" s="139"/>
      <c r="L97" s="139"/>
      <c r="M97" s="139"/>
      <c r="N97" s="139"/>
      <c r="O97" s="139"/>
      <c r="P97" s="139"/>
      <c r="Q97" s="139"/>
      <c r="R97" s="141"/>
      <c r="S97" s="227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18.75" customHeight="1">
      <c r="A98" s="174"/>
      <c r="B98" s="144"/>
      <c r="C98" s="144"/>
      <c r="D98" s="144"/>
      <c r="E98" s="144"/>
      <c r="F98" s="144"/>
      <c r="G98" s="144"/>
      <c r="H98" s="145"/>
      <c r="I98" s="144"/>
      <c r="J98" s="175"/>
      <c r="K98" s="139"/>
      <c r="L98" s="139"/>
      <c r="M98" s="139"/>
      <c r="N98" s="139"/>
      <c r="O98" s="139"/>
      <c r="P98" s="139"/>
      <c r="Q98" s="139"/>
      <c r="R98" s="141"/>
      <c r="S98" s="227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18.75" customHeight="1">
      <c r="A99" s="139"/>
      <c r="B99" s="139"/>
      <c r="C99" s="139"/>
      <c r="D99" s="139"/>
      <c r="E99" s="139"/>
      <c r="F99" s="139"/>
      <c r="G99" s="139"/>
      <c r="H99" s="140"/>
      <c r="I99" s="139"/>
      <c r="J99" s="139"/>
      <c r="K99" s="139"/>
      <c r="L99" s="139"/>
      <c r="M99" s="139"/>
      <c r="N99" s="139"/>
      <c r="O99" s="139"/>
      <c r="P99" s="139"/>
      <c r="Q99" s="139"/>
      <c r="R99" s="141"/>
      <c r="S99" s="227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18.75" customHeight="1">
      <c r="A100" s="139"/>
      <c r="B100" s="139"/>
      <c r="C100" s="139"/>
      <c r="D100" s="139"/>
      <c r="E100" s="139"/>
      <c r="F100" s="139"/>
      <c r="G100" s="139"/>
      <c r="H100" s="140"/>
      <c r="I100" s="139"/>
      <c r="J100" s="139"/>
      <c r="K100" s="139"/>
      <c r="L100" s="139"/>
      <c r="M100" s="139"/>
      <c r="N100" s="139"/>
      <c r="O100" s="139"/>
      <c r="P100" s="139"/>
      <c r="Q100" s="139"/>
      <c r="R100" s="227"/>
      <c r="S100" s="227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18.75" customHeight="1">
      <c r="A101" s="139" t="s">
        <v>39</v>
      </c>
      <c r="B101" s="139"/>
      <c r="C101" s="139"/>
      <c r="D101" s="139"/>
      <c r="E101" s="139"/>
      <c r="F101" s="139"/>
      <c r="G101" s="139"/>
      <c r="H101" s="140"/>
      <c r="I101" s="139"/>
      <c r="J101" s="139"/>
      <c r="K101" s="139"/>
      <c r="L101" s="139"/>
      <c r="M101" s="139"/>
      <c r="N101" s="139"/>
      <c r="O101" s="139"/>
      <c r="P101" s="139"/>
      <c r="Q101" s="139"/>
      <c r="R101" s="227"/>
      <c r="S101" s="227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18.75" customHeight="1">
      <c r="A102" s="139"/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227"/>
      <c r="S102" s="227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42.0" customHeight="1">
      <c r="A103" s="176"/>
      <c r="B103" s="160" t="s">
        <v>12</v>
      </c>
      <c r="C103" s="177" t="s">
        <v>74</v>
      </c>
      <c r="D103" s="52"/>
      <c r="E103" s="53"/>
      <c r="F103" s="228"/>
      <c r="G103" s="228"/>
      <c r="H103" s="179" t="s">
        <v>14</v>
      </c>
      <c r="I103" s="224" t="s">
        <v>15</v>
      </c>
      <c r="J103" s="160" t="s">
        <v>16</v>
      </c>
      <c r="K103" s="139"/>
      <c r="L103" s="139"/>
      <c r="M103" s="139"/>
      <c r="N103" s="139"/>
      <c r="O103" s="139"/>
      <c r="P103" s="139"/>
      <c r="Q103" s="139"/>
      <c r="R103" s="227"/>
      <c r="S103" s="227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4.75" customHeight="1">
      <c r="A104" s="160">
        <v>1.0</v>
      </c>
      <c r="B104" s="182" t="s">
        <v>77</v>
      </c>
      <c r="C104" s="181"/>
      <c r="D104" s="181"/>
      <c r="E104" s="181"/>
      <c r="F104" s="181"/>
      <c r="G104" s="181"/>
      <c r="H104" s="232">
        <v>57.0</v>
      </c>
      <c r="I104" s="181">
        <v>1.0</v>
      </c>
      <c r="J104" s="194">
        <f t="shared" ref="J104:J113" si="97">+I104*H104</f>
        <v>57</v>
      </c>
      <c r="K104" s="176"/>
      <c r="L104" s="176"/>
      <c r="M104" s="176"/>
      <c r="N104" s="176"/>
      <c r="O104" s="176"/>
      <c r="P104" s="176"/>
      <c r="Q104" s="284"/>
      <c r="R104" s="227"/>
      <c r="S104" s="227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4.75" customHeight="1">
      <c r="A105" s="160">
        <v>2.0</v>
      </c>
      <c r="B105" s="191" t="s">
        <v>77</v>
      </c>
      <c r="C105" s="181"/>
      <c r="D105" s="181"/>
      <c r="E105" s="181"/>
      <c r="F105" s="181"/>
      <c r="G105" s="181"/>
      <c r="H105" s="232">
        <v>11.0</v>
      </c>
      <c r="I105" s="181">
        <v>1.0</v>
      </c>
      <c r="J105" s="194">
        <f t="shared" si="97"/>
        <v>11</v>
      </c>
      <c r="K105" s="176"/>
      <c r="L105" s="176"/>
      <c r="M105" s="176"/>
      <c r="N105" s="176"/>
      <c r="O105" s="176"/>
      <c r="P105" s="176"/>
      <c r="Q105" s="284"/>
      <c r="R105" s="227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4.75" customHeight="1">
      <c r="A106" s="160">
        <v>3.0</v>
      </c>
      <c r="B106" s="182" t="s">
        <v>97</v>
      </c>
      <c r="C106" s="181"/>
      <c r="D106" s="181"/>
      <c r="E106" s="181"/>
      <c r="F106" s="181"/>
      <c r="G106" s="181"/>
      <c r="H106" s="232">
        <v>57.0</v>
      </c>
      <c r="I106" s="181">
        <v>1.0</v>
      </c>
      <c r="J106" s="194">
        <f t="shared" si="97"/>
        <v>57</v>
      </c>
      <c r="K106" s="176"/>
      <c r="L106" s="176"/>
      <c r="M106" s="176"/>
      <c r="N106" s="176"/>
      <c r="O106" s="176"/>
      <c r="P106" s="176"/>
      <c r="Q106" s="284"/>
      <c r="R106" s="227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4.75" customHeight="1">
      <c r="A107" s="160">
        <v>4.0</v>
      </c>
      <c r="B107" s="191" t="s">
        <v>97</v>
      </c>
      <c r="C107" s="181"/>
      <c r="D107" s="181"/>
      <c r="E107" s="181"/>
      <c r="F107" s="181"/>
      <c r="G107" s="181"/>
      <c r="H107" s="232">
        <v>39.0</v>
      </c>
      <c r="I107" s="181">
        <v>1.0</v>
      </c>
      <c r="J107" s="194">
        <f t="shared" si="97"/>
        <v>39</v>
      </c>
      <c r="K107" s="176"/>
      <c r="L107" s="176"/>
      <c r="M107" s="176"/>
      <c r="N107" s="176"/>
      <c r="O107" s="176"/>
      <c r="P107" s="176"/>
      <c r="Q107" s="284"/>
      <c r="R107" s="227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4.75" customHeight="1">
      <c r="A108" s="160">
        <v>5.0</v>
      </c>
      <c r="B108" s="182" t="s">
        <v>56</v>
      </c>
      <c r="C108" s="181"/>
      <c r="D108" s="181"/>
      <c r="E108" s="181"/>
      <c r="F108" s="181"/>
      <c r="G108" s="181"/>
      <c r="H108" s="232">
        <v>57.0</v>
      </c>
      <c r="I108" s="181">
        <v>1.0</v>
      </c>
      <c r="J108" s="194">
        <f t="shared" si="97"/>
        <v>57</v>
      </c>
      <c r="K108" s="176"/>
      <c r="L108" s="176"/>
      <c r="M108" s="176"/>
      <c r="N108" s="176"/>
      <c r="O108" s="176"/>
      <c r="P108" s="176"/>
      <c r="Q108" s="284"/>
      <c r="R108" s="227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4.75" customHeight="1">
      <c r="A109" s="160">
        <v>6.0</v>
      </c>
      <c r="B109" s="191" t="s">
        <v>55</v>
      </c>
      <c r="C109" s="181"/>
      <c r="D109" s="181"/>
      <c r="E109" s="181"/>
      <c r="F109" s="181"/>
      <c r="G109" s="181"/>
      <c r="H109" s="232">
        <v>16.0</v>
      </c>
      <c r="I109" s="181">
        <v>1.0</v>
      </c>
      <c r="J109" s="194">
        <f t="shared" si="97"/>
        <v>16</v>
      </c>
      <c r="K109" s="176"/>
      <c r="L109" s="176"/>
      <c r="M109" s="176"/>
      <c r="N109" s="176"/>
      <c r="O109" s="176"/>
      <c r="P109" s="176"/>
      <c r="Q109" s="284"/>
      <c r="R109" s="227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4.75" customHeight="1">
      <c r="A110" s="160">
        <v>7.0</v>
      </c>
      <c r="B110" s="301" t="s">
        <v>199</v>
      </c>
      <c r="C110" s="181"/>
      <c r="D110" s="181"/>
      <c r="E110" s="181"/>
      <c r="F110" s="181"/>
      <c r="G110" s="181"/>
      <c r="H110" s="232">
        <v>34.0</v>
      </c>
      <c r="I110" s="181">
        <v>1.0</v>
      </c>
      <c r="J110" s="194">
        <f t="shared" si="97"/>
        <v>34</v>
      </c>
      <c r="K110" s="176"/>
      <c r="L110" s="176"/>
      <c r="M110" s="176"/>
      <c r="N110" s="176"/>
      <c r="O110" s="176"/>
      <c r="P110" s="176"/>
      <c r="Q110" s="284"/>
      <c r="R110" s="227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4.75" customHeight="1">
      <c r="A111" s="160">
        <v>9.0</v>
      </c>
      <c r="B111" s="191" t="s">
        <v>199</v>
      </c>
      <c r="C111" s="181"/>
      <c r="D111" s="181"/>
      <c r="E111" s="181"/>
      <c r="F111" s="181"/>
      <c r="G111" s="181"/>
      <c r="H111" s="232">
        <v>53.0</v>
      </c>
      <c r="I111" s="181">
        <v>1.0</v>
      </c>
      <c r="J111" s="194">
        <f t="shared" si="97"/>
        <v>53</v>
      </c>
      <c r="K111" s="176"/>
      <c r="L111" s="176"/>
      <c r="M111" s="176"/>
      <c r="N111" s="176"/>
      <c r="O111" s="176"/>
      <c r="P111" s="176"/>
      <c r="Q111" s="284"/>
      <c r="R111" s="227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4.75" customHeight="1">
      <c r="A112" s="160">
        <v>10.0</v>
      </c>
      <c r="B112" s="301" t="s">
        <v>200</v>
      </c>
      <c r="C112" s="181"/>
      <c r="D112" s="181"/>
      <c r="E112" s="181"/>
      <c r="F112" s="181"/>
      <c r="G112" s="181"/>
      <c r="H112" s="232">
        <v>47.0</v>
      </c>
      <c r="I112" s="181">
        <v>1.0</v>
      </c>
      <c r="J112" s="194">
        <f t="shared" si="97"/>
        <v>47</v>
      </c>
      <c r="K112" s="176"/>
      <c r="L112" s="176"/>
      <c r="M112" s="176"/>
      <c r="N112" s="176"/>
      <c r="O112" s="176"/>
      <c r="P112" s="176"/>
      <c r="Q112" s="284"/>
      <c r="R112" s="227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4.75" customHeight="1">
      <c r="A113" s="160">
        <v>11.0</v>
      </c>
      <c r="B113" s="191" t="s">
        <v>200</v>
      </c>
      <c r="C113" s="181"/>
      <c r="D113" s="181"/>
      <c r="E113" s="181"/>
      <c r="F113" s="181"/>
      <c r="G113" s="181"/>
      <c r="H113" s="232">
        <v>19.0</v>
      </c>
      <c r="I113" s="181">
        <v>1.0</v>
      </c>
      <c r="J113" s="194">
        <f t="shared" si="97"/>
        <v>19</v>
      </c>
      <c r="K113" s="176"/>
      <c r="L113" s="176"/>
      <c r="M113" s="176"/>
      <c r="N113" s="176"/>
      <c r="O113" s="176"/>
      <c r="P113" s="176"/>
      <c r="Q113" s="284"/>
      <c r="R113" s="227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18.75" customHeight="1">
      <c r="A114" s="139"/>
      <c r="B114" s="139"/>
      <c r="C114" s="139"/>
      <c r="D114" s="139"/>
      <c r="E114" s="139"/>
      <c r="F114" s="139"/>
      <c r="G114" s="139"/>
      <c r="H114" s="140" t="s">
        <v>38</v>
      </c>
      <c r="I114" s="139"/>
      <c r="J114" s="235">
        <f>SUM(J104:J113)</f>
        <v>390</v>
      </c>
      <c r="K114" s="236"/>
      <c r="L114" s="236"/>
      <c r="M114" s="236"/>
      <c r="N114" s="236"/>
      <c r="O114" s="236"/>
      <c r="P114" s="236"/>
      <c r="Q114" s="236"/>
      <c r="R114" s="139"/>
      <c r="S114" s="227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18.75" customHeight="1">
      <c r="A115" s="144"/>
      <c r="B115" s="144"/>
      <c r="C115" s="144"/>
      <c r="D115" s="144"/>
      <c r="E115" s="144"/>
      <c r="F115" s="144"/>
      <c r="G115" s="144"/>
      <c r="H115" s="145"/>
      <c r="I115" s="173"/>
      <c r="J115" s="205">
        <f>+J114*60%</f>
        <v>234</v>
      </c>
      <c r="K115" s="205"/>
      <c r="L115" s="205"/>
      <c r="M115" s="205"/>
      <c r="N115" s="205"/>
      <c r="O115" s="205"/>
      <c r="P115" s="205"/>
      <c r="Q115" s="205">
        <f>+J114*40%</f>
        <v>156</v>
      </c>
      <c r="R115" s="139"/>
      <c r="S115" s="227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18.75" customHeight="1">
      <c r="A116" s="139"/>
      <c r="B116" s="139"/>
      <c r="C116" s="139"/>
      <c r="D116" s="139"/>
      <c r="E116" s="139"/>
      <c r="F116" s="139"/>
      <c r="G116" s="139"/>
      <c r="H116" s="140"/>
      <c r="I116" s="139"/>
      <c r="J116" s="139"/>
      <c r="K116" s="139"/>
      <c r="L116" s="139"/>
      <c r="M116" s="139"/>
      <c r="N116" s="139"/>
      <c r="O116" s="139"/>
      <c r="P116" s="139"/>
      <c r="Q116" s="139"/>
      <c r="R116" s="139"/>
      <c r="S116" s="227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18.75" customHeight="1">
      <c r="A117" s="139"/>
      <c r="B117" s="139"/>
      <c r="C117" s="139"/>
      <c r="D117" s="139"/>
      <c r="E117" s="139"/>
      <c r="F117" s="139"/>
      <c r="G117" s="139"/>
      <c r="H117" s="140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227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19.5" customHeight="1">
      <c r="A118" s="238" t="s">
        <v>41</v>
      </c>
      <c r="B118" s="139"/>
      <c r="C118" s="139"/>
      <c r="D118" s="139"/>
      <c r="E118" s="139"/>
      <c r="F118" s="139"/>
      <c r="G118" s="139"/>
      <c r="H118" s="140"/>
      <c r="I118" s="139"/>
      <c r="J118" s="139"/>
      <c r="K118" s="139"/>
      <c r="L118" s="139"/>
      <c r="M118" s="139"/>
      <c r="N118" s="139"/>
      <c r="O118" s="139"/>
      <c r="P118" s="139"/>
      <c r="Q118" s="139"/>
      <c r="R118" s="139"/>
      <c r="S118" s="227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57.0" customHeight="1">
      <c r="A119" s="239"/>
      <c r="B119" s="240" t="s">
        <v>42</v>
      </c>
      <c r="C119" s="240" t="s">
        <v>43</v>
      </c>
      <c r="D119" s="240" t="s">
        <v>44</v>
      </c>
      <c r="E119" s="240" t="s">
        <v>45</v>
      </c>
      <c r="F119" s="240"/>
      <c r="G119" s="240"/>
      <c r="H119" s="241" t="s">
        <v>46</v>
      </c>
      <c r="I119" s="242" t="s">
        <v>47</v>
      </c>
      <c r="J119" s="139"/>
      <c r="K119" s="139"/>
      <c r="L119" s="139"/>
      <c r="M119" s="139"/>
      <c r="N119" s="139"/>
      <c r="O119" s="139"/>
      <c r="P119" s="139"/>
      <c r="Q119" s="139"/>
      <c r="R119" s="141"/>
      <c r="S119" s="227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18.75" customHeight="1">
      <c r="A120" s="243" t="s">
        <v>48</v>
      </c>
      <c r="B120" s="244">
        <f>+E14</f>
        <v>22591.0677</v>
      </c>
      <c r="C120" s="245">
        <f>+J84</f>
        <v>6390.470613</v>
      </c>
      <c r="D120" s="245">
        <f>+J97</f>
        <v>0</v>
      </c>
      <c r="E120" s="246">
        <f>J115</f>
        <v>234</v>
      </c>
      <c r="F120" s="246"/>
      <c r="G120" s="246"/>
      <c r="H120" s="247">
        <f>+I14</f>
        <v>697.749892</v>
      </c>
      <c r="I120" s="248">
        <f>+B120-C120-D120-E120-H120</f>
        <v>15268.8472</v>
      </c>
      <c r="J120" s="139"/>
      <c r="K120" s="139"/>
      <c r="L120" s="139"/>
      <c r="M120" s="139"/>
      <c r="N120" s="139"/>
      <c r="O120" s="139"/>
      <c r="P120" s="139"/>
      <c r="Q120" s="139"/>
      <c r="R120" s="141"/>
      <c r="S120" s="227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19.5" customHeight="1">
      <c r="A121" s="249" t="s">
        <v>49</v>
      </c>
      <c r="B121" s="250"/>
      <c r="C121" s="251">
        <f>+C120/B120</f>
        <v>0.2828759888</v>
      </c>
      <c r="D121" s="251">
        <f>+D120/B120</f>
        <v>0</v>
      </c>
      <c r="E121" s="251">
        <f>+E120/B120</f>
        <v>0.01035807617</v>
      </c>
      <c r="F121" s="251"/>
      <c r="G121" s="251"/>
      <c r="H121" s="252">
        <f>+H120/B120</f>
        <v>0.03088609628</v>
      </c>
      <c r="I121" s="253">
        <f>+I120/B120</f>
        <v>0.6758798388</v>
      </c>
      <c r="J121" s="139"/>
      <c r="K121" s="139"/>
      <c r="L121" s="139"/>
      <c r="M121" s="139"/>
      <c r="N121" s="139"/>
      <c r="O121" s="139"/>
      <c r="P121" s="139"/>
      <c r="Q121" s="139"/>
      <c r="R121" s="141"/>
      <c r="S121" s="227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19.5" customHeight="1">
      <c r="A122" s="163"/>
      <c r="B122" s="221"/>
      <c r="C122" s="254"/>
      <c r="D122" s="254"/>
      <c r="E122" s="254"/>
      <c r="F122" s="254"/>
      <c r="G122" s="254"/>
      <c r="H122" s="255"/>
      <c r="I122" s="256"/>
      <c r="J122" s="139"/>
      <c r="K122" s="139"/>
      <c r="L122" s="139"/>
      <c r="M122" s="139"/>
      <c r="N122" s="139"/>
      <c r="O122" s="139"/>
      <c r="P122" s="139"/>
      <c r="Q122" s="139"/>
      <c r="R122" s="141"/>
      <c r="S122" s="227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18.75" customHeight="1">
      <c r="A123" s="257"/>
      <c r="B123" s="258"/>
      <c r="C123" s="258"/>
      <c r="D123" s="258" t="s">
        <v>50</v>
      </c>
      <c r="E123" s="258" t="s">
        <v>48</v>
      </c>
      <c r="F123" s="258"/>
      <c r="G123" s="258"/>
      <c r="H123" s="259">
        <f>+D120+E120+H120+I120</f>
        <v>16200.59709</v>
      </c>
      <c r="I123" s="260"/>
      <c r="J123" s="139"/>
      <c r="K123" s="139"/>
      <c r="L123" s="139"/>
      <c r="M123" s="139"/>
      <c r="N123" s="139"/>
      <c r="O123" s="139"/>
      <c r="P123" s="139"/>
      <c r="Q123" s="139"/>
      <c r="R123" s="141"/>
      <c r="S123" s="140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18.75" customHeight="1">
      <c r="A124" s="261"/>
      <c r="B124" s="139"/>
      <c r="C124" s="139"/>
      <c r="D124" s="139"/>
      <c r="E124" s="139" t="s">
        <v>49</v>
      </c>
      <c r="F124" s="139"/>
      <c r="G124" s="139"/>
      <c r="H124" s="255">
        <f>+H123/B120</f>
        <v>0.7171240112</v>
      </c>
      <c r="I124" s="262"/>
      <c r="J124" s="139"/>
      <c r="K124" s="139"/>
      <c r="L124" s="139"/>
      <c r="M124" s="139"/>
      <c r="N124" s="139"/>
      <c r="O124" s="139"/>
      <c r="P124" s="139"/>
      <c r="Q124" s="139"/>
      <c r="R124" s="141"/>
      <c r="S124" s="140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18.75" customHeight="1">
      <c r="A125" s="261"/>
      <c r="B125" s="139"/>
      <c r="C125" s="139" t="s">
        <v>51</v>
      </c>
      <c r="D125" s="139"/>
      <c r="E125" s="139"/>
      <c r="F125" s="139"/>
      <c r="G125" s="139"/>
      <c r="H125" s="140"/>
      <c r="I125" s="262"/>
      <c r="J125" s="139"/>
      <c r="K125" s="139"/>
      <c r="L125" s="139"/>
      <c r="M125" s="139"/>
      <c r="N125" s="139"/>
      <c r="O125" s="139"/>
      <c r="P125" s="139"/>
      <c r="Q125" s="139"/>
      <c r="R125" s="141"/>
      <c r="S125" s="140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18.75" customHeight="1">
      <c r="A126" s="261"/>
      <c r="B126" s="139"/>
      <c r="C126" s="139"/>
      <c r="D126" s="139" t="s">
        <v>52</v>
      </c>
      <c r="E126" s="139"/>
      <c r="F126" s="139"/>
      <c r="G126" s="139"/>
      <c r="H126" s="140">
        <f>+H125*(H123-H120)</f>
        <v>0</v>
      </c>
      <c r="I126" s="262"/>
      <c r="J126" s="139"/>
      <c r="K126" s="139"/>
      <c r="L126" s="139"/>
      <c r="M126" s="139"/>
      <c r="N126" s="139"/>
      <c r="O126" s="139"/>
      <c r="P126" s="139"/>
      <c r="Q126" s="139"/>
      <c r="R126" s="141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19.5" customHeight="1">
      <c r="A127" s="263"/>
      <c r="B127" s="264"/>
      <c r="C127" s="264"/>
      <c r="D127" s="264"/>
      <c r="E127" s="264"/>
      <c r="F127" s="264"/>
      <c r="G127" s="264"/>
      <c r="H127" s="265"/>
      <c r="I127" s="266"/>
      <c r="J127" s="139"/>
      <c r="K127" s="139"/>
      <c r="L127" s="139"/>
      <c r="M127" s="139"/>
      <c r="N127" s="139"/>
      <c r="O127" s="139"/>
      <c r="P127" s="139"/>
      <c r="Q127" s="139"/>
      <c r="R127" s="141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18.75" customHeight="1">
      <c r="A128" s="139"/>
      <c r="B128" s="139"/>
      <c r="C128" s="139"/>
      <c r="D128" s="139"/>
      <c r="E128" s="139"/>
      <c r="F128" s="139"/>
      <c r="G128" s="139"/>
      <c r="H128" s="140"/>
      <c r="I128" s="139"/>
      <c r="J128" s="139"/>
      <c r="K128" s="139"/>
      <c r="L128" s="139"/>
      <c r="M128" s="139"/>
      <c r="N128" s="139"/>
      <c r="O128" s="139"/>
      <c r="P128" s="139"/>
      <c r="Q128" s="139"/>
      <c r="R128" s="141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18.75" customHeight="1">
      <c r="A129" s="139"/>
      <c r="B129" s="139"/>
      <c r="C129" s="139"/>
      <c r="D129" s="139"/>
      <c r="E129" s="139"/>
      <c r="F129" s="139"/>
      <c r="G129" s="139"/>
      <c r="H129" s="140"/>
      <c r="I129" s="139"/>
      <c r="J129" s="139"/>
      <c r="K129" s="139"/>
      <c r="L129" s="139"/>
      <c r="M129" s="139"/>
      <c r="N129" s="139"/>
      <c r="O129" s="139"/>
      <c r="P129" s="139"/>
      <c r="Q129" s="139"/>
      <c r="R129" s="141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18.75" customHeight="1">
      <c r="A130" s="139"/>
      <c r="B130" s="139"/>
      <c r="C130" s="139"/>
      <c r="D130" s="139"/>
      <c r="E130" s="139"/>
      <c r="F130" s="139"/>
      <c r="G130" s="139"/>
      <c r="H130" s="140"/>
      <c r="I130" s="139"/>
      <c r="J130" s="139"/>
      <c r="K130" s="139"/>
      <c r="L130" s="139"/>
      <c r="M130" s="139"/>
      <c r="N130" s="139"/>
      <c r="O130" s="139"/>
      <c r="P130" s="139"/>
      <c r="Q130" s="139"/>
      <c r="R130" s="141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7"/>
      <c r="R131" s="268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7"/>
      <c r="R132" s="268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7"/>
      <c r="R133" s="268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7"/>
      <c r="R134" s="268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7"/>
      <c r="R135" s="268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7"/>
      <c r="R136" s="268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7"/>
      <c r="R137" s="268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7"/>
      <c r="R138" s="268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7"/>
      <c r="R139" s="268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7"/>
      <c r="R140" s="268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7"/>
      <c r="R141" s="268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7"/>
      <c r="R142" s="268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7"/>
      <c r="R143" s="268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7"/>
      <c r="R144" s="268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7"/>
      <c r="R145" s="268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7"/>
      <c r="R146" s="268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7"/>
      <c r="R147" s="268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7"/>
      <c r="R148" s="268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7"/>
      <c r="R149" s="268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7"/>
      <c r="R150" s="268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7"/>
      <c r="R151" s="268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7"/>
      <c r="R152" s="268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7"/>
      <c r="R153" s="268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7"/>
      <c r="R154" s="268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7"/>
      <c r="R155" s="268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7"/>
      <c r="R156" s="268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7"/>
      <c r="R157" s="268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7"/>
      <c r="R158" s="26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7"/>
      <c r="R159" s="26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7"/>
      <c r="R160" s="26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7"/>
      <c r="R161" s="26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7"/>
      <c r="R162" s="26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7"/>
      <c r="R163" s="26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7"/>
      <c r="R164" s="26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7"/>
      <c r="R165" s="26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7"/>
      <c r="R166" s="26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7"/>
      <c r="R167" s="26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7"/>
      <c r="R168" s="26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7"/>
      <c r="R169" s="26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7"/>
      <c r="R170" s="26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7"/>
      <c r="R171" s="26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7"/>
      <c r="R172" s="26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7"/>
      <c r="R173" s="26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7"/>
      <c r="R174" s="26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7"/>
      <c r="R175" s="26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7"/>
      <c r="R176" s="26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7"/>
      <c r="R177" s="26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7"/>
      <c r="R178" s="26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7"/>
      <c r="R179" s="26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7"/>
      <c r="R180" s="26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7"/>
      <c r="R181" s="26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7"/>
      <c r="R182" s="26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7"/>
      <c r="R183" s="26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7"/>
      <c r="R184" s="26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7"/>
      <c r="R185" s="26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7"/>
      <c r="R186" s="26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7"/>
      <c r="R187" s="26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7"/>
      <c r="R188" s="26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7"/>
      <c r="R189" s="26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7"/>
      <c r="R190" s="26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7"/>
      <c r="R191" s="26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7"/>
      <c r="R192" s="26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7"/>
      <c r="R193" s="26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7"/>
      <c r="R194" s="26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7"/>
      <c r="R252" s="26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7"/>
      <c r="R253" s="26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7"/>
      <c r="R254" s="26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7"/>
      <c r="R255" s="26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7"/>
      <c r="R256" s="26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7"/>
      <c r="R257" s="26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7"/>
      <c r="R258" s="26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7"/>
      <c r="R259" s="26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7"/>
      <c r="R260" s="26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7"/>
      <c r="R261" s="26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7"/>
      <c r="R262" s="26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7"/>
      <c r="R263" s="26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7"/>
      <c r="R264" s="26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7"/>
      <c r="R265" s="26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7"/>
      <c r="R266" s="26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7"/>
      <c r="R267" s="26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7"/>
      <c r="R268" s="26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7"/>
      <c r="R269" s="26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7"/>
      <c r="R270" s="26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7"/>
      <c r="R271" s="26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7"/>
      <c r="R272" s="26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7"/>
      <c r="R273" s="26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7"/>
      <c r="R274" s="26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7"/>
      <c r="R275" s="26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7"/>
      <c r="R276" s="26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7"/>
      <c r="R277" s="26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7"/>
      <c r="R278" s="26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7"/>
      <c r="R279" s="26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7"/>
      <c r="R280" s="26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7"/>
      <c r="R281" s="26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7"/>
      <c r="R282" s="26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7"/>
      <c r="R283" s="26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7"/>
      <c r="R284" s="26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7"/>
      <c r="R285" s="26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7"/>
      <c r="R286" s="26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7"/>
      <c r="R287" s="26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7"/>
      <c r="R288" s="26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7"/>
      <c r="R289" s="26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7"/>
      <c r="R290" s="26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7"/>
      <c r="R291" s="26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7"/>
      <c r="R292" s="26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7"/>
      <c r="R293" s="26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7"/>
      <c r="R294" s="26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7"/>
      <c r="R295" s="26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7"/>
      <c r="R296" s="26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7"/>
      <c r="R297" s="26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7"/>
      <c r="R298" s="26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7"/>
      <c r="R299" s="26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7"/>
      <c r="R300" s="26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7"/>
      <c r="R301" s="26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7"/>
      <c r="R302" s="26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7"/>
      <c r="R303" s="268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7"/>
      <c r="R304" s="268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7"/>
      <c r="R305" s="268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7"/>
      <c r="R306" s="268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7"/>
      <c r="R307" s="268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7"/>
      <c r="R308" s="268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7"/>
      <c r="R309" s="268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7"/>
      <c r="R310" s="268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7"/>
      <c r="R311" s="268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7"/>
      <c r="R312" s="268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7"/>
      <c r="R313" s="268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7"/>
      <c r="R314" s="268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7"/>
      <c r="R315" s="268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7"/>
      <c r="R316" s="268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7"/>
      <c r="R317" s="268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7"/>
      <c r="R318" s="268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7"/>
      <c r="R319" s="268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7"/>
      <c r="R320" s="268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7"/>
      <c r="R321" s="268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7"/>
      <c r="R322" s="268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7"/>
      <c r="R323" s="268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7"/>
      <c r="R324" s="268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7"/>
      <c r="R325" s="268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7"/>
      <c r="R326" s="268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90:E90"/>
    <mergeCell ref="C103:E103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44368.0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205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82</v>
      </c>
      <c r="C8" s="154">
        <v>26.5</v>
      </c>
      <c r="D8" s="155">
        <v>0.0547</v>
      </c>
      <c r="E8" s="156">
        <f>227.958*7</f>
        <v>1595.706</v>
      </c>
      <c r="F8" s="156"/>
      <c r="G8" s="156"/>
      <c r="H8" s="157">
        <v>7.0</v>
      </c>
      <c r="I8" s="158">
        <f t="shared" ref="I8:I17" si="1">+D8*E8</f>
        <v>87.2851182</v>
      </c>
      <c r="J8" s="159">
        <f t="shared" ref="J8:J17" si="2">E8-I8</f>
        <v>1508.420882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55</v>
      </c>
      <c r="C9" s="154">
        <v>29.5</v>
      </c>
      <c r="D9" s="155">
        <v>0.0155</v>
      </c>
      <c r="E9" s="156">
        <f>253.135*12.8</f>
        <v>3240.128</v>
      </c>
      <c r="F9" s="156"/>
      <c r="G9" s="156"/>
      <c r="H9" s="157">
        <v>12.8</v>
      </c>
      <c r="I9" s="158">
        <f t="shared" si="1"/>
        <v>50.221984</v>
      </c>
      <c r="J9" s="159">
        <f t="shared" si="2"/>
        <v>3189.906016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56</v>
      </c>
      <c r="C10" s="154">
        <v>29.5</v>
      </c>
      <c r="D10" s="155">
        <v>0.0146</v>
      </c>
      <c r="E10" s="156">
        <f>252.81*14</f>
        <v>3539.34</v>
      </c>
      <c r="F10" s="156"/>
      <c r="G10" s="156"/>
      <c r="H10" s="157">
        <v>14.0</v>
      </c>
      <c r="I10" s="158">
        <f t="shared" si="1"/>
        <v>51.674364</v>
      </c>
      <c r="J10" s="159">
        <f t="shared" si="2"/>
        <v>3487.665636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60" t="s">
        <v>56</v>
      </c>
      <c r="C11" s="154">
        <v>29.5</v>
      </c>
      <c r="D11" s="161">
        <v>0.0146</v>
      </c>
      <c r="E11" s="162">
        <f>231.131*7.9</f>
        <v>1825.9349</v>
      </c>
      <c r="F11" s="162"/>
      <c r="G11" s="162"/>
      <c r="H11" s="157">
        <v>7.9</v>
      </c>
      <c r="I11" s="158">
        <f t="shared" si="1"/>
        <v>26.65864954</v>
      </c>
      <c r="J11" s="159">
        <f t="shared" si="2"/>
        <v>1799.27625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0" t="s">
        <v>56</v>
      </c>
      <c r="C12" s="154">
        <v>29.5</v>
      </c>
      <c r="D12" s="161">
        <v>0.0146</v>
      </c>
      <c r="E12" s="162">
        <f>231.131*18</f>
        <v>4160.358</v>
      </c>
      <c r="F12" s="162"/>
      <c r="G12" s="162"/>
      <c r="H12" s="157">
        <v>18.0</v>
      </c>
      <c r="I12" s="158">
        <f t="shared" si="1"/>
        <v>60.7412268</v>
      </c>
      <c r="J12" s="159">
        <f t="shared" si="2"/>
        <v>4099.616773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6.0</v>
      </c>
      <c r="B13" s="160" t="s">
        <v>199</v>
      </c>
      <c r="C13" s="160">
        <v>22.5</v>
      </c>
      <c r="D13" s="161">
        <v>0.0755</v>
      </c>
      <c r="E13" s="162">
        <f>261.603*1.118</f>
        <v>292.472154</v>
      </c>
      <c r="F13" s="162"/>
      <c r="G13" s="162"/>
      <c r="H13" s="157">
        <v>1.118</v>
      </c>
      <c r="I13" s="158">
        <f t="shared" si="1"/>
        <v>22.08164763</v>
      </c>
      <c r="J13" s="159">
        <f t="shared" si="2"/>
        <v>270.3905064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3">
        <v>7.0</v>
      </c>
      <c r="B14" s="160" t="s">
        <v>200</v>
      </c>
      <c r="C14" s="160">
        <v>24.5</v>
      </c>
      <c r="D14" s="161">
        <v>0.0521</v>
      </c>
      <c r="E14" s="162">
        <f>272.818*1</f>
        <v>272.818</v>
      </c>
      <c r="F14" s="162"/>
      <c r="G14" s="162"/>
      <c r="H14" s="157">
        <v>1.0</v>
      </c>
      <c r="I14" s="158">
        <f t="shared" si="1"/>
        <v>14.2138178</v>
      </c>
      <c r="J14" s="159">
        <f t="shared" si="2"/>
        <v>258.6041822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customHeight="1">
      <c r="A15" s="153">
        <v>8.0</v>
      </c>
      <c r="B15" s="154" t="s">
        <v>55</v>
      </c>
      <c r="C15" s="160">
        <v>29.5</v>
      </c>
      <c r="D15" s="161">
        <v>0.0155</v>
      </c>
      <c r="E15" s="162">
        <f>209.741*10.5</f>
        <v>2202.2805</v>
      </c>
      <c r="F15" s="162"/>
      <c r="G15" s="162"/>
      <c r="H15" s="157">
        <v>10.5</v>
      </c>
      <c r="I15" s="158">
        <f t="shared" si="1"/>
        <v>34.13534775</v>
      </c>
      <c r="J15" s="159">
        <f t="shared" si="2"/>
        <v>2168.145152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customHeight="1">
      <c r="A16" s="153">
        <v>9.0</v>
      </c>
      <c r="B16" s="154" t="s">
        <v>55</v>
      </c>
      <c r="C16" s="160">
        <v>29.5</v>
      </c>
      <c r="D16" s="161">
        <v>0.0155</v>
      </c>
      <c r="E16" s="162">
        <f>253.135*51.5</f>
        <v>13036.4525</v>
      </c>
      <c r="F16" s="162"/>
      <c r="G16" s="162"/>
      <c r="H16" s="157">
        <v>51.5</v>
      </c>
      <c r="I16" s="158">
        <f t="shared" si="1"/>
        <v>202.0650138</v>
      </c>
      <c r="J16" s="159">
        <f t="shared" si="2"/>
        <v>12834.38749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customHeight="1">
      <c r="A17" s="153">
        <v>10.0</v>
      </c>
      <c r="B17" s="160" t="s">
        <v>199</v>
      </c>
      <c r="C17" s="160">
        <v>22.5</v>
      </c>
      <c r="D17" s="161">
        <v>0.0755</v>
      </c>
      <c r="E17" s="162">
        <f>261.603*1</f>
        <v>261.603</v>
      </c>
      <c r="F17" s="162"/>
      <c r="G17" s="162"/>
      <c r="H17" s="157">
        <v>1.0</v>
      </c>
      <c r="I17" s="158">
        <f t="shared" si="1"/>
        <v>19.7510265</v>
      </c>
      <c r="J17" s="159">
        <f t="shared" si="2"/>
        <v>241.8519735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63"/>
      <c r="B18" s="164"/>
      <c r="C18" s="165"/>
      <c r="D18" s="166"/>
      <c r="E18" s="167">
        <f>SUM(E8:E17)</f>
        <v>30427.09305</v>
      </c>
      <c r="F18" s="168"/>
      <c r="G18" s="168"/>
      <c r="H18" s="169"/>
      <c r="I18" s="170">
        <f t="shared" ref="I18:J18" si="3">SUM(I8:I17)</f>
        <v>568.828196</v>
      </c>
      <c r="J18" s="171">
        <f t="shared" si="3"/>
        <v>29858.26486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72"/>
      <c r="B19" s="144"/>
      <c r="C19" s="144"/>
      <c r="D19" s="173"/>
      <c r="E19" s="174"/>
      <c r="F19" s="151"/>
      <c r="G19" s="151"/>
      <c r="H19" s="147"/>
      <c r="I19" s="175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39"/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39" t="s">
        <v>11</v>
      </c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40.5" customHeight="1">
      <c r="A24" s="176"/>
      <c r="B24" s="160" t="s">
        <v>12</v>
      </c>
      <c r="C24" s="177" t="s">
        <v>62</v>
      </c>
      <c r="D24" s="52"/>
      <c r="E24" s="53"/>
      <c r="F24" s="178"/>
      <c r="G24" s="178"/>
      <c r="H24" s="179" t="s">
        <v>14</v>
      </c>
      <c r="I24" s="160" t="s">
        <v>15</v>
      </c>
      <c r="J24" s="160" t="s">
        <v>16</v>
      </c>
      <c r="K24" s="139"/>
      <c r="L24" s="160" t="s">
        <v>17</v>
      </c>
      <c r="M24" s="160" t="s">
        <v>15</v>
      </c>
      <c r="N24" s="176" t="s">
        <v>18</v>
      </c>
      <c r="O24" s="139"/>
      <c r="P24" s="139"/>
      <c r="Q24" s="176" t="s">
        <v>129</v>
      </c>
      <c r="R24" s="180"/>
      <c r="S24" s="160" t="s">
        <v>17</v>
      </c>
      <c r="T24" s="160" t="s">
        <v>15</v>
      </c>
      <c r="U24" s="176" t="s">
        <v>18</v>
      </c>
      <c r="V24" s="139"/>
      <c r="W24" s="176" t="s">
        <v>19</v>
      </c>
      <c r="X24" s="176" t="s">
        <v>20</v>
      </c>
      <c r="Y24" s="176" t="s">
        <v>21</v>
      </c>
      <c r="Z24" s="176" t="s">
        <v>206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27.0" customHeight="1">
      <c r="A25" s="160">
        <v>1.0</v>
      </c>
      <c r="B25" s="182" t="s">
        <v>87</v>
      </c>
      <c r="C25" s="183">
        <v>62.0</v>
      </c>
      <c r="D25" s="183">
        <v>204.0</v>
      </c>
      <c r="E25" s="183">
        <v>275.0</v>
      </c>
      <c r="F25" s="183">
        <f t="shared" ref="F25:F98" si="5">VALUE(IF(RIGHT(B25, 1)="%", RIGHT(B25, 3), 0))</f>
        <v>0.8</v>
      </c>
      <c r="G25" s="183">
        <f t="shared" ref="G25:G98" si="6">+R25*C25/100*D25/100*E25/100</f>
        <v>92.1723</v>
      </c>
      <c r="H25" s="184">
        <f t="shared" ref="H25:H98" si="7">IF(F25=0, G25, F25*G25)</f>
        <v>73.73784</v>
      </c>
      <c r="I25" s="183">
        <v>1.0</v>
      </c>
      <c r="J25" s="185">
        <f t="shared" ref="J25:J98" si="8">+I25*H25</f>
        <v>73.73784</v>
      </c>
      <c r="K25" s="139"/>
      <c r="L25" s="176">
        <f>D25*25.4/1000</f>
        <v>5.1816</v>
      </c>
      <c r="M25" s="160">
        <f>+I25</f>
        <v>1</v>
      </c>
      <c r="N25" s="160">
        <f>M25*L25</f>
        <v>5.1816</v>
      </c>
      <c r="O25" s="139"/>
      <c r="P25" s="139"/>
      <c r="Q25" s="176"/>
      <c r="R25" s="281">
        <v>26.5</v>
      </c>
      <c r="S25" s="176">
        <f t="shared" ref="S25:S99" si="9">E25/100</f>
        <v>2.75</v>
      </c>
      <c r="T25" s="160">
        <f t="shared" ref="T25:T99" si="10">I25</f>
        <v>1</v>
      </c>
      <c r="U25" s="160">
        <f t="shared" ref="U25:U99" si="11">T25*S25</f>
        <v>2.75</v>
      </c>
      <c r="V25" s="282">
        <f t="shared" ref="V25:V98" si="12">R25*C25/100*D25/100*E25/100</f>
        <v>92.1723</v>
      </c>
      <c r="W25" s="176">
        <f t="shared" ref="W25:X25" si="4">C25/100</f>
        <v>0.62</v>
      </c>
      <c r="X25" s="176">
        <f t="shared" si="4"/>
        <v>2.04</v>
      </c>
      <c r="Y25" s="176">
        <f t="shared" ref="Y25:Y99" si="14">U25</f>
        <v>2.75</v>
      </c>
      <c r="Z25" s="283">
        <f t="shared" ref="Z25:Z99" si="15">W25*X25*Y25</f>
        <v>3.4782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27.0" customHeight="1">
      <c r="A26" s="160">
        <v>2.0</v>
      </c>
      <c r="B26" s="191" t="s">
        <v>82</v>
      </c>
      <c r="C26" s="191">
        <v>90.0</v>
      </c>
      <c r="D26" s="191">
        <v>204.0</v>
      </c>
      <c r="E26" s="191">
        <v>275.0</v>
      </c>
      <c r="F26" s="191">
        <f t="shared" si="5"/>
        <v>0</v>
      </c>
      <c r="G26" s="191">
        <f t="shared" si="6"/>
        <v>133.7985</v>
      </c>
      <c r="H26" s="192">
        <f t="shared" si="7"/>
        <v>133.7985</v>
      </c>
      <c r="I26" s="191">
        <v>1.0</v>
      </c>
      <c r="J26" s="194">
        <f t="shared" si="8"/>
        <v>133.7985</v>
      </c>
      <c r="K26" s="139"/>
      <c r="L26" s="176"/>
      <c r="M26" s="160"/>
      <c r="N26" s="160"/>
      <c r="O26" s="139"/>
      <c r="P26" s="139"/>
      <c r="Q26" s="176"/>
      <c r="R26" s="281">
        <v>26.5</v>
      </c>
      <c r="S26" s="176">
        <f t="shared" si="9"/>
        <v>2.75</v>
      </c>
      <c r="T26" s="160">
        <f t="shared" si="10"/>
        <v>1</v>
      </c>
      <c r="U26" s="160">
        <f t="shared" si="11"/>
        <v>2.75</v>
      </c>
      <c r="V26" s="282">
        <f t="shared" si="12"/>
        <v>133.7985</v>
      </c>
      <c r="W26" s="176">
        <f t="shared" ref="W26:X26" si="13">C26/100</f>
        <v>0.9</v>
      </c>
      <c r="X26" s="176">
        <f t="shared" si="13"/>
        <v>2.04</v>
      </c>
      <c r="Y26" s="176">
        <f t="shared" si="14"/>
        <v>2.75</v>
      </c>
      <c r="Z26" s="283">
        <f t="shared" si="15"/>
        <v>5.049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27.0" customHeight="1">
      <c r="A27" s="160">
        <v>3.0</v>
      </c>
      <c r="B27" s="191" t="s">
        <v>82</v>
      </c>
      <c r="C27" s="191">
        <v>88.0</v>
      </c>
      <c r="D27" s="191">
        <v>204.0</v>
      </c>
      <c r="E27" s="191">
        <v>277.0</v>
      </c>
      <c r="F27" s="191">
        <f t="shared" si="5"/>
        <v>0</v>
      </c>
      <c r="G27" s="191">
        <f t="shared" si="6"/>
        <v>131.776656</v>
      </c>
      <c r="H27" s="192">
        <f t="shared" si="7"/>
        <v>131.776656</v>
      </c>
      <c r="I27" s="191">
        <v>2.0</v>
      </c>
      <c r="J27" s="194">
        <f t="shared" si="8"/>
        <v>263.553312</v>
      </c>
      <c r="K27" s="139"/>
      <c r="L27" s="176">
        <f t="shared" ref="L27:L49" si="17">D27*25.4/1000</f>
        <v>5.1816</v>
      </c>
      <c r="M27" s="160">
        <f t="shared" ref="M27:M71" si="18">+I27</f>
        <v>2</v>
      </c>
      <c r="N27" s="160">
        <f t="shared" ref="N27:N49" si="19">M27*L27</f>
        <v>10.3632</v>
      </c>
      <c r="O27" s="139"/>
      <c r="P27" s="139"/>
      <c r="Q27" s="176"/>
      <c r="R27" s="281">
        <v>26.5</v>
      </c>
      <c r="S27" s="176">
        <f t="shared" si="9"/>
        <v>2.77</v>
      </c>
      <c r="T27" s="160">
        <f t="shared" si="10"/>
        <v>2</v>
      </c>
      <c r="U27" s="160">
        <f t="shared" si="11"/>
        <v>5.54</v>
      </c>
      <c r="V27" s="282">
        <f t="shared" si="12"/>
        <v>131.776656</v>
      </c>
      <c r="W27" s="176">
        <f t="shared" ref="W27:X27" si="16">C27/100</f>
        <v>0.88</v>
      </c>
      <c r="X27" s="176">
        <f t="shared" si="16"/>
        <v>2.04</v>
      </c>
      <c r="Y27" s="176">
        <f t="shared" si="14"/>
        <v>5.54</v>
      </c>
      <c r="Z27" s="283">
        <f t="shared" si="15"/>
        <v>9.945408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0">
        <v>4.0</v>
      </c>
      <c r="B28" s="191" t="s">
        <v>82</v>
      </c>
      <c r="C28" s="191">
        <v>90.0</v>
      </c>
      <c r="D28" s="191">
        <v>204.0</v>
      </c>
      <c r="E28" s="191">
        <v>276.0</v>
      </c>
      <c r="F28" s="191">
        <f t="shared" si="5"/>
        <v>0</v>
      </c>
      <c r="G28" s="191">
        <f t="shared" si="6"/>
        <v>134.28504</v>
      </c>
      <c r="H28" s="192">
        <f t="shared" si="7"/>
        <v>134.28504</v>
      </c>
      <c r="I28" s="191">
        <v>1.0</v>
      </c>
      <c r="J28" s="194">
        <f t="shared" si="8"/>
        <v>134.28504</v>
      </c>
      <c r="K28" s="139"/>
      <c r="L28" s="176">
        <f t="shared" si="17"/>
        <v>5.1816</v>
      </c>
      <c r="M28" s="160">
        <f t="shared" si="18"/>
        <v>1</v>
      </c>
      <c r="N28" s="160">
        <f t="shared" si="19"/>
        <v>5.1816</v>
      </c>
      <c r="O28" s="139"/>
      <c r="P28" s="139"/>
      <c r="Q28" s="176"/>
      <c r="R28" s="281">
        <v>26.5</v>
      </c>
      <c r="S28" s="176">
        <f t="shared" si="9"/>
        <v>2.76</v>
      </c>
      <c r="T28" s="160">
        <f t="shared" si="10"/>
        <v>1</v>
      </c>
      <c r="U28" s="160">
        <f t="shared" si="11"/>
        <v>2.76</v>
      </c>
      <c r="V28" s="282">
        <f t="shared" si="12"/>
        <v>134.28504</v>
      </c>
      <c r="W28" s="176">
        <f t="shared" ref="W28:X28" si="20">C28/100</f>
        <v>0.9</v>
      </c>
      <c r="X28" s="176">
        <f t="shared" si="20"/>
        <v>2.04</v>
      </c>
      <c r="Y28" s="176">
        <f t="shared" si="14"/>
        <v>2.76</v>
      </c>
      <c r="Z28" s="283">
        <f t="shared" si="15"/>
        <v>5.06736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0">
        <v>5.0</v>
      </c>
      <c r="B29" s="191" t="s">
        <v>82</v>
      </c>
      <c r="C29" s="191">
        <v>92.0</v>
      </c>
      <c r="D29" s="191">
        <v>204.0</v>
      </c>
      <c r="E29" s="191">
        <v>276.0</v>
      </c>
      <c r="F29" s="191">
        <f t="shared" si="5"/>
        <v>0</v>
      </c>
      <c r="G29" s="191">
        <f t="shared" si="6"/>
        <v>137.269152</v>
      </c>
      <c r="H29" s="192">
        <f t="shared" si="7"/>
        <v>137.269152</v>
      </c>
      <c r="I29" s="191">
        <v>1.0</v>
      </c>
      <c r="J29" s="194">
        <f t="shared" si="8"/>
        <v>137.269152</v>
      </c>
      <c r="K29" s="139"/>
      <c r="L29" s="176">
        <f t="shared" si="17"/>
        <v>5.1816</v>
      </c>
      <c r="M29" s="160">
        <f t="shared" si="18"/>
        <v>1</v>
      </c>
      <c r="N29" s="160">
        <f t="shared" si="19"/>
        <v>5.1816</v>
      </c>
      <c r="O29" s="139"/>
      <c r="P29" s="139"/>
      <c r="Q29" s="176"/>
      <c r="R29" s="281">
        <v>26.5</v>
      </c>
      <c r="S29" s="176">
        <f t="shared" si="9"/>
        <v>2.76</v>
      </c>
      <c r="T29" s="160">
        <f t="shared" si="10"/>
        <v>1</v>
      </c>
      <c r="U29" s="160">
        <f t="shared" si="11"/>
        <v>2.76</v>
      </c>
      <c r="V29" s="282">
        <f t="shared" si="12"/>
        <v>137.269152</v>
      </c>
      <c r="W29" s="176">
        <f t="shared" ref="W29:X29" si="21">C29/100</f>
        <v>0.92</v>
      </c>
      <c r="X29" s="176">
        <f t="shared" si="21"/>
        <v>2.04</v>
      </c>
      <c r="Y29" s="176">
        <f t="shared" si="14"/>
        <v>2.76</v>
      </c>
      <c r="Z29" s="283">
        <f t="shared" si="15"/>
        <v>5.179968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6.0</v>
      </c>
      <c r="B30" s="191" t="s">
        <v>82</v>
      </c>
      <c r="C30" s="191">
        <v>86.0</v>
      </c>
      <c r="D30" s="191">
        <v>204.0</v>
      </c>
      <c r="E30" s="191">
        <v>275.0</v>
      </c>
      <c r="F30" s="191">
        <f t="shared" si="5"/>
        <v>0</v>
      </c>
      <c r="G30" s="191">
        <f t="shared" si="6"/>
        <v>127.8519</v>
      </c>
      <c r="H30" s="192">
        <f t="shared" si="7"/>
        <v>127.8519</v>
      </c>
      <c r="I30" s="191">
        <v>1.0</v>
      </c>
      <c r="J30" s="194">
        <f t="shared" si="8"/>
        <v>127.8519</v>
      </c>
      <c r="K30" s="139"/>
      <c r="L30" s="176">
        <f t="shared" si="17"/>
        <v>5.1816</v>
      </c>
      <c r="M30" s="160">
        <f t="shared" si="18"/>
        <v>1</v>
      </c>
      <c r="N30" s="160">
        <f t="shared" si="19"/>
        <v>5.1816</v>
      </c>
      <c r="O30" s="139"/>
      <c r="P30" s="139"/>
      <c r="Q30" s="176"/>
      <c r="R30" s="281">
        <v>26.5</v>
      </c>
      <c r="S30" s="176">
        <f t="shared" si="9"/>
        <v>2.75</v>
      </c>
      <c r="T30" s="160">
        <f t="shared" si="10"/>
        <v>1</v>
      </c>
      <c r="U30" s="160">
        <f t="shared" si="11"/>
        <v>2.75</v>
      </c>
      <c r="V30" s="282">
        <f t="shared" si="12"/>
        <v>127.8519</v>
      </c>
      <c r="W30" s="176">
        <f t="shared" ref="W30:X30" si="22">C30/100</f>
        <v>0.86</v>
      </c>
      <c r="X30" s="176">
        <f t="shared" si="22"/>
        <v>2.04</v>
      </c>
      <c r="Y30" s="176">
        <f t="shared" si="14"/>
        <v>2.75</v>
      </c>
      <c r="Z30" s="283">
        <f t="shared" si="15"/>
        <v>4.8246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7.0</v>
      </c>
      <c r="B31" s="191" t="s">
        <v>82</v>
      </c>
      <c r="C31" s="191">
        <v>88.0</v>
      </c>
      <c r="D31" s="191">
        <v>204.0</v>
      </c>
      <c r="E31" s="191">
        <v>276.0</v>
      </c>
      <c r="F31" s="191">
        <f t="shared" si="5"/>
        <v>0</v>
      </c>
      <c r="G31" s="191">
        <f t="shared" si="6"/>
        <v>131.300928</v>
      </c>
      <c r="H31" s="192">
        <f t="shared" si="7"/>
        <v>131.300928</v>
      </c>
      <c r="I31" s="191">
        <v>2.0</v>
      </c>
      <c r="J31" s="194">
        <f t="shared" si="8"/>
        <v>262.601856</v>
      </c>
      <c r="K31" s="139"/>
      <c r="L31" s="176">
        <f t="shared" si="17"/>
        <v>5.1816</v>
      </c>
      <c r="M31" s="160">
        <f t="shared" si="18"/>
        <v>2</v>
      </c>
      <c r="N31" s="160">
        <f t="shared" si="19"/>
        <v>10.3632</v>
      </c>
      <c r="O31" s="139"/>
      <c r="P31" s="139"/>
      <c r="Q31" s="176"/>
      <c r="R31" s="281">
        <v>26.5</v>
      </c>
      <c r="S31" s="176">
        <f t="shared" si="9"/>
        <v>2.76</v>
      </c>
      <c r="T31" s="160">
        <f t="shared" si="10"/>
        <v>2</v>
      </c>
      <c r="U31" s="160">
        <f t="shared" si="11"/>
        <v>5.52</v>
      </c>
      <c r="V31" s="282">
        <f t="shared" si="12"/>
        <v>131.300928</v>
      </c>
      <c r="W31" s="176">
        <f t="shared" ref="W31:X31" si="23">C31/100</f>
        <v>0.88</v>
      </c>
      <c r="X31" s="176">
        <f t="shared" si="23"/>
        <v>2.04</v>
      </c>
      <c r="Y31" s="176">
        <f t="shared" si="14"/>
        <v>5.52</v>
      </c>
      <c r="Z31" s="283">
        <f t="shared" si="15"/>
        <v>9.909504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8.0</v>
      </c>
      <c r="B32" s="191" t="s">
        <v>82</v>
      </c>
      <c r="C32" s="191">
        <v>88.0</v>
      </c>
      <c r="D32" s="191">
        <v>204.0</v>
      </c>
      <c r="E32" s="191">
        <v>275.0</v>
      </c>
      <c r="F32" s="191">
        <f t="shared" si="5"/>
        <v>0</v>
      </c>
      <c r="G32" s="191">
        <f t="shared" si="6"/>
        <v>130.8252</v>
      </c>
      <c r="H32" s="192">
        <f t="shared" si="7"/>
        <v>130.8252</v>
      </c>
      <c r="I32" s="191">
        <v>1.0</v>
      </c>
      <c r="J32" s="194">
        <f t="shared" si="8"/>
        <v>130.8252</v>
      </c>
      <c r="K32" s="139"/>
      <c r="L32" s="176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6"/>
      <c r="R32" s="281">
        <v>26.5</v>
      </c>
      <c r="S32" s="176">
        <f t="shared" si="9"/>
        <v>2.75</v>
      </c>
      <c r="T32" s="160">
        <f t="shared" si="10"/>
        <v>1</v>
      </c>
      <c r="U32" s="160">
        <f t="shared" si="11"/>
        <v>2.75</v>
      </c>
      <c r="V32" s="282">
        <f t="shared" si="12"/>
        <v>130.8252</v>
      </c>
      <c r="W32" s="176">
        <f t="shared" ref="W32:X32" si="24">C32/100</f>
        <v>0.88</v>
      </c>
      <c r="X32" s="176">
        <f t="shared" si="24"/>
        <v>2.04</v>
      </c>
      <c r="Y32" s="176">
        <f t="shared" si="14"/>
        <v>2.75</v>
      </c>
      <c r="Z32" s="283">
        <f t="shared" si="15"/>
        <v>4.9368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9.0</v>
      </c>
      <c r="B33" s="191" t="s">
        <v>82</v>
      </c>
      <c r="C33" s="191">
        <v>86.0</v>
      </c>
      <c r="D33" s="191">
        <v>204.0</v>
      </c>
      <c r="E33" s="191">
        <v>76.0</v>
      </c>
      <c r="F33" s="191">
        <f t="shared" si="5"/>
        <v>0</v>
      </c>
      <c r="G33" s="191">
        <f t="shared" si="6"/>
        <v>35.333616</v>
      </c>
      <c r="H33" s="192">
        <f t="shared" si="7"/>
        <v>35.333616</v>
      </c>
      <c r="I33" s="191">
        <v>1.0</v>
      </c>
      <c r="J33" s="194">
        <f t="shared" si="8"/>
        <v>35.333616</v>
      </c>
      <c r="K33" s="139"/>
      <c r="L33" s="176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6"/>
      <c r="R33" s="281">
        <v>26.5</v>
      </c>
      <c r="S33" s="176">
        <f t="shared" si="9"/>
        <v>0.76</v>
      </c>
      <c r="T33" s="160">
        <f t="shared" si="10"/>
        <v>1</v>
      </c>
      <c r="U33" s="160">
        <f t="shared" si="11"/>
        <v>0.76</v>
      </c>
      <c r="V33" s="282">
        <f t="shared" si="12"/>
        <v>35.333616</v>
      </c>
      <c r="W33" s="176">
        <f t="shared" ref="W33:X33" si="25">C33/100</f>
        <v>0.86</v>
      </c>
      <c r="X33" s="176">
        <f t="shared" si="25"/>
        <v>2.04</v>
      </c>
      <c r="Y33" s="176">
        <f t="shared" si="14"/>
        <v>0.76</v>
      </c>
      <c r="Z33" s="283">
        <f t="shared" si="15"/>
        <v>1.333344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10.0</v>
      </c>
      <c r="B34" s="182" t="s">
        <v>64</v>
      </c>
      <c r="C34" s="183">
        <v>90.0</v>
      </c>
      <c r="D34" s="183">
        <v>218.0</v>
      </c>
      <c r="E34" s="183">
        <v>230.0</v>
      </c>
      <c r="F34" s="183">
        <f t="shared" si="5"/>
        <v>0.8</v>
      </c>
      <c r="G34" s="183">
        <f t="shared" si="6"/>
        <v>133.1217</v>
      </c>
      <c r="H34" s="184">
        <f t="shared" si="7"/>
        <v>106.49736</v>
      </c>
      <c r="I34" s="183">
        <v>1.0</v>
      </c>
      <c r="J34" s="185">
        <f t="shared" si="8"/>
        <v>106.49736</v>
      </c>
      <c r="K34" s="139"/>
      <c r="L34" s="176">
        <f t="shared" si="17"/>
        <v>5.5372</v>
      </c>
      <c r="M34" s="160">
        <f t="shared" si="18"/>
        <v>1</v>
      </c>
      <c r="N34" s="160">
        <f t="shared" si="19"/>
        <v>5.5372</v>
      </c>
      <c r="O34" s="139"/>
      <c r="P34" s="139"/>
      <c r="Q34" s="176"/>
      <c r="R34" s="281">
        <v>29.5</v>
      </c>
      <c r="S34" s="176">
        <f t="shared" si="9"/>
        <v>2.3</v>
      </c>
      <c r="T34" s="160">
        <f t="shared" si="10"/>
        <v>1</v>
      </c>
      <c r="U34" s="160">
        <f t="shared" si="11"/>
        <v>2.3</v>
      </c>
      <c r="V34" s="282">
        <f t="shared" si="12"/>
        <v>133.1217</v>
      </c>
      <c r="W34" s="176">
        <f t="shared" ref="W34:X34" si="26">C34/100</f>
        <v>0.9</v>
      </c>
      <c r="X34" s="176">
        <f t="shared" si="26"/>
        <v>2.18</v>
      </c>
      <c r="Y34" s="176">
        <f t="shared" si="14"/>
        <v>2.3</v>
      </c>
      <c r="Z34" s="283">
        <f t="shared" si="15"/>
        <v>4.5126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11.0</v>
      </c>
      <c r="B35" s="191" t="s">
        <v>55</v>
      </c>
      <c r="C35" s="191">
        <v>95.0</v>
      </c>
      <c r="D35" s="191">
        <v>218.0</v>
      </c>
      <c r="E35" s="191">
        <v>230.0</v>
      </c>
      <c r="F35" s="191">
        <f t="shared" si="5"/>
        <v>0</v>
      </c>
      <c r="G35" s="191">
        <f t="shared" si="6"/>
        <v>140.51735</v>
      </c>
      <c r="H35" s="192">
        <f t="shared" si="7"/>
        <v>140.51735</v>
      </c>
      <c r="I35" s="191">
        <v>6.0</v>
      </c>
      <c r="J35" s="194">
        <f t="shared" si="8"/>
        <v>843.1041</v>
      </c>
      <c r="K35" s="139"/>
      <c r="L35" s="176">
        <f t="shared" si="17"/>
        <v>5.5372</v>
      </c>
      <c r="M35" s="160">
        <f t="shared" si="18"/>
        <v>6</v>
      </c>
      <c r="N35" s="160">
        <f t="shared" si="19"/>
        <v>33.2232</v>
      </c>
      <c r="O35" s="139"/>
      <c r="P35" s="139"/>
      <c r="Q35" s="176"/>
      <c r="R35" s="281">
        <v>29.5</v>
      </c>
      <c r="S35" s="176">
        <f t="shared" si="9"/>
        <v>2.3</v>
      </c>
      <c r="T35" s="160">
        <f t="shared" si="10"/>
        <v>6</v>
      </c>
      <c r="U35" s="160">
        <f t="shared" si="11"/>
        <v>13.8</v>
      </c>
      <c r="V35" s="282">
        <f t="shared" si="12"/>
        <v>140.51735</v>
      </c>
      <c r="W35" s="176">
        <f t="shared" ref="W35:X35" si="27">C35/100</f>
        <v>0.95</v>
      </c>
      <c r="X35" s="176">
        <f t="shared" si="27"/>
        <v>2.18</v>
      </c>
      <c r="Y35" s="176">
        <f t="shared" si="14"/>
        <v>13.8</v>
      </c>
      <c r="Z35" s="283">
        <f t="shared" si="15"/>
        <v>28.5798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12.0</v>
      </c>
      <c r="B36" s="191" t="s">
        <v>55</v>
      </c>
      <c r="C36" s="191">
        <v>78.0</v>
      </c>
      <c r="D36" s="191">
        <v>218.0</v>
      </c>
      <c r="E36" s="191">
        <v>136.0</v>
      </c>
      <c r="F36" s="191">
        <f t="shared" si="5"/>
        <v>0</v>
      </c>
      <c r="G36" s="191">
        <f t="shared" si="6"/>
        <v>68.220048</v>
      </c>
      <c r="H36" s="192">
        <f t="shared" si="7"/>
        <v>68.220048</v>
      </c>
      <c r="I36" s="191">
        <v>1.0</v>
      </c>
      <c r="J36" s="194">
        <f t="shared" si="8"/>
        <v>68.220048</v>
      </c>
      <c r="K36" s="139"/>
      <c r="L36" s="176">
        <f t="shared" si="17"/>
        <v>5.5372</v>
      </c>
      <c r="M36" s="160">
        <f t="shared" si="18"/>
        <v>1</v>
      </c>
      <c r="N36" s="160">
        <f t="shared" si="19"/>
        <v>5.5372</v>
      </c>
      <c r="O36" s="139"/>
      <c r="P36" s="139"/>
      <c r="Q36" s="176"/>
      <c r="R36" s="281">
        <v>29.5</v>
      </c>
      <c r="S36" s="176">
        <f t="shared" si="9"/>
        <v>1.36</v>
      </c>
      <c r="T36" s="160">
        <f t="shared" si="10"/>
        <v>1</v>
      </c>
      <c r="U36" s="160">
        <f t="shared" si="11"/>
        <v>1.36</v>
      </c>
      <c r="V36" s="282">
        <f t="shared" si="12"/>
        <v>68.220048</v>
      </c>
      <c r="W36" s="176">
        <f t="shared" ref="W36:X36" si="28">C36/100</f>
        <v>0.78</v>
      </c>
      <c r="X36" s="176">
        <f t="shared" si="28"/>
        <v>2.18</v>
      </c>
      <c r="Y36" s="176">
        <f t="shared" si="14"/>
        <v>1.36</v>
      </c>
      <c r="Z36" s="283">
        <f t="shared" si="15"/>
        <v>2.312544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13.0</v>
      </c>
      <c r="B37" s="191" t="s">
        <v>55</v>
      </c>
      <c r="C37" s="191">
        <v>94.0</v>
      </c>
      <c r="D37" s="191">
        <v>218.0</v>
      </c>
      <c r="E37" s="191">
        <v>230.0</v>
      </c>
      <c r="F37" s="191">
        <f t="shared" si="5"/>
        <v>0</v>
      </c>
      <c r="G37" s="191">
        <f t="shared" si="6"/>
        <v>139.03822</v>
      </c>
      <c r="H37" s="192">
        <f t="shared" si="7"/>
        <v>139.03822</v>
      </c>
      <c r="I37" s="191">
        <v>10.0</v>
      </c>
      <c r="J37" s="194">
        <f t="shared" si="8"/>
        <v>1390.3822</v>
      </c>
      <c r="K37" s="139"/>
      <c r="L37" s="176">
        <f t="shared" si="17"/>
        <v>5.5372</v>
      </c>
      <c r="M37" s="160">
        <f t="shared" si="18"/>
        <v>10</v>
      </c>
      <c r="N37" s="160">
        <f t="shared" si="19"/>
        <v>55.372</v>
      </c>
      <c r="O37" s="139"/>
      <c r="P37" s="139"/>
      <c r="Q37" s="176"/>
      <c r="R37" s="281">
        <v>29.5</v>
      </c>
      <c r="S37" s="176">
        <f t="shared" si="9"/>
        <v>2.3</v>
      </c>
      <c r="T37" s="160">
        <f t="shared" si="10"/>
        <v>10</v>
      </c>
      <c r="U37" s="160">
        <f t="shared" si="11"/>
        <v>23</v>
      </c>
      <c r="V37" s="282">
        <f t="shared" si="12"/>
        <v>139.03822</v>
      </c>
      <c r="W37" s="176">
        <f t="shared" ref="W37:X37" si="29">C37/100</f>
        <v>0.94</v>
      </c>
      <c r="X37" s="176">
        <f t="shared" si="29"/>
        <v>2.18</v>
      </c>
      <c r="Y37" s="176">
        <f t="shared" si="14"/>
        <v>23</v>
      </c>
      <c r="Z37" s="283">
        <f t="shared" si="15"/>
        <v>47.1316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14.0</v>
      </c>
      <c r="B38" s="191" t="s">
        <v>55</v>
      </c>
      <c r="C38" s="191">
        <v>91.0</v>
      </c>
      <c r="D38" s="191">
        <v>218.0</v>
      </c>
      <c r="E38" s="191">
        <v>230.0</v>
      </c>
      <c r="F38" s="191">
        <f t="shared" si="5"/>
        <v>0</v>
      </c>
      <c r="G38" s="191">
        <f t="shared" si="6"/>
        <v>134.60083</v>
      </c>
      <c r="H38" s="192">
        <f t="shared" si="7"/>
        <v>134.60083</v>
      </c>
      <c r="I38" s="191">
        <v>1.0</v>
      </c>
      <c r="J38" s="194">
        <f t="shared" si="8"/>
        <v>134.60083</v>
      </c>
      <c r="K38" s="139"/>
      <c r="L38" s="176">
        <f t="shared" si="17"/>
        <v>5.5372</v>
      </c>
      <c r="M38" s="160">
        <f t="shared" si="18"/>
        <v>1</v>
      </c>
      <c r="N38" s="160">
        <f t="shared" si="19"/>
        <v>5.5372</v>
      </c>
      <c r="O38" s="139"/>
      <c r="P38" s="139"/>
      <c r="Q38" s="176"/>
      <c r="R38" s="281">
        <v>29.5</v>
      </c>
      <c r="S38" s="176">
        <f t="shared" si="9"/>
        <v>2.3</v>
      </c>
      <c r="T38" s="160">
        <f t="shared" si="10"/>
        <v>1</v>
      </c>
      <c r="U38" s="160">
        <f t="shared" si="11"/>
        <v>2.3</v>
      </c>
      <c r="V38" s="282">
        <f t="shared" si="12"/>
        <v>134.60083</v>
      </c>
      <c r="W38" s="176">
        <f t="shared" ref="W38:X38" si="30">C38/100</f>
        <v>0.91</v>
      </c>
      <c r="X38" s="176">
        <f t="shared" si="30"/>
        <v>2.18</v>
      </c>
      <c r="Y38" s="176">
        <f t="shared" si="14"/>
        <v>2.3</v>
      </c>
      <c r="Z38" s="283">
        <f t="shared" si="15"/>
        <v>4.56274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15.0</v>
      </c>
      <c r="B39" s="191" t="s">
        <v>55</v>
      </c>
      <c r="C39" s="191">
        <v>93.0</v>
      </c>
      <c r="D39" s="191">
        <v>218.0</v>
      </c>
      <c r="E39" s="191">
        <v>231.0</v>
      </c>
      <c r="F39" s="191">
        <f t="shared" si="5"/>
        <v>0</v>
      </c>
      <c r="G39" s="191">
        <f t="shared" si="6"/>
        <v>138.157173</v>
      </c>
      <c r="H39" s="192">
        <f t="shared" si="7"/>
        <v>138.157173</v>
      </c>
      <c r="I39" s="191">
        <v>1.0</v>
      </c>
      <c r="J39" s="194">
        <f t="shared" si="8"/>
        <v>138.157173</v>
      </c>
      <c r="K39" s="139"/>
      <c r="L39" s="176">
        <f t="shared" si="17"/>
        <v>5.5372</v>
      </c>
      <c r="M39" s="160">
        <f t="shared" si="18"/>
        <v>1</v>
      </c>
      <c r="N39" s="160">
        <f t="shared" si="19"/>
        <v>5.5372</v>
      </c>
      <c r="O39" s="139"/>
      <c r="P39" s="139"/>
      <c r="Q39" s="176"/>
      <c r="R39" s="281">
        <v>29.5</v>
      </c>
      <c r="S39" s="176">
        <f t="shared" si="9"/>
        <v>2.31</v>
      </c>
      <c r="T39" s="160">
        <f t="shared" si="10"/>
        <v>1</v>
      </c>
      <c r="U39" s="160">
        <f t="shared" si="11"/>
        <v>2.31</v>
      </c>
      <c r="V39" s="282">
        <f t="shared" si="12"/>
        <v>138.157173</v>
      </c>
      <c r="W39" s="176">
        <f t="shared" ref="W39:X39" si="31">C39/100</f>
        <v>0.93</v>
      </c>
      <c r="X39" s="176">
        <f t="shared" si="31"/>
        <v>2.18</v>
      </c>
      <c r="Y39" s="176">
        <f t="shared" si="14"/>
        <v>2.31</v>
      </c>
      <c r="Z39" s="283">
        <f t="shared" si="15"/>
        <v>4.683294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16.0</v>
      </c>
      <c r="B40" s="191" t="s">
        <v>55</v>
      </c>
      <c r="C40" s="191">
        <v>92.0</v>
      </c>
      <c r="D40" s="191">
        <v>218.0</v>
      </c>
      <c r="E40" s="191">
        <v>230.0</v>
      </c>
      <c r="F40" s="191">
        <f t="shared" si="5"/>
        <v>0</v>
      </c>
      <c r="G40" s="191">
        <f t="shared" si="6"/>
        <v>136.07996</v>
      </c>
      <c r="H40" s="192">
        <f t="shared" si="7"/>
        <v>136.07996</v>
      </c>
      <c r="I40" s="191">
        <v>2.0</v>
      </c>
      <c r="J40" s="194">
        <f t="shared" si="8"/>
        <v>272.15992</v>
      </c>
      <c r="K40" s="139"/>
      <c r="L40" s="176">
        <f t="shared" si="17"/>
        <v>5.5372</v>
      </c>
      <c r="M40" s="160">
        <f t="shared" si="18"/>
        <v>2</v>
      </c>
      <c r="N40" s="160">
        <f t="shared" si="19"/>
        <v>11.0744</v>
      </c>
      <c r="O40" s="139"/>
      <c r="P40" s="139"/>
      <c r="Q40" s="176"/>
      <c r="R40" s="281">
        <v>29.5</v>
      </c>
      <c r="S40" s="176">
        <f t="shared" si="9"/>
        <v>2.3</v>
      </c>
      <c r="T40" s="160">
        <f t="shared" si="10"/>
        <v>2</v>
      </c>
      <c r="U40" s="160">
        <f t="shared" si="11"/>
        <v>4.6</v>
      </c>
      <c r="V40" s="282">
        <f t="shared" si="12"/>
        <v>136.07996</v>
      </c>
      <c r="W40" s="176">
        <f t="shared" ref="W40:X40" si="32">C40/100</f>
        <v>0.92</v>
      </c>
      <c r="X40" s="176">
        <f t="shared" si="32"/>
        <v>2.18</v>
      </c>
      <c r="Y40" s="176">
        <f t="shared" si="14"/>
        <v>4.6</v>
      </c>
      <c r="Z40" s="283">
        <f t="shared" si="15"/>
        <v>9.22576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17.0</v>
      </c>
      <c r="B41" s="182" t="s">
        <v>65</v>
      </c>
      <c r="C41" s="183">
        <v>88.0</v>
      </c>
      <c r="D41" s="183">
        <v>215.0</v>
      </c>
      <c r="E41" s="183">
        <v>215.0</v>
      </c>
      <c r="F41" s="183">
        <f t="shared" si="5"/>
        <v>0.8</v>
      </c>
      <c r="G41" s="183">
        <f t="shared" si="6"/>
        <v>120.0001</v>
      </c>
      <c r="H41" s="184">
        <f t="shared" si="7"/>
        <v>96.00008</v>
      </c>
      <c r="I41" s="183">
        <v>1.0</v>
      </c>
      <c r="J41" s="185">
        <f t="shared" si="8"/>
        <v>96.00008</v>
      </c>
      <c r="K41" s="139"/>
      <c r="L41" s="176">
        <f t="shared" si="17"/>
        <v>5.461</v>
      </c>
      <c r="M41" s="160">
        <f t="shared" si="18"/>
        <v>1</v>
      </c>
      <c r="N41" s="160">
        <f t="shared" si="19"/>
        <v>5.461</v>
      </c>
      <c r="O41" s="139"/>
      <c r="P41" s="139"/>
      <c r="Q41" s="176"/>
      <c r="R41" s="281">
        <v>29.5</v>
      </c>
      <c r="S41" s="176">
        <f t="shared" si="9"/>
        <v>2.15</v>
      </c>
      <c r="T41" s="160">
        <f t="shared" si="10"/>
        <v>1</v>
      </c>
      <c r="U41" s="160">
        <f t="shared" si="11"/>
        <v>2.15</v>
      </c>
      <c r="V41" s="282">
        <f t="shared" si="12"/>
        <v>120.0001</v>
      </c>
      <c r="W41" s="176">
        <f t="shared" ref="W41:X41" si="33">C41/100</f>
        <v>0.88</v>
      </c>
      <c r="X41" s="176">
        <f t="shared" si="33"/>
        <v>2.15</v>
      </c>
      <c r="Y41" s="176">
        <f t="shared" si="14"/>
        <v>2.15</v>
      </c>
      <c r="Z41" s="283">
        <f t="shared" si="15"/>
        <v>4.0678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18.0</v>
      </c>
      <c r="B42" s="191" t="s">
        <v>56</v>
      </c>
      <c r="C42" s="191">
        <v>96.0</v>
      </c>
      <c r="D42" s="191">
        <v>215.0</v>
      </c>
      <c r="E42" s="191">
        <v>215.0</v>
      </c>
      <c r="F42" s="191">
        <f t="shared" si="5"/>
        <v>0</v>
      </c>
      <c r="G42" s="191">
        <f t="shared" si="6"/>
        <v>130.9092</v>
      </c>
      <c r="H42" s="192">
        <f t="shared" si="7"/>
        <v>130.9092</v>
      </c>
      <c r="I42" s="191">
        <v>2.0</v>
      </c>
      <c r="J42" s="194">
        <f t="shared" si="8"/>
        <v>261.8184</v>
      </c>
      <c r="K42" s="139"/>
      <c r="L42" s="176">
        <f t="shared" si="17"/>
        <v>5.461</v>
      </c>
      <c r="M42" s="160">
        <f t="shared" si="18"/>
        <v>2</v>
      </c>
      <c r="N42" s="160">
        <f t="shared" si="19"/>
        <v>10.922</v>
      </c>
      <c r="O42" s="139"/>
      <c r="P42" s="139"/>
      <c r="Q42" s="176"/>
      <c r="R42" s="281">
        <v>29.5</v>
      </c>
      <c r="S42" s="176">
        <f t="shared" si="9"/>
        <v>2.15</v>
      </c>
      <c r="T42" s="160">
        <f t="shared" si="10"/>
        <v>2</v>
      </c>
      <c r="U42" s="160">
        <f t="shared" si="11"/>
        <v>4.3</v>
      </c>
      <c r="V42" s="282">
        <f t="shared" si="12"/>
        <v>130.9092</v>
      </c>
      <c r="W42" s="176">
        <f t="shared" ref="W42:X42" si="34">C42/100</f>
        <v>0.96</v>
      </c>
      <c r="X42" s="176">
        <f t="shared" si="34"/>
        <v>2.15</v>
      </c>
      <c r="Y42" s="176">
        <f t="shared" si="14"/>
        <v>4.3</v>
      </c>
      <c r="Z42" s="283">
        <f t="shared" si="15"/>
        <v>8.8752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19.0</v>
      </c>
      <c r="B43" s="191" t="s">
        <v>56</v>
      </c>
      <c r="C43" s="191">
        <v>93.0</v>
      </c>
      <c r="D43" s="191">
        <v>215.0</v>
      </c>
      <c r="E43" s="191">
        <v>216.0</v>
      </c>
      <c r="F43" s="191">
        <f t="shared" si="5"/>
        <v>0</v>
      </c>
      <c r="G43" s="191">
        <f t="shared" si="6"/>
        <v>127.40814</v>
      </c>
      <c r="H43" s="192">
        <f t="shared" si="7"/>
        <v>127.40814</v>
      </c>
      <c r="I43" s="191">
        <v>1.0</v>
      </c>
      <c r="J43" s="194">
        <f t="shared" si="8"/>
        <v>127.40814</v>
      </c>
      <c r="K43" s="139"/>
      <c r="L43" s="176">
        <f t="shared" si="17"/>
        <v>5.461</v>
      </c>
      <c r="M43" s="160">
        <f t="shared" si="18"/>
        <v>1</v>
      </c>
      <c r="N43" s="160">
        <f t="shared" si="19"/>
        <v>5.461</v>
      </c>
      <c r="O43" s="139"/>
      <c r="P43" s="139"/>
      <c r="Q43" s="176"/>
      <c r="R43" s="281">
        <v>29.5</v>
      </c>
      <c r="S43" s="176">
        <f t="shared" si="9"/>
        <v>2.16</v>
      </c>
      <c r="T43" s="160">
        <f t="shared" si="10"/>
        <v>1</v>
      </c>
      <c r="U43" s="160">
        <f t="shared" si="11"/>
        <v>2.16</v>
      </c>
      <c r="V43" s="282">
        <f t="shared" si="12"/>
        <v>127.40814</v>
      </c>
      <c r="W43" s="176">
        <f t="shared" ref="W43:X43" si="35">C43/100</f>
        <v>0.93</v>
      </c>
      <c r="X43" s="176">
        <f t="shared" si="35"/>
        <v>2.15</v>
      </c>
      <c r="Y43" s="176">
        <f t="shared" si="14"/>
        <v>2.16</v>
      </c>
      <c r="Z43" s="283">
        <f t="shared" si="15"/>
        <v>4.31892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20.0</v>
      </c>
      <c r="B44" s="191" t="s">
        <v>56</v>
      </c>
      <c r="C44" s="191">
        <v>95.0</v>
      </c>
      <c r="D44" s="191">
        <v>215.0</v>
      </c>
      <c r="E44" s="191">
        <v>215.0</v>
      </c>
      <c r="F44" s="191">
        <f t="shared" si="5"/>
        <v>0</v>
      </c>
      <c r="G44" s="191">
        <f t="shared" si="6"/>
        <v>129.5455625</v>
      </c>
      <c r="H44" s="192">
        <f t="shared" si="7"/>
        <v>129.5455625</v>
      </c>
      <c r="I44" s="191">
        <v>12.0</v>
      </c>
      <c r="J44" s="194">
        <f t="shared" si="8"/>
        <v>1554.54675</v>
      </c>
      <c r="K44" s="139"/>
      <c r="L44" s="176">
        <f t="shared" si="17"/>
        <v>5.461</v>
      </c>
      <c r="M44" s="160">
        <f t="shared" si="18"/>
        <v>12</v>
      </c>
      <c r="N44" s="160">
        <f t="shared" si="19"/>
        <v>65.532</v>
      </c>
      <c r="O44" s="139"/>
      <c r="P44" s="139"/>
      <c r="Q44" s="176"/>
      <c r="R44" s="281">
        <v>29.5</v>
      </c>
      <c r="S44" s="176">
        <f t="shared" si="9"/>
        <v>2.15</v>
      </c>
      <c r="T44" s="160">
        <f t="shared" si="10"/>
        <v>12</v>
      </c>
      <c r="U44" s="160">
        <f t="shared" si="11"/>
        <v>25.8</v>
      </c>
      <c r="V44" s="282">
        <f t="shared" si="12"/>
        <v>129.5455625</v>
      </c>
      <c r="W44" s="176">
        <f t="shared" ref="W44:X44" si="36">C44/100</f>
        <v>0.95</v>
      </c>
      <c r="X44" s="176">
        <f t="shared" si="36"/>
        <v>2.15</v>
      </c>
      <c r="Y44" s="176">
        <f t="shared" si="14"/>
        <v>25.8</v>
      </c>
      <c r="Z44" s="283">
        <f t="shared" si="15"/>
        <v>52.6965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21.0</v>
      </c>
      <c r="B45" s="191" t="s">
        <v>56</v>
      </c>
      <c r="C45" s="191">
        <v>95.0</v>
      </c>
      <c r="D45" s="191">
        <v>215.0</v>
      </c>
      <c r="E45" s="191">
        <v>214.0</v>
      </c>
      <c r="F45" s="191">
        <f t="shared" si="5"/>
        <v>0</v>
      </c>
      <c r="G45" s="191">
        <f t="shared" si="6"/>
        <v>128.943025</v>
      </c>
      <c r="H45" s="192">
        <f t="shared" si="7"/>
        <v>128.943025</v>
      </c>
      <c r="I45" s="191">
        <v>4.0</v>
      </c>
      <c r="J45" s="194">
        <f t="shared" si="8"/>
        <v>515.7721</v>
      </c>
      <c r="K45" s="139"/>
      <c r="L45" s="176">
        <f t="shared" si="17"/>
        <v>5.461</v>
      </c>
      <c r="M45" s="160">
        <f t="shared" si="18"/>
        <v>4</v>
      </c>
      <c r="N45" s="160">
        <f t="shared" si="19"/>
        <v>21.844</v>
      </c>
      <c r="O45" s="139"/>
      <c r="P45" s="139"/>
      <c r="Q45" s="176"/>
      <c r="R45" s="281">
        <v>29.5</v>
      </c>
      <c r="S45" s="176">
        <f t="shared" si="9"/>
        <v>2.14</v>
      </c>
      <c r="T45" s="160">
        <f t="shared" si="10"/>
        <v>4</v>
      </c>
      <c r="U45" s="160">
        <f t="shared" si="11"/>
        <v>8.56</v>
      </c>
      <c r="V45" s="282">
        <f t="shared" si="12"/>
        <v>128.943025</v>
      </c>
      <c r="W45" s="176">
        <f t="shared" ref="W45:X45" si="37">C45/100</f>
        <v>0.95</v>
      </c>
      <c r="X45" s="176">
        <f t="shared" si="37"/>
        <v>2.15</v>
      </c>
      <c r="Y45" s="176">
        <f t="shared" si="14"/>
        <v>8.56</v>
      </c>
      <c r="Z45" s="283">
        <f t="shared" si="15"/>
        <v>17.4838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22.0</v>
      </c>
      <c r="B46" s="191" t="s">
        <v>56</v>
      </c>
      <c r="C46" s="191">
        <v>97.0</v>
      </c>
      <c r="D46" s="191">
        <v>215.0</v>
      </c>
      <c r="E46" s="191">
        <v>215.0</v>
      </c>
      <c r="F46" s="191">
        <f t="shared" si="5"/>
        <v>0</v>
      </c>
      <c r="G46" s="191">
        <f t="shared" si="6"/>
        <v>132.2728375</v>
      </c>
      <c r="H46" s="192">
        <f t="shared" si="7"/>
        <v>132.2728375</v>
      </c>
      <c r="I46" s="191">
        <v>2.0</v>
      </c>
      <c r="J46" s="194">
        <f t="shared" si="8"/>
        <v>264.545675</v>
      </c>
      <c r="K46" s="139"/>
      <c r="L46" s="176">
        <f t="shared" si="17"/>
        <v>5.461</v>
      </c>
      <c r="M46" s="160">
        <f t="shared" si="18"/>
        <v>2</v>
      </c>
      <c r="N46" s="160">
        <f t="shared" si="19"/>
        <v>10.922</v>
      </c>
      <c r="O46" s="139"/>
      <c r="P46" s="139"/>
      <c r="Q46" s="176"/>
      <c r="R46" s="281">
        <v>29.5</v>
      </c>
      <c r="S46" s="176">
        <f t="shared" si="9"/>
        <v>2.15</v>
      </c>
      <c r="T46" s="160">
        <f t="shared" si="10"/>
        <v>2</v>
      </c>
      <c r="U46" s="160">
        <f t="shared" si="11"/>
        <v>4.3</v>
      </c>
      <c r="V46" s="282">
        <f t="shared" si="12"/>
        <v>132.2728375</v>
      </c>
      <c r="W46" s="176">
        <f t="shared" ref="W46:X46" si="38">C46/100</f>
        <v>0.97</v>
      </c>
      <c r="X46" s="176">
        <f t="shared" si="38"/>
        <v>2.15</v>
      </c>
      <c r="Y46" s="176">
        <f t="shared" si="14"/>
        <v>4.3</v>
      </c>
      <c r="Z46" s="283">
        <f t="shared" si="15"/>
        <v>8.96765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23.0</v>
      </c>
      <c r="B47" s="191" t="s">
        <v>56</v>
      </c>
      <c r="C47" s="191">
        <v>95.0</v>
      </c>
      <c r="D47" s="191">
        <v>215.0</v>
      </c>
      <c r="E47" s="191">
        <v>216.0</v>
      </c>
      <c r="F47" s="191">
        <f t="shared" si="5"/>
        <v>0</v>
      </c>
      <c r="G47" s="191">
        <f t="shared" si="6"/>
        <v>130.1481</v>
      </c>
      <c r="H47" s="192">
        <f t="shared" si="7"/>
        <v>130.1481</v>
      </c>
      <c r="I47" s="191">
        <v>1.0</v>
      </c>
      <c r="J47" s="194">
        <f t="shared" si="8"/>
        <v>130.1481</v>
      </c>
      <c r="K47" s="139"/>
      <c r="L47" s="176">
        <f t="shared" si="17"/>
        <v>5.461</v>
      </c>
      <c r="M47" s="160">
        <f t="shared" si="18"/>
        <v>1</v>
      </c>
      <c r="N47" s="160">
        <f t="shared" si="19"/>
        <v>5.461</v>
      </c>
      <c r="O47" s="139"/>
      <c r="P47" s="139"/>
      <c r="Q47" s="176"/>
      <c r="R47" s="281">
        <v>29.5</v>
      </c>
      <c r="S47" s="176">
        <f t="shared" si="9"/>
        <v>2.16</v>
      </c>
      <c r="T47" s="160">
        <f t="shared" si="10"/>
        <v>1</v>
      </c>
      <c r="U47" s="160">
        <f t="shared" si="11"/>
        <v>2.16</v>
      </c>
      <c r="V47" s="282">
        <f t="shared" si="12"/>
        <v>130.1481</v>
      </c>
      <c r="W47" s="176">
        <f t="shared" ref="W47:X47" si="39">C47/100</f>
        <v>0.95</v>
      </c>
      <c r="X47" s="176">
        <f t="shared" si="39"/>
        <v>2.15</v>
      </c>
      <c r="Y47" s="176">
        <f t="shared" si="14"/>
        <v>2.16</v>
      </c>
      <c r="Z47" s="283">
        <f t="shared" si="15"/>
        <v>4.4118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24.0</v>
      </c>
      <c r="B48" s="191" t="s">
        <v>56</v>
      </c>
      <c r="C48" s="191">
        <v>77.0</v>
      </c>
      <c r="D48" s="191">
        <v>215.0</v>
      </c>
      <c r="E48" s="191">
        <v>286.0</v>
      </c>
      <c r="F48" s="191">
        <f t="shared" si="5"/>
        <v>0</v>
      </c>
      <c r="G48" s="191">
        <f t="shared" si="6"/>
        <v>139.674535</v>
      </c>
      <c r="H48" s="192">
        <f t="shared" si="7"/>
        <v>139.674535</v>
      </c>
      <c r="I48" s="191">
        <v>1.0</v>
      </c>
      <c r="J48" s="194">
        <f t="shared" si="8"/>
        <v>139.674535</v>
      </c>
      <c r="K48" s="139"/>
      <c r="L48" s="176">
        <f t="shared" si="17"/>
        <v>5.461</v>
      </c>
      <c r="M48" s="160">
        <f t="shared" si="18"/>
        <v>1</v>
      </c>
      <c r="N48" s="160">
        <f t="shared" si="19"/>
        <v>5.461</v>
      </c>
      <c r="O48" s="139"/>
      <c r="P48" s="139"/>
      <c r="Q48" s="176"/>
      <c r="R48" s="281">
        <v>29.5</v>
      </c>
      <c r="S48" s="176">
        <f t="shared" si="9"/>
        <v>2.86</v>
      </c>
      <c r="T48" s="160">
        <f t="shared" si="10"/>
        <v>1</v>
      </c>
      <c r="U48" s="160">
        <f t="shared" si="11"/>
        <v>2.86</v>
      </c>
      <c r="V48" s="282">
        <f t="shared" si="12"/>
        <v>139.674535</v>
      </c>
      <c r="W48" s="176">
        <f t="shared" ref="W48:X48" si="40">C48/100</f>
        <v>0.77</v>
      </c>
      <c r="X48" s="176">
        <f t="shared" si="40"/>
        <v>2.15</v>
      </c>
      <c r="Y48" s="176">
        <f t="shared" si="14"/>
        <v>2.86</v>
      </c>
      <c r="Z48" s="283">
        <f t="shared" si="15"/>
        <v>4.73473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25.0</v>
      </c>
      <c r="B49" s="182" t="s">
        <v>65</v>
      </c>
      <c r="C49" s="183">
        <v>89.0</v>
      </c>
      <c r="D49" s="183">
        <v>194.0</v>
      </c>
      <c r="E49" s="183">
        <v>160.0</v>
      </c>
      <c r="F49" s="183">
        <f t="shared" si="5"/>
        <v>0.8</v>
      </c>
      <c r="G49" s="183">
        <f t="shared" si="6"/>
        <v>81.49552</v>
      </c>
      <c r="H49" s="184">
        <f t="shared" si="7"/>
        <v>65.196416</v>
      </c>
      <c r="I49" s="183">
        <v>1.0</v>
      </c>
      <c r="J49" s="185">
        <f t="shared" si="8"/>
        <v>65.196416</v>
      </c>
      <c r="K49" s="139"/>
      <c r="L49" s="176">
        <f t="shared" si="17"/>
        <v>4.9276</v>
      </c>
      <c r="M49" s="160">
        <f t="shared" si="18"/>
        <v>1</v>
      </c>
      <c r="N49" s="160">
        <f t="shared" si="19"/>
        <v>4.9276</v>
      </c>
      <c r="O49" s="139"/>
      <c r="P49" s="139"/>
      <c r="Q49" s="176"/>
      <c r="R49" s="281">
        <v>29.5</v>
      </c>
      <c r="S49" s="176">
        <f t="shared" si="9"/>
        <v>1.6</v>
      </c>
      <c r="T49" s="160">
        <f t="shared" si="10"/>
        <v>1</v>
      </c>
      <c r="U49" s="160">
        <f t="shared" si="11"/>
        <v>1.6</v>
      </c>
      <c r="V49" s="282">
        <f t="shared" si="12"/>
        <v>81.49552</v>
      </c>
      <c r="W49" s="176">
        <f t="shared" ref="W49:X49" si="41">C49/100</f>
        <v>0.89</v>
      </c>
      <c r="X49" s="176">
        <f t="shared" si="41"/>
        <v>1.94</v>
      </c>
      <c r="Y49" s="176">
        <f t="shared" si="14"/>
        <v>1.6</v>
      </c>
      <c r="Z49" s="283">
        <f t="shared" si="15"/>
        <v>2.76256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26.0</v>
      </c>
      <c r="B50" s="191" t="s">
        <v>56</v>
      </c>
      <c r="C50" s="191">
        <v>77.0</v>
      </c>
      <c r="D50" s="191">
        <v>194.0</v>
      </c>
      <c r="E50" s="191">
        <v>133.0</v>
      </c>
      <c r="F50" s="191">
        <f t="shared" si="5"/>
        <v>0</v>
      </c>
      <c r="G50" s="191">
        <f t="shared" si="6"/>
        <v>58.609243</v>
      </c>
      <c r="H50" s="192">
        <f t="shared" si="7"/>
        <v>58.609243</v>
      </c>
      <c r="I50" s="191">
        <v>1.0</v>
      </c>
      <c r="J50" s="194">
        <f t="shared" si="8"/>
        <v>58.609243</v>
      </c>
      <c r="K50" s="139"/>
      <c r="L50" s="197"/>
      <c r="M50" s="198">
        <f t="shared" si="18"/>
        <v>1</v>
      </c>
      <c r="N50" s="198"/>
      <c r="O50" s="139"/>
      <c r="P50" s="139"/>
      <c r="Q50" s="176"/>
      <c r="R50" s="281">
        <v>29.5</v>
      </c>
      <c r="S50" s="176">
        <f t="shared" si="9"/>
        <v>1.33</v>
      </c>
      <c r="T50" s="160">
        <f t="shared" si="10"/>
        <v>1</v>
      </c>
      <c r="U50" s="160">
        <f t="shared" si="11"/>
        <v>1.33</v>
      </c>
      <c r="V50" s="282">
        <f t="shared" si="12"/>
        <v>58.609243</v>
      </c>
      <c r="W50" s="176">
        <f t="shared" ref="W50:X50" si="42">C50/100</f>
        <v>0.77</v>
      </c>
      <c r="X50" s="176">
        <f t="shared" si="42"/>
        <v>1.94</v>
      </c>
      <c r="Y50" s="176">
        <f t="shared" si="14"/>
        <v>1.33</v>
      </c>
      <c r="Z50" s="283">
        <f t="shared" si="15"/>
        <v>1.986754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27.0</v>
      </c>
      <c r="B51" s="191" t="s">
        <v>56</v>
      </c>
      <c r="C51" s="191">
        <v>96.0</v>
      </c>
      <c r="D51" s="191">
        <v>194.0</v>
      </c>
      <c r="E51" s="191">
        <v>258.0</v>
      </c>
      <c r="F51" s="191">
        <f t="shared" si="5"/>
        <v>0</v>
      </c>
      <c r="G51" s="191">
        <f t="shared" si="6"/>
        <v>141.747264</v>
      </c>
      <c r="H51" s="192">
        <f t="shared" si="7"/>
        <v>141.747264</v>
      </c>
      <c r="I51" s="191">
        <v>1.0</v>
      </c>
      <c r="J51" s="194">
        <f t="shared" si="8"/>
        <v>141.747264</v>
      </c>
      <c r="K51" s="139"/>
      <c r="L51" s="197"/>
      <c r="M51" s="198">
        <f t="shared" si="18"/>
        <v>1</v>
      </c>
      <c r="N51" s="198"/>
      <c r="O51" s="139"/>
      <c r="P51" s="139"/>
      <c r="Q51" s="176"/>
      <c r="R51" s="281">
        <v>29.5</v>
      </c>
      <c r="S51" s="176">
        <f t="shared" si="9"/>
        <v>2.58</v>
      </c>
      <c r="T51" s="160">
        <f t="shared" si="10"/>
        <v>1</v>
      </c>
      <c r="U51" s="160">
        <f t="shared" si="11"/>
        <v>2.58</v>
      </c>
      <c r="V51" s="282">
        <f t="shared" si="12"/>
        <v>141.747264</v>
      </c>
      <c r="W51" s="176">
        <f t="shared" ref="W51:X51" si="43">C51/100</f>
        <v>0.96</v>
      </c>
      <c r="X51" s="176">
        <f t="shared" si="43"/>
        <v>1.94</v>
      </c>
      <c r="Y51" s="176">
        <f t="shared" si="14"/>
        <v>2.58</v>
      </c>
      <c r="Z51" s="283">
        <f t="shared" si="15"/>
        <v>4.804992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28.0</v>
      </c>
      <c r="B52" s="191" t="s">
        <v>56</v>
      </c>
      <c r="C52" s="191">
        <v>94.0</v>
      </c>
      <c r="D52" s="191">
        <v>194.0</v>
      </c>
      <c r="E52" s="191">
        <v>256.0</v>
      </c>
      <c r="F52" s="191">
        <f t="shared" si="5"/>
        <v>0</v>
      </c>
      <c r="G52" s="191">
        <f t="shared" si="6"/>
        <v>137.718272</v>
      </c>
      <c r="H52" s="192">
        <f t="shared" si="7"/>
        <v>137.718272</v>
      </c>
      <c r="I52" s="191">
        <v>1.0</v>
      </c>
      <c r="J52" s="194">
        <f t="shared" si="8"/>
        <v>137.718272</v>
      </c>
      <c r="K52" s="139"/>
      <c r="L52" s="197"/>
      <c r="M52" s="198">
        <f t="shared" si="18"/>
        <v>1</v>
      </c>
      <c r="N52" s="198"/>
      <c r="O52" s="139"/>
      <c r="P52" s="139"/>
      <c r="Q52" s="176"/>
      <c r="R52" s="281">
        <v>29.5</v>
      </c>
      <c r="S52" s="176">
        <f t="shared" si="9"/>
        <v>2.56</v>
      </c>
      <c r="T52" s="160">
        <f t="shared" si="10"/>
        <v>1</v>
      </c>
      <c r="U52" s="160">
        <f t="shared" si="11"/>
        <v>2.56</v>
      </c>
      <c r="V52" s="282">
        <f t="shared" si="12"/>
        <v>137.718272</v>
      </c>
      <c r="W52" s="176">
        <f t="shared" ref="W52:X52" si="44">C52/100</f>
        <v>0.94</v>
      </c>
      <c r="X52" s="176">
        <f t="shared" si="44"/>
        <v>1.94</v>
      </c>
      <c r="Y52" s="176">
        <f t="shared" si="14"/>
        <v>2.56</v>
      </c>
      <c r="Z52" s="283">
        <f t="shared" si="15"/>
        <v>4.668416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29.0</v>
      </c>
      <c r="B53" s="191" t="s">
        <v>56</v>
      </c>
      <c r="C53" s="191">
        <v>95.0</v>
      </c>
      <c r="D53" s="191">
        <v>194.0</v>
      </c>
      <c r="E53" s="191">
        <v>152.0</v>
      </c>
      <c r="F53" s="191">
        <f t="shared" si="5"/>
        <v>0</v>
      </c>
      <c r="G53" s="191">
        <f t="shared" si="6"/>
        <v>82.64012</v>
      </c>
      <c r="H53" s="192">
        <f t="shared" si="7"/>
        <v>82.64012</v>
      </c>
      <c r="I53" s="191">
        <v>6.0</v>
      </c>
      <c r="J53" s="194">
        <f t="shared" si="8"/>
        <v>495.84072</v>
      </c>
      <c r="K53" s="139"/>
      <c r="L53" s="197"/>
      <c r="M53" s="198">
        <f t="shared" si="18"/>
        <v>6</v>
      </c>
      <c r="N53" s="198"/>
      <c r="O53" s="139"/>
      <c r="P53" s="139"/>
      <c r="Q53" s="176"/>
      <c r="R53" s="281">
        <v>29.5</v>
      </c>
      <c r="S53" s="176">
        <f t="shared" si="9"/>
        <v>1.52</v>
      </c>
      <c r="T53" s="160">
        <f t="shared" si="10"/>
        <v>6</v>
      </c>
      <c r="U53" s="160">
        <f t="shared" si="11"/>
        <v>9.12</v>
      </c>
      <c r="V53" s="282">
        <f t="shared" si="12"/>
        <v>82.64012</v>
      </c>
      <c r="W53" s="176">
        <f t="shared" ref="W53:X53" si="45">C53/100</f>
        <v>0.95</v>
      </c>
      <c r="X53" s="176">
        <f t="shared" si="45"/>
        <v>1.94</v>
      </c>
      <c r="Y53" s="176">
        <f t="shared" si="14"/>
        <v>9.12</v>
      </c>
      <c r="Z53" s="283">
        <f t="shared" si="15"/>
        <v>16.80816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30.0</v>
      </c>
      <c r="B54" s="191" t="s">
        <v>56</v>
      </c>
      <c r="C54" s="191">
        <v>94.0</v>
      </c>
      <c r="D54" s="191">
        <v>194.0</v>
      </c>
      <c r="E54" s="191">
        <v>152.0</v>
      </c>
      <c r="F54" s="191">
        <f t="shared" si="5"/>
        <v>0</v>
      </c>
      <c r="G54" s="191">
        <f t="shared" si="6"/>
        <v>81.770224</v>
      </c>
      <c r="H54" s="192">
        <f t="shared" si="7"/>
        <v>81.770224</v>
      </c>
      <c r="I54" s="191">
        <v>2.0</v>
      </c>
      <c r="J54" s="194">
        <f t="shared" si="8"/>
        <v>163.540448</v>
      </c>
      <c r="K54" s="139"/>
      <c r="L54" s="197"/>
      <c r="M54" s="198">
        <f t="shared" si="18"/>
        <v>2</v>
      </c>
      <c r="N54" s="198"/>
      <c r="O54" s="139"/>
      <c r="P54" s="139"/>
      <c r="Q54" s="176"/>
      <c r="R54" s="281">
        <v>29.5</v>
      </c>
      <c r="S54" s="176">
        <f t="shared" si="9"/>
        <v>1.52</v>
      </c>
      <c r="T54" s="160">
        <f t="shared" si="10"/>
        <v>2</v>
      </c>
      <c r="U54" s="160">
        <f t="shared" si="11"/>
        <v>3.04</v>
      </c>
      <c r="V54" s="282">
        <f t="shared" si="12"/>
        <v>81.770224</v>
      </c>
      <c r="W54" s="176">
        <f t="shared" ref="W54:X54" si="46">C54/100</f>
        <v>0.94</v>
      </c>
      <c r="X54" s="176">
        <f t="shared" si="46"/>
        <v>1.94</v>
      </c>
      <c r="Y54" s="176">
        <f t="shared" si="14"/>
        <v>3.04</v>
      </c>
      <c r="Z54" s="283">
        <f t="shared" si="15"/>
        <v>5.543744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31.0</v>
      </c>
      <c r="B55" s="191" t="s">
        <v>56</v>
      </c>
      <c r="C55" s="191">
        <v>94.0</v>
      </c>
      <c r="D55" s="191">
        <v>194.0</v>
      </c>
      <c r="E55" s="191">
        <v>150.0</v>
      </c>
      <c r="F55" s="191">
        <f t="shared" si="5"/>
        <v>0</v>
      </c>
      <c r="G55" s="191">
        <f t="shared" si="6"/>
        <v>80.6943</v>
      </c>
      <c r="H55" s="192">
        <f t="shared" si="7"/>
        <v>80.6943</v>
      </c>
      <c r="I55" s="191">
        <v>1.0</v>
      </c>
      <c r="J55" s="194">
        <f t="shared" si="8"/>
        <v>80.6943</v>
      </c>
      <c r="K55" s="139"/>
      <c r="L55" s="197"/>
      <c r="M55" s="198">
        <f t="shared" si="18"/>
        <v>1</v>
      </c>
      <c r="N55" s="198"/>
      <c r="O55" s="139"/>
      <c r="P55" s="139"/>
      <c r="Q55" s="176"/>
      <c r="R55" s="281">
        <v>29.5</v>
      </c>
      <c r="S55" s="176">
        <f t="shared" si="9"/>
        <v>1.5</v>
      </c>
      <c r="T55" s="160">
        <f t="shared" si="10"/>
        <v>1</v>
      </c>
      <c r="U55" s="160">
        <f t="shared" si="11"/>
        <v>1.5</v>
      </c>
      <c r="V55" s="282">
        <f t="shared" si="12"/>
        <v>80.6943</v>
      </c>
      <c r="W55" s="176">
        <f t="shared" ref="W55:X55" si="47">C55/100</f>
        <v>0.94</v>
      </c>
      <c r="X55" s="176">
        <f t="shared" si="47"/>
        <v>1.94</v>
      </c>
      <c r="Y55" s="176">
        <f t="shared" si="14"/>
        <v>1.5</v>
      </c>
      <c r="Z55" s="283">
        <f t="shared" si="15"/>
        <v>2.7354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32.0</v>
      </c>
      <c r="B56" s="191" t="s">
        <v>56</v>
      </c>
      <c r="C56" s="191">
        <v>94.0</v>
      </c>
      <c r="D56" s="191">
        <v>194.0</v>
      </c>
      <c r="E56" s="191">
        <v>151.0</v>
      </c>
      <c r="F56" s="191">
        <f t="shared" si="5"/>
        <v>0</v>
      </c>
      <c r="G56" s="191">
        <f t="shared" si="6"/>
        <v>81.232262</v>
      </c>
      <c r="H56" s="192">
        <f t="shared" si="7"/>
        <v>81.232262</v>
      </c>
      <c r="I56" s="191">
        <v>1.0</v>
      </c>
      <c r="J56" s="194">
        <f t="shared" si="8"/>
        <v>81.232262</v>
      </c>
      <c r="K56" s="139"/>
      <c r="L56" s="197"/>
      <c r="M56" s="198">
        <f t="shared" si="18"/>
        <v>1</v>
      </c>
      <c r="N56" s="198"/>
      <c r="O56" s="139"/>
      <c r="P56" s="139"/>
      <c r="Q56" s="176"/>
      <c r="R56" s="281">
        <v>29.5</v>
      </c>
      <c r="S56" s="176">
        <f t="shared" si="9"/>
        <v>1.51</v>
      </c>
      <c r="T56" s="160">
        <f t="shared" si="10"/>
        <v>1</v>
      </c>
      <c r="U56" s="160">
        <f t="shared" si="11"/>
        <v>1.51</v>
      </c>
      <c r="V56" s="282">
        <f t="shared" si="12"/>
        <v>81.232262</v>
      </c>
      <c r="W56" s="176">
        <f t="shared" ref="W56:X56" si="48">C56/100</f>
        <v>0.94</v>
      </c>
      <c r="X56" s="176">
        <f t="shared" si="48"/>
        <v>1.94</v>
      </c>
      <c r="Y56" s="176">
        <f t="shared" si="14"/>
        <v>1.51</v>
      </c>
      <c r="Z56" s="283">
        <f t="shared" si="15"/>
        <v>2.753636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33.0</v>
      </c>
      <c r="B57" s="191" t="s">
        <v>56</v>
      </c>
      <c r="C57" s="191">
        <v>95.0</v>
      </c>
      <c r="D57" s="191">
        <v>194.0</v>
      </c>
      <c r="E57" s="191">
        <v>257.0</v>
      </c>
      <c r="F57" s="191">
        <f t="shared" si="5"/>
        <v>0</v>
      </c>
      <c r="G57" s="191">
        <f t="shared" si="6"/>
        <v>139.727045</v>
      </c>
      <c r="H57" s="192">
        <f t="shared" si="7"/>
        <v>139.727045</v>
      </c>
      <c r="I57" s="191">
        <v>1.0</v>
      </c>
      <c r="J57" s="194">
        <f t="shared" si="8"/>
        <v>139.727045</v>
      </c>
      <c r="K57" s="139"/>
      <c r="L57" s="197"/>
      <c r="M57" s="198">
        <f t="shared" si="18"/>
        <v>1</v>
      </c>
      <c r="N57" s="198"/>
      <c r="O57" s="139"/>
      <c r="P57" s="139"/>
      <c r="Q57" s="176"/>
      <c r="R57" s="281">
        <v>29.5</v>
      </c>
      <c r="S57" s="176">
        <f t="shared" si="9"/>
        <v>2.57</v>
      </c>
      <c r="T57" s="160">
        <f t="shared" si="10"/>
        <v>1</v>
      </c>
      <c r="U57" s="160">
        <f t="shared" si="11"/>
        <v>2.57</v>
      </c>
      <c r="V57" s="282">
        <f t="shared" si="12"/>
        <v>139.727045</v>
      </c>
      <c r="W57" s="176">
        <f t="shared" ref="W57:X57" si="49">C57/100</f>
        <v>0.95</v>
      </c>
      <c r="X57" s="176">
        <f t="shared" si="49"/>
        <v>1.94</v>
      </c>
      <c r="Y57" s="176">
        <f t="shared" si="14"/>
        <v>2.57</v>
      </c>
      <c r="Z57" s="283">
        <f t="shared" si="15"/>
        <v>4.73651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34.0</v>
      </c>
      <c r="B58" s="191" t="s">
        <v>56</v>
      </c>
      <c r="C58" s="191">
        <v>95.0</v>
      </c>
      <c r="D58" s="191">
        <v>194.0</v>
      </c>
      <c r="E58" s="191">
        <v>258.0</v>
      </c>
      <c r="F58" s="191">
        <f t="shared" si="5"/>
        <v>0</v>
      </c>
      <c r="G58" s="191">
        <f t="shared" si="6"/>
        <v>140.27073</v>
      </c>
      <c r="H58" s="192">
        <f t="shared" si="7"/>
        <v>140.27073</v>
      </c>
      <c r="I58" s="191">
        <v>1.0</v>
      </c>
      <c r="J58" s="194">
        <f t="shared" si="8"/>
        <v>140.27073</v>
      </c>
      <c r="K58" s="139"/>
      <c r="L58" s="197"/>
      <c r="M58" s="198">
        <f t="shared" si="18"/>
        <v>1</v>
      </c>
      <c r="N58" s="198"/>
      <c r="O58" s="139"/>
      <c r="P58" s="139"/>
      <c r="Q58" s="176"/>
      <c r="R58" s="281">
        <v>29.5</v>
      </c>
      <c r="S58" s="176">
        <f t="shared" si="9"/>
        <v>2.58</v>
      </c>
      <c r="T58" s="160">
        <f t="shared" si="10"/>
        <v>1</v>
      </c>
      <c r="U58" s="160">
        <f t="shared" si="11"/>
        <v>2.58</v>
      </c>
      <c r="V58" s="282">
        <f t="shared" si="12"/>
        <v>140.27073</v>
      </c>
      <c r="W58" s="176">
        <f t="shared" ref="W58:X58" si="50">C58/100</f>
        <v>0.95</v>
      </c>
      <c r="X58" s="176">
        <f t="shared" si="50"/>
        <v>1.94</v>
      </c>
      <c r="Y58" s="176">
        <f t="shared" si="14"/>
        <v>2.58</v>
      </c>
      <c r="Z58" s="283">
        <f t="shared" si="15"/>
        <v>4.75494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35.0</v>
      </c>
      <c r="B59" s="191" t="s">
        <v>56</v>
      </c>
      <c r="C59" s="191">
        <v>77.0</v>
      </c>
      <c r="D59" s="191">
        <v>194.0</v>
      </c>
      <c r="E59" s="191">
        <v>258.0</v>
      </c>
      <c r="F59" s="191">
        <f t="shared" si="5"/>
        <v>0</v>
      </c>
      <c r="G59" s="191">
        <f t="shared" si="6"/>
        <v>113.693118</v>
      </c>
      <c r="H59" s="192">
        <f t="shared" si="7"/>
        <v>113.693118</v>
      </c>
      <c r="I59" s="191">
        <v>1.0</v>
      </c>
      <c r="J59" s="194">
        <f t="shared" si="8"/>
        <v>113.693118</v>
      </c>
      <c r="K59" s="139"/>
      <c r="L59" s="197"/>
      <c r="M59" s="198">
        <f t="shared" si="18"/>
        <v>1</v>
      </c>
      <c r="N59" s="198"/>
      <c r="O59" s="139"/>
      <c r="P59" s="139"/>
      <c r="Q59" s="176"/>
      <c r="R59" s="281">
        <v>29.5</v>
      </c>
      <c r="S59" s="176">
        <f t="shared" si="9"/>
        <v>2.58</v>
      </c>
      <c r="T59" s="160">
        <f t="shared" si="10"/>
        <v>1</v>
      </c>
      <c r="U59" s="160">
        <f t="shared" si="11"/>
        <v>2.58</v>
      </c>
      <c r="V59" s="282">
        <f t="shared" si="12"/>
        <v>113.693118</v>
      </c>
      <c r="W59" s="176">
        <f t="shared" ref="W59:X59" si="51">C59/100</f>
        <v>0.77</v>
      </c>
      <c r="X59" s="176">
        <f t="shared" si="51"/>
        <v>1.94</v>
      </c>
      <c r="Y59" s="176">
        <f t="shared" si="14"/>
        <v>2.58</v>
      </c>
      <c r="Z59" s="283">
        <f t="shared" si="15"/>
        <v>3.854004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36.0</v>
      </c>
      <c r="B60" s="182" t="s">
        <v>65</v>
      </c>
      <c r="C60" s="183">
        <v>85.0</v>
      </c>
      <c r="D60" s="183">
        <v>194.0</v>
      </c>
      <c r="E60" s="183">
        <v>257.0</v>
      </c>
      <c r="F60" s="183">
        <f t="shared" si="5"/>
        <v>0.8</v>
      </c>
      <c r="G60" s="183">
        <f t="shared" si="6"/>
        <v>125.018935</v>
      </c>
      <c r="H60" s="184">
        <f t="shared" si="7"/>
        <v>100.015148</v>
      </c>
      <c r="I60" s="183">
        <v>1.0</v>
      </c>
      <c r="J60" s="185">
        <f t="shared" si="8"/>
        <v>100.015148</v>
      </c>
      <c r="K60" s="139"/>
      <c r="L60" s="197"/>
      <c r="M60" s="198">
        <f t="shared" si="18"/>
        <v>1</v>
      </c>
      <c r="N60" s="198"/>
      <c r="O60" s="139"/>
      <c r="P60" s="139"/>
      <c r="Q60" s="176"/>
      <c r="R60" s="281">
        <v>29.5</v>
      </c>
      <c r="S60" s="176">
        <f t="shared" si="9"/>
        <v>2.57</v>
      </c>
      <c r="T60" s="160">
        <f t="shared" si="10"/>
        <v>1</v>
      </c>
      <c r="U60" s="160">
        <f t="shared" si="11"/>
        <v>2.57</v>
      </c>
      <c r="V60" s="282">
        <f t="shared" si="12"/>
        <v>125.018935</v>
      </c>
      <c r="W60" s="176">
        <f t="shared" ref="W60:X60" si="52">C60/100</f>
        <v>0.85</v>
      </c>
      <c r="X60" s="176">
        <f t="shared" si="52"/>
        <v>1.94</v>
      </c>
      <c r="Y60" s="176">
        <f t="shared" si="14"/>
        <v>2.57</v>
      </c>
      <c r="Z60" s="283">
        <f t="shared" si="15"/>
        <v>4.23793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37.0</v>
      </c>
      <c r="B61" s="191" t="s">
        <v>56</v>
      </c>
      <c r="C61" s="191">
        <v>96.0</v>
      </c>
      <c r="D61" s="191">
        <v>194.0</v>
      </c>
      <c r="E61" s="191">
        <v>257.0</v>
      </c>
      <c r="F61" s="191">
        <f t="shared" si="5"/>
        <v>0</v>
      </c>
      <c r="G61" s="191">
        <f t="shared" si="6"/>
        <v>141.197856</v>
      </c>
      <c r="H61" s="192">
        <f t="shared" si="7"/>
        <v>141.197856</v>
      </c>
      <c r="I61" s="191">
        <v>14.0</v>
      </c>
      <c r="J61" s="194">
        <f t="shared" si="8"/>
        <v>1976.769984</v>
      </c>
      <c r="K61" s="139"/>
      <c r="L61" s="197"/>
      <c r="M61" s="198">
        <f t="shared" si="18"/>
        <v>14</v>
      </c>
      <c r="N61" s="198"/>
      <c r="O61" s="139"/>
      <c r="P61" s="139"/>
      <c r="Q61" s="176"/>
      <c r="R61" s="281">
        <v>29.5</v>
      </c>
      <c r="S61" s="176">
        <f t="shared" si="9"/>
        <v>2.57</v>
      </c>
      <c r="T61" s="160">
        <f t="shared" si="10"/>
        <v>14</v>
      </c>
      <c r="U61" s="160">
        <f t="shared" si="11"/>
        <v>35.98</v>
      </c>
      <c r="V61" s="282">
        <f t="shared" si="12"/>
        <v>141.197856</v>
      </c>
      <c r="W61" s="176">
        <f t="shared" ref="W61:X61" si="53">C61/100</f>
        <v>0.96</v>
      </c>
      <c r="X61" s="176">
        <f t="shared" si="53"/>
        <v>1.94</v>
      </c>
      <c r="Y61" s="176">
        <f t="shared" si="14"/>
        <v>35.98</v>
      </c>
      <c r="Z61" s="283">
        <f t="shared" si="15"/>
        <v>67.009152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38.0</v>
      </c>
      <c r="B62" s="191" t="s">
        <v>56</v>
      </c>
      <c r="C62" s="191">
        <v>95.0</v>
      </c>
      <c r="D62" s="191">
        <v>194.0</v>
      </c>
      <c r="E62" s="191">
        <v>257.0</v>
      </c>
      <c r="F62" s="191">
        <f t="shared" si="5"/>
        <v>0</v>
      </c>
      <c r="G62" s="191">
        <f t="shared" si="6"/>
        <v>139.727045</v>
      </c>
      <c r="H62" s="192">
        <f t="shared" si="7"/>
        <v>139.727045</v>
      </c>
      <c r="I62" s="191">
        <v>7.0</v>
      </c>
      <c r="J62" s="194">
        <f t="shared" si="8"/>
        <v>978.089315</v>
      </c>
      <c r="K62" s="139"/>
      <c r="L62" s="197"/>
      <c r="M62" s="198">
        <f t="shared" si="18"/>
        <v>7</v>
      </c>
      <c r="N62" s="198"/>
      <c r="O62" s="139"/>
      <c r="P62" s="139"/>
      <c r="Q62" s="176"/>
      <c r="R62" s="281">
        <v>29.5</v>
      </c>
      <c r="S62" s="176">
        <f t="shared" si="9"/>
        <v>2.57</v>
      </c>
      <c r="T62" s="160">
        <f t="shared" si="10"/>
        <v>7</v>
      </c>
      <c r="U62" s="160">
        <f t="shared" si="11"/>
        <v>17.99</v>
      </c>
      <c r="V62" s="282">
        <f t="shared" si="12"/>
        <v>139.727045</v>
      </c>
      <c r="W62" s="176">
        <f t="shared" ref="W62:X62" si="54">C62/100</f>
        <v>0.95</v>
      </c>
      <c r="X62" s="176">
        <f t="shared" si="54"/>
        <v>1.94</v>
      </c>
      <c r="Y62" s="176">
        <f t="shared" si="14"/>
        <v>17.99</v>
      </c>
      <c r="Z62" s="283">
        <f t="shared" si="15"/>
        <v>33.15557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39.0</v>
      </c>
      <c r="B63" s="191" t="s">
        <v>56</v>
      </c>
      <c r="C63" s="191">
        <v>97.0</v>
      </c>
      <c r="D63" s="191">
        <v>194.0</v>
      </c>
      <c r="E63" s="191">
        <v>257.0</v>
      </c>
      <c r="F63" s="191">
        <f t="shared" si="5"/>
        <v>0</v>
      </c>
      <c r="G63" s="191">
        <f t="shared" si="6"/>
        <v>142.668667</v>
      </c>
      <c r="H63" s="192">
        <f t="shared" si="7"/>
        <v>142.668667</v>
      </c>
      <c r="I63" s="191">
        <v>3.0</v>
      </c>
      <c r="J63" s="194">
        <f t="shared" si="8"/>
        <v>428.006001</v>
      </c>
      <c r="K63" s="139"/>
      <c r="L63" s="197"/>
      <c r="M63" s="198">
        <f t="shared" si="18"/>
        <v>3</v>
      </c>
      <c r="N63" s="198"/>
      <c r="O63" s="139"/>
      <c r="P63" s="139"/>
      <c r="Q63" s="176"/>
      <c r="R63" s="281">
        <v>29.5</v>
      </c>
      <c r="S63" s="176">
        <f t="shared" si="9"/>
        <v>2.57</v>
      </c>
      <c r="T63" s="160">
        <f t="shared" si="10"/>
        <v>3</v>
      </c>
      <c r="U63" s="160">
        <f t="shared" si="11"/>
        <v>7.71</v>
      </c>
      <c r="V63" s="282">
        <f t="shared" si="12"/>
        <v>142.668667</v>
      </c>
      <c r="W63" s="176">
        <f t="shared" ref="W63:X63" si="55">C63/100</f>
        <v>0.97</v>
      </c>
      <c r="X63" s="176">
        <f t="shared" si="55"/>
        <v>1.94</v>
      </c>
      <c r="Y63" s="176">
        <f t="shared" si="14"/>
        <v>7.71</v>
      </c>
      <c r="Z63" s="283">
        <f t="shared" si="15"/>
        <v>14.508678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40.0</v>
      </c>
      <c r="B64" s="191" t="s">
        <v>56</v>
      </c>
      <c r="C64" s="191">
        <v>91.0</v>
      </c>
      <c r="D64" s="191">
        <v>194.0</v>
      </c>
      <c r="E64" s="191">
        <v>260.0</v>
      </c>
      <c r="F64" s="191">
        <f t="shared" si="5"/>
        <v>0</v>
      </c>
      <c r="G64" s="191">
        <f t="shared" si="6"/>
        <v>135.40618</v>
      </c>
      <c r="H64" s="192">
        <f t="shared" si="7"/>
        <v>135.40618</v>
      </c>
      <c r="I64" s="191">
        <v>1.0</v>
      </c>
      <c r="J64" s="194">
        <f t="shared" si="8"/>
        <v>135.40618</v>
      </c>
      <c r="K64" s="139"/>
      <c r="L64" s="197"/>
      <c r="M64" s="198">
        <f t="shared" si="18"/>
        <v>1</v>
      </c>
      <c r="N64" s="198"/>
      <c r="O64" s="139"/>
      <c r="P64" s="139"/>
      <c r="Q64" s="176"/>
      <c r="R64" s="281">
        <v>29.5</v>
      </c>
      <c r="S64" s="176">
        <f t="shared" si="9"/>
        <v>2.6</v>
      </c>
      <c r="T64" s="160">
        <f t="shared" si="10"/>
        <v>1</v>
      </c>
      <c r="U64" s="160">
        <f t="shared" si="11"/>
        <v>2.6</v>
      </c>
      <c r="V64" s="282">
        <f t="shared" si="12"/>
        <v>135.40618</v>
      </c>
      <c r="W64" s="176">
        <f t="shared" ref="W64:X64" si="56">C64/100</f>
        <v>0.91</v>
      </c>
      <c r="X64" s="176">
        <f t="shared" si="56"/>
        <v>1.94</v>
      </c>
      <c r="Y64" s="176">
        <f t="shared" si="14"/>
        <v>2.6</v>
      </c>
      <c r="Z64" s="283">
        <f t="shared" si="15"/>
        <v>4.59004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0">
        <v>41.0</v>
      </c>
      <c r="B65" s="191" t="s">
        <v>56</v>
      </c>
      <c r="C65" s="191">
        <v>96.0</v>
      </c>
      <c r="D65" s="191">
        <v>194.0</v>
      </c>
      <c r="E65" s="191">
        <v>256.0</v>
      </c>
      <c r="F65" s="191">
        <f t="shared" si="5"/>
        <v>0</v>
      </c>
      <c r="G65" s="191">
        <f t="shared" si="6"/>
        <v>140.648448</v>
      </c>
      <c r="H65" s="192">
        <f t="shared" si="7"/>
        <v>140.648448</v>
      </c>
      <c r="I65" s="191">
        <v>1.0</v>
      </c>
      <c r="J65" s="194">
        <f t="shared" si="8"/>
        <v>140.648448</v>
      </c>
      <c r="K65" s="139"/>
      <c r="L65" s="197"/>
      <c r="M65" s="198">
        <f t="shared" si="18"/>
        <v>1</v>
      </c>
      <c r="N65" s="198"/>
      <c r="O65" s="139"/>
      <c r="P65" s="139"/>
      <c r="Q65" s="176"/>
      <c r="R65" s="281">
        <v>29.5</v>
      </c>
      <c r="S65" s="176">
        <f t="shared" si="9"/>
        <v>2.56</v>
      </c>
      <c r="T65" s="160">
        <f t="shared" si="10"/>
        <v>1</v>
      </c>
      <c r="U65" s="160">
        <f t="shared" si="11"/>
        <v>2.56</v>
      </c>
      <c r="V65" s="282">
        <f t="shared" si="12"/>
        <v>140.648448</v>
      </c>
      <c r="W65" s="176">
        <f t="shared" ref="W65:X65" si="57">C65/100</f>
        <v>0.96</v>
      </c>
      <c r="X65" s="176">
        <f t="shared" si="57"/>
        <v>1.94</v>
      </c>
      <c r="Y65" s="176">
        <f t="shared" si="14"/>
        <v>2.56</v>
      </c>
      <c r="Z65" s="283">
        <f t="shared" si="15"/>
        <v>4.767744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0">
        <v>42.0</v>
      </c>
      <c r="B66" s="191" t="s">
        <v>56</v>
      </c>
      <c r="C66" s="191">
        <v>94.0</v>
      </c>
      <c r="D66" s="191">
        <v>194.0</v>
      </c>
      <c r="E66" s="191">
        <v>257.0</v>
      </c>
      <c r="F66" s="191">
        <f t="shared" si="5"/>
        <v>0</v>
      </c>
      <c r="G66" s="191">
        <f t="shared" si="6"/>
        <v>138.256234</v>
      </c>
      <c r="H66" s="192">
        <f t="shared" si="7"/>
        <v>138.256234</v>
      </c>
      <c r="I66" s="191">
        <v>1.0</v>
      </c>
      <c r="J66" s="194">
        <f t="shared" si="8"/>
        <v>138.256234</v>
      </c>
      <c r="K66" s="139"/>
      <c r="L66" s="197"/>
      <c r="M66" s="198">
        <f t="shared" si="18"/>
        <v>1</v>
      </c>
      <c r="N66" s="198"/>
      <c r="O66" s="139"/>
      <c r="P66" s="139"/>
      <c r="Q66" s="176"/>
      <c r="R66" s="281">
        <v>29.5</v>
      </c>
      <c r="S66" s="176">
        <f t="shared" si="9"/>
        <v>2.57</v>
      </c>
      <c r="T66" s="160">
        <f t="shared" si="10"/>
        <v>1</v>
      </c>
      <c r="U66" s="160">
        <f t="shared" si="11"/>
        <v>2.57</v>
      </c>
      <c r="V66" s="282">
        <f t="shared" si="12"/>
        <v>138.256234</v>
      </c>
      <c r="W66" s="176">
        <f t="shared" ref="W66:X66" si="58">C66/100</f>
        <v>0.94</v>
      </c>
      <c r="X66" s="176">
        <f t="shared" si="58"/>
        <v>1.94</v>
      </c>
      <c r="Y66" s="176">
        <f t="shared" si="14"/>
        <v>2.57</v>
      </c>
      <c r="Z66" s="283">
        <f t="shared" si="15"/>
        <v>4.686652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0">
        <v>43.0</v>
      </c>
      <c r="B67" s="182" t="s">
        <v>64</v>
      </c>
      <c r="C67" s="183">
        <v>90.0</v>
      </c>
      <c r="D67" s="183">
        <v>163.0</v>
      </c>
      <c r="E67" s="183">
        <v>240.0</v>
      </c>
      <c r="F67" s="183">
        <f t="shared" si="5"/>
        <v>0.8</v>
      </c>
      <c r="G67" s="183">
        <f t="shared" si="6"/>
        <v>103.8636</v>
      </c>
      <c r="H67" s="184">
        <f t="shared" si="7"/>
        <v>83.09088</v>
      </c>
      <c r="I67" s="183">
        <v>1.0</v>
      </c>
      <c r="J67" s="185">
        <f t="shared" si="8"/>
        <v>83.09088</v>
      </c>
      <c r="K67" s="139"/>
      <c r="L67" s="197"/>
      <c r="M67" s="198">
        <f t="shared" si="18"/>
        <v>1</v>
      </c>
      <c r="N67" s="198"/>
      <c r="O67" s="139"/>
      <c r="P67" s="139"/>
      <c r="Q67" s="176"/>
      <c r="R67" s="281">
        <v>29.5</v>
      </c>
      <c r="S67" s="176">
        <f t="shared" si="9"/>
        <v>2.4</v>
      </c>
      <c r="T67" s="160">
        <f t="shared" si="10"/>
        <v>1</v>
      </c>
      <c r="U67" s="160">
        <f t="shared" si="11"/>
        <v>2.4</v>
      </c>
      <c r="V67" s="282">
        <f t="shared" si="12"/>
        <v>103.8636</v>
      </c>
      <c r="W67" s="176">
        <f t="shared" ref="W67:X67" si="59">C67/100</f>
        <v>0.9</v>
      </c>
      <c r="X67" s="176">
        <f t="shared" si="59"/>
        <v>1.63</v>
      </c>
      <c r="Y67" s="176">
        <f t="shared" si="14"/>
        <v>2.4</v>
      </c>
      <c r="Z67" s="283">
        <f t="shared" si="15"/>
        <v>3.5208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0">
        <v>44.0</v>
      </c>
      <c r="B68" s="191" t="s">
        <v>55</v>
      </c>
      <c r="C68" s="191">
        <v>100.0</v>
      </c>
      <c r="D68" s="191">
        <v>163.0</v>
      </c>
      <c r="E68" s="191">
        <v>242.0</v>
      </c>
      <c r="F68" s="191">
        <f t="shared" si="5"/>
        <v>0</v>
      </c>
      <c r="G68" s="191">
        <f t="shared" si="6"/>
        <v>116.3657</v>
      </c>
      <c r="H68" s="192">
        <f t="shared" si="7"/>
        <v>116.3657</v>
      </c>
      <c r="I68" s="191">
        <v>1.0</v>
      </c>
      <c r="J68" s="194">
        <f t="shared" si="8"/>
        <v>116.3657</v>
      </c>
      <c r="K68" s="139"/>
      <c r="L68" s="197"/>
      <c r="M68" s="198">
        <f t="shared" si="18"/>
        <v>1</v>
      </c>
      <c r="N68" s="198"/>
      <c r="O68" s="139"/>
      <c r="P68" s="139"/>
      <c r="Q68" s="176"/>
      <c r="R68" s="281">
        <v>29.5</v>
      </c>
      <c r="S68" s="176">
        <f t="shared" si="9"/>
        <v>2.42</v>
      </c>
      <c r="T68" s="160">
        <f t="shared" si="10"/>
        <v>1</v>
      </c>
      <c r="U68" s="160">
        <f t="shared" si="11"/>
        <v>2.42</v>
      </c>
      <c r="V68" s="282">
        <f t="shared" si="12"/>
        <v>116.3657</v>
      </c>
      <c r="W68" s="176">
        <f t="shared" ref="W68:X68" si="60">C68/100</f>
        <v>1</v>
      </c>
      <c r="X68" s="176">
        <f t="shared" si="60"/>
        <v>1.63</v>
      </c>
      <c r="Y68" s="176">
        <f t="shared" si="14"/>
        <v>2.42</v>
      </c>
      <c r="Z68" s="283">
        <f t="shared" si="15"/>
        <v>3.9446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60">
        <v>45.0</v>
      </c>
      <c r="B69" s="191" t="s">
        <v>55</v>
      </c>
      <c r="C69" s="191">
        <v>99.0</v>
      </c>
      <c r="D69" s="191">
        <v>163.0</v>
      </c>
      <c r="E69" s="191">
        <v>242.0</v>
      </c>
      <c r="F69" s="191">
        <f t="shared" si="5"/>
        <v>0</v>
      </c>
      <c r="G69" s="191">
        <f t="shared" si="6"/>
        <v>115.202043</v>
      </c>
      <c r="H69" s="192">
        <f t="shared" si="7"/>
        <v>115.202043</v>
      </c>
      <c r="I69" s="191">
        <v>2.0</v>
      </c>
      <c r="J69" s="194">
        <f t="shared" si="8"/>
        <v>230.404086</v>
      </c>
      <c r="K69" s="139"/>
      <c r="L69" s="197"/>
      <c r="M69" s="198">
        <f t="shared" si="18"/>
        <v>2</v>
      </c>
      <c r="N69" s="198"/>
      <c r="O69" s="139"/>
      <c r="P69" s="139"/>
      <c r="Q69" s="176"/>
      <c r="R69" s="281">
        <v>29.5</v>
      </c>
      <c r="S69" s="176">
        <f t="shared" si="9"/>
        <v>2.42</v>
      </c>
      <c r="T69" s="160">
        <f t="shared" si="10"/>
        <v>2</v>
      </c>
      <c r="U69" s="160">
        <f t="shared" si="11"/>
        <v>4.84</v>
      </c>
      <c r="V69" s="282">
        <f t="shared" si="12"/>
        <v>115.202043</v>
      </c>
      <c r="W69" s="176">
        <f t="shared" ref="W69:X69" si="61">C69/100</f>
        <v>0.99</v>
      </c>
      <c r="X69" s="176">
        <f t="shared" si="61"/>
        <v>1.63</v>
      </c>
      <c r="Y69" s="176">
        <f t="shared" si="14"/>
        <v>4.84</v>
      </c>
      <c r="Z69" s="283">
        <f t="shared" si="15"/>
        <v>7.810308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60">
        <v>46.0</v>
      </c>
      <c r="B70" s="191" t="s">
        <v>55</v>
      </c>
      <c r="C70" s="191">
        <v>100.0</v>
      </c>
      <c r="D70" s="191">
        <v>163.0</v>
      </c>
      <c r="E70" s="191">
        <v>240.0</v>
      </c>
      <c r="F70" s="191">
        <f t="shared" si="5"/>
        <v>0</v>
      </c>
      <c r="G70" s="191">
        <f t="shared" si="6"/>
        <v>115.404</v>
      </c>
      <c r="H70" s="192">
        <f t="shared" si="7"/>
        <v>115.404</v>
      </c>
      <c r="I70" s="191">
        <v>3.0</v>
      </c>
      <c r="J70" s="194">
        <f t="shared" si="8"/>
        <v>346.212</v>
      </c>
      <c r="K70" s="139"/>
      <c r="L70" s="197"/>
      <c r="M70" s="198">
        <f t="shared" si="18"/>
        <v>3</v>
      </c>
      <c r="N70" s="198"/>
      <c r="O70" s="139"/>
      <c r="P70" s="139"/>
      <c r="Q70" s="176"/>
      <c r="R70" s="281">
        <v>29.5</v>
      </c>
      <c r="S70" s="176">
        <f t="shared" si="9"/>
        <v>2.4</v>
      </c>
      <c r="T70" s="160">
        <f t="shared" si="10"/>
        <v>3</v>
      </c>
      <c r="U70" s="160">
        <f t="shared" si="11"/>
        <v>7.2</v>
      </c>
      <c r="V70" s="282">
        <f t="shared" si="12"/>
        <v>115.404</v>
      </c>
      <c r="W70" s="176">
        <f t="shared" ref="W70:X70" si="62">C70/100</f>
        <v>1</v>
      </c>
      <c r="X70" s="176">
        <f t="shared" si="62"/>
        <v>1.63</v>
      </c>
      <c r="Y70" s="176">
        <f t="shared" si="14"/>
        <v>7.2</v>
      </c>
      <c r="Z70" s="283">
        <f t="shared" si="15"/>
        <v>11.736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60">
        <v>47.0</v>
      </c>
      <c r="B71" s="191" t="s">
        <v>55</v>
      </c>
      <c r="C71" s="191">
        <v>103.0</v>
      </c>
      <c r="D71" s="191">
        <v>163.0</v>
      </c>
      <c r="E71" s="191">
        <v>240.0</v>
      </c>
      <c r="F71" s="191">
        <f t="shared" si="5"/>
        <v>0</v>
      </c>
      <c r="G71" s="191">
        <f t="shared" si="6"/>
        <v>118.86612</v>
      </c>
      <c r="H71" s="192">
        <f t="shared" si="7"/>
        <v>118.86612</v>
      </c>
      <c r="I71" s="191">
        <v>1.0</v>
      </c>
      <c r="J71" s="194">
        <f t="shared" si="8"/>
        <v>118.86612</v>
      </c>
      <c r="K71" s="139"/>
      <c r="L71" s="197"/>
      <c r="M71" s="198">
        <f t="shared" si="18"/>
        <v>1</v>
      </c>
      <c r="N71" s="198"/>
      <c r="O71" s="139"/>
      <c r="P71" s="139"/>
      <c r="Q71" s="176"/>
      <c r="R71" s="281">
        <v>29.5</v>
      </c>
      <c r="S71" s="176">
        <f t="shared" si="9"/>
        <v>2.4</v>
      </c>
      <c r="T71" s="160">
        <f t="shared" si="10"/>
        <v>1</v>
      </c>
      <c r="U71" s="160">
        <f t="shared" si="11"/>
        <v>2.4</v>
      </c>
      <c r="V71" s="282">
        <f t="shared" si="12"/>
        <v>118.86612</v>
      </c>
      <c r="W71" s="176">
        <f t="shared" ref="W71:X71" si="63">C71/100</f>
        <v>1.03</v>
      </c>
      <c r="X71" s="176">
        <f t="shared" si="63"/>
        <v>1.63</v>
      </c>
      <c r="Y71" s="176">
        <f t="shared" si="14"/>
        <v>2.4</v>
      </c>
      <c r="Z71" s="283">
        <f t="shared" si="15"/>
        <v>4.02936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60">
        <v>48.0</v>
      </c>
      <c r="B72" s="191" t="s">
        <v>55</v>
      </c>
      <c r="C72" s="191">
        <v>76.0</v>
      </c>
      <c r="D72" s="191">
        <v>163.0</v>
      </c>
      <c r="E72" s="191">
        <v>124.0</v>
      </c>
      <c r="F72" s="191">
        <f t="shared" si="5"/>
        <v>0</v>
      </c>
      <c r="G72" s="191">
        <f t="shared" si="6"/>
        <v>45.315304</v>
      </c>
      <c r="H72" s="192">
        <f t="shared" si="7"/>
        <v>45.315304</v>
      </c>
      <c r="I72" s="191">
        <v>1.0</v>
      </c>
      <c r="J72" s="194">
        <f t="shared" si="8"/>
        <v>45.315304</v>
      </c>
      <c r="K72" s="139"/>
      <c r="L72" s="197"/>
      <c r="M72" s="198"/>
      <c r="N72" s="198"/>
      <c r="O72" s="139"/>
      <c r="P72" s="139"/>
      <c r="Q72" s="176"/>
      <c r="R72" s="281">
        <v>29.5</v>
      </c>
      <c r="S72" s="176">
        <f t="shared" si="9"/>
        <v>1.24</v>
      </c>
      <c r="T72" s="160">
        <f t="shared" si="10"/>
        <v>1</v>
      </c>
      <c r="U72" s="160">
        <f t="shared" si="11"/>
        <v>1.24</v>
      </c>
      <c r="V72" s="282">
        <f t="shared" si="12"/>
        <v>45.315304</v>
      </c>
      <c r="W72" s="176">
        <f t="shared" ref="W72:X72" si="64">C72/100</f>
        <v>0.76</v>
      </c>
      <c r="X72" s="176">
        <f t="shared" si="64"/>
        <v>1.63</v>
      </c>
      <c r="Y72" s="176">
        <f t="shared" si="14"/>
        <v>1.24</v>
      </c>
      <c r="Z72" s="283">
        <f t="shared" si="15"/>
        <v>1.536112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customHeight="1">
      <c r="A73" s="160">
        <v>49.0</v>
      </c>
      <c r="B73" s="191" t="s">
        <v>55</v>
      </c>
      <c r="C73" s="191">
        <v>105.0</v>
      </c>
      <c r="D73" s="191">
        <v>163.0</v>
      </c>
      <c r="E73" s="191">
        <v>240.0</v>
      </c>
      <c r="F73" s="191">
        <f t="shared" si="5"/>
        <v>0</v>
      </c>
      <c r="G73" s="191">
        <f t="shared" si="6"/>
        <v>121.1742</v>
      </c>
      <c r="H73" s="192">
        <f t="shared" si="7"/>
        <v>121.1742</v>
      </c>
      <c r="I73" s="191">
        <v>1.0</v>
      </c>
      <c r="J73" s="194">
        <f t="shared" si="8"/>
        <v>121.1742</v>
      </c>
      <c r="K73" s="139"/>
      <c r="L73" s="197"/>
      <c r="M73" s="198"/>
      <c r="N73" s="198"/>
      <c r="O73" s="139"/>
      <c r="P73" s="139"/>
      <c r="Q73" s="176"/>
      <c r="R73" s="281">
        <v>29.5</v>
      </c>
      <c r="S73" s="176">
        <f t="shared" si="9"/>
        <v>2.4</v>
      </c>
      <c r="T73" s="160">
        <f t="shared" si="10"/>
        <v>1</v>
      </c>
      <c r="U73" s="160">
        <f t="shared" si="11"/>
        <v>2.4</v>
      </c>
      <c r="V73" s="282">
        <f t="shared" si="12"/>
        <v>121.1742</v>
      </c>
      <c r="W73" s="176">
        <f t="shared" ref="W73:X73" si="65">C73/100</f>
        <v>1.05</v>
      </c>
      <c r="X73" s="176">
        <f t="shared" si="65"/>
        <v>1.63</v>
      </c>
      <c r="Y73" s="176">
        <f t="shared" si="14"/>
        <v>2.4</v>
      </c>
      <c r="Z73" s="283">
        <f t="shared" si="15"/>
        <v>4.1076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customHeight="1">
      <c r="A74" s="160">
        <v>50.0</v>
      </c>
      <c r="B74" s="191" t="s">
        <v>55</v>
      </c>
      <c r="C74" s="191">
        <v>101.0</v>
      </c>
      <c r="D74" s="191">
        <v>163.0</v>
      </c>
      <c r="E74" s="191">
        <v>241.0</v>
      </c>
      <c r="F74" s="191">
        <f t="shared" si="5"/>
        <v>0</v>
      </c>
      <c r="G74" s="191">
        <f t="shared" si="6"/>
        <v>117.0436985</v>
      </c>
      <c r="H74" s="192">
        <f t="shared" si="7"/>
        <v>117.0436985</v>
      </c>
      <c r="I74" s="191">
        <v>1.0</v>
      </c>
      <c r="J74" s="194">
        <f t="shared" si="8"/>
        <v>117.0436985</v>
      </c>
      <c r="K74" s="139"/>
      <c r="L74" s="197"/>
      <c r="M74" s="198"/>
      <c r="N74" s="198"/>
      <c r="O74" s="139"/>
      <c r="P74" s="139"/>
      <c r="Q74" s="176"/>
      <c r="R74" s="281">
        <v>29.5</v>
      </c>
      <c r="S74" s="176">
        <f t="shared" si="9"/>
        <v>2.41</v>
      </c>
      <c r="T74" s="160">
        <f t="shared" si="10"/>
        <v>1</v>
      </c>
      <c r="U74" s="160">
        <f t="shared" si="11"/>
        <v>2.41</v>
      </c>
      <c r="V74" s="282">
        <f t="shared" si="12"/>
        <v>117.0436985</v>
      </c>
      <c r="W74" s="176">
        <f t="shared" ref="W74:X74" si="66">C74/100</f>
        <v>1.01</v>
      </c>
      <c r="X74" s="176">
        <f t="shared" si="66"/>
        <v>1.63</v>
      </c>
      <c r="Y74" s="176">
        <f t="shared" si="14"/>
        <v>2.41</v>
      </c>
      <c r="Z74" s="283">
        <f t="shared" si="15"/>
        <v>3.967583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customHeight="1">
      <c r="A75" s="160">
        <v>51.0</v>
      </c>
      <c r="B75" s="191" t="s">
        <v>55</v>
      </c>
      <c r="C75" s="191">
        <v>102.0</v>
      </c>
      <c r="D75" s="191">
        <v>163.0</v>
      </c>
      <c r="E75" s="191">
        <v>240.0</v>
      </c>
      <c r="F75" s="191">
        <f t="shared" si="5"/>
        <v>0</v>
      </c>
      <c r="G75" s="191">
        <f t="shared" si="6"/>
        <v>117.71208</v>
      </c>
      <c r="H75" s="192">
        <f t="shared" si="7"/>
        <v>117.71208</v>
      </c>
      <c r="I75" s="191">
        <v>1.0</v>
      </c>
      <c r="J75" s="194">
        <f t="shared" si="8"/>
        <v>117.71208</v>
      </c>
      <c r="K75" s="139"/>
      <c r="L75" s="197"/>
      <c r="M75" s="198"/>
      <c r="N75" s="198"/>
      <c r="O75" s="139"/>
      <c r="P75" s="139"/>
      <c r="Q75" s="176"/>
      <c r="R75" s="281">
        <v>29.5</v>
      </c>
      <c r="S75" s="176">
        <f t="shared" si="9"/>
        <v>2.4</v>
      </c>
      <c r="T75" s="160">
        <f t="shared" si="10"/>
        <v>1</v>
      </c>
      <c r="U75" s="160">
        <f t="shared" si="11"/>
        <v>2.4</v>
      </c>
      <c r="V75" s="282">
        <f t="shared" si="12"/>
        <v>117.71208</v>
      </c>
      <c r="W75" s="176">
        <f t="shared" ref="W75:X75" si="67">C75/100</f>
        <v>1.02</v>
      </c>
      <c r="X75" s="176">
        <f t="shared" si="67"/>
        <v>1.63</v>
      </c>
      <c r="Y75" s="176">
        <f t="shared" si="14"/>
        <v>2.4</v>
      </c>
      <c r="Z75" s="283">
        <f t="shared" si="15"/>
        <v>3.99024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customHeight="1">
      <c r="A76" s="160">
        <v>52.0</v>
      </c>
      <c r="B76" s="191" t="s">
        <v>55</v>
      </c>
      <c r="C76" s="191">
        <v>95.0</v>
      </c>
      <c r="D76" s="191">
        <v>163.0</v>
      </c>
      <c r="E76" s="191">
        <v>241.0</v>
      </c>
      <c r="F76" s="191">
        <f t="shared" si="5"/>
        <v>0</v>
      </c>
      <c r="G76" s="191">
        <f t="shared" si="6"/>
        <v>110.0906075</v>
      </c>
      <c r="H76" s="192">
        <f t="shared" si="7"/>
        <v>110.0906075</v>
      </c>
      <c r="I76" s="191">
        <v>1.0</v>
      </c>
      <c r="J76" s="194">
        <f t="shared" si="8"/>
        <v>110.0906075</v>
      </c>
      <c r="K76" s="139"/>
      <c r="L76" s="197"/>
      <c r="M76" s="198"/>
      <c r="N76" s="198"/>
      <c r="O76" s="139"/>
      <c r="P76" s="139"/>
      <c r="Q76" s="176"/>
      <c r="R76" s="281">
        <v>29.5</v>
      </c>
      <c r="S76" s="176">
        <f t="shared" si="9"/>
        <v>2.41</v>
      </c>
      <c r="T76" s="160">
        <f t="shared" si="10"/>
        <v>1</v>
      </c>
      <c r="U76" s="160">
        <f t="shared" si="11"/>
        <v>2.41</v>
      </c>
      <c r="V76" s="282">
        <f t="shared" si="12"/>
        <v>110.0906075</v>
      </c>
      <c r="W76" s="176">
        <f t="shared" ref="W76:X76" si="68">C76/100</f>
        <v>0.95</v>
      </c>
      <c r="X76" s="176">
        <f t="shared" si="68"/>
        <v>1.63</v>
      </c>
      <c r="Y76" s="176">
        <f t="shared" si="14"/>
        <v>2.41</v>
      </c>
      <c r="Z76" s="283">
        <f t="shared" si="15"/>
        <v>3.731885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customHeight="1">
      <c r="A77" s="160">
        <v>53.0</v>
      </c>
      <c r="B77" s="191" t="s">
        <v>55</v>
      </c>
      <c r="C77" s="191">
        <v>100.0</v>
      </c>
      <c r="D77" s="191">
        <v>163.0</v>
      </c>
      <c r="E77" s="191">
        <v>241.0</v>
      </c>
      <c r="F77" s="191">
        <f t="shared" si="5"/>
        <v>0</v>
      </c>
      <c r="G77" s="191">
        <f t="shared" si="6"/>
        <v>115.88485</v>
      </c>
      <c r="H77" s="192">
        <f t="shared" si="7"/>
        <v>115.88485</v>
      </c>
      <c r="I77" s="191">
        <v>1.0</v>
      </c>
      <c r="J77" s="194">
        <f t="shared" si="8"/>
        <v>115.88485</v>
      </c>
      <c r="K77" s="139"/>
      <c r="L77" s="197"/>
      <c r="M77" s="198"/>
      <c r="N77" s="198"/>
      <c r="O77" s="139"/>
      <c r="P77" s="139"/>
      <c r="Q77" s="176"/>
      <c r="R77" s="281">
        <v>29.5</v>
      </c>
      <c r="S77" s="176">
        <f t="shared" si="9"/>
        <v>2.41</v>
      </c>
      <c r="T77" s="160">
        <f t="shared" si="10"/>
        <v>1</v>
      </c>
      <c r="U77" s="160">
        <f t="shared" si="11"/>
        <v>2.41</v>
      </c>
      <c r="V77" s="282">
        <f t="shared" si="12"/>
        <v>115.88485</v>
      </c>
      <c r="W77" s="176">
        <f t="shared" ref="W77:X77" si="69">C77/100</f>
        <v>1</v>
      </c>
      <c r="X77" s="176">
        <f t="shared" si="69"/>
        <v>1.63</v>
      </c>
      <c r="Y77" s="176">
        <f t="shared" si="14"/>
        <v>2.41</v>
      </c>
      <c r="Z77" s="283">
        <f t="shared" si="15"/>
        <v>3.9283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customHeight="1">
      <c r="A78" s="160">
        <v>54.0</v>
      </c>
      <c r="B78" s="191" t="s">
        <v>55</v>
      </c>
      <c r="C78" s="191">
        <v>98.0</v>
      </c>
      <c r="D78" s="191">
        <v>163.0</v>
      </c>
      <c r="E78" s="191">
        <v>240.0</v>
      </c>
      <c r="F78" s="191">
        <f t="shared" si="5"/>
        <v>0</v>
      </c>
      <c r="G78" s="191">
        <f t="shared" si="6"/>
        <v>113.09592</v>
      </c>
      <c r="H78" s="192">
        <f t="shared" si="7"/>
        <v>113.09592</v>
      </c>
      <c r="I78" s="191">
        <v>2.0</v>
      </c>
      <c r="J78" s="194">
        <f t="shared" si="8"/>
        <v>226.19184</v>
      </c>
      <c r="K78" s="139"/>
      <c r="L78" s="197"/>
      <c r="M78" s="198"/>
      <c r="N78" s="198"/>
      <c r="O78" s="139"/>
      <c r="P78" s="139"/>
      <c r="Q78" s="176"/>
      <c r="R78" s="281">
        <v>29.5</v>
      </c>
      <c r="S78" s="176">
        <f t="shared" si="9"/>
        <v>2.4</v>
      </c>
      <c r="T78" s="160">
        <f t="shared" si="10"/>
        <v>2</v>
      </c>
      <c r="U78" s="160">
        <f t="shared" si="11"/>
        <v>4.8</v>
      </c>
      <c r="V78" s="282">
        <f t="shared" si="12"/>
        <v>113.09592</v>
      </c>
      <c r="W78" s="176">
        <f t="shared" ref="W78:X78" si="70">C78/100</f>
        <v>0.98</v>
      </c>
      <c r="X78" s="176">
        <f t="shared" si="70"/>
        <v>1.63</v>
      </c>
      <c r="Y78" s="176">
        <f t="shared" si="14"/>
        <v>4.8</v>
      </c>
      <c r="Z78" s="283">
        <f t="shared" si="15"/>
        <v>7.66752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customHeight="1">
      <c r="A79" s="160">
        <v>55.0</v>
      </c>
      <c r="B79" s="191" t="s">
        <v>55</v>
      </c>
      <c r="C79" s="191">
        <v>86.0</v>
      </c>
      <c r="D79" s="191">
        <v>163.0</v>
      </c>
      <c r="E79" s="191">
        <v>240.0</v>
      </c>
      <c r="F79" s="191">
        <f t="shared" si="5"/>
        <v>0</v>
      </c>
      <c r="G79" s="191">
        <f t="shared" si="6"/>
        <v>99.24744</v>
      </c>
      <c r="H79" s="192">
        <f t="shared" si="7"/>
        <v>99.24744</v>
      </c>
      <c r="I79" s="191">
        <v>1.0</v>
      </c>
      <c r="J79" s="194">
        <f t="shared" si="8"/>
        <v>99.24744</v>
      </c>
      <c r="K79" s="139"/>
      <c r="L79" s="197"/>
      <c r="M79" s="198"/>
      <c r="N79" s="198"/>
      <c r="O79" s="139"/>
      <c r="P79" s="139"/>
      <c r="Q79" s="176"/>
      <c r="R79" s="281">
        <v>29.5</v>
      </c>
      <c r="S79" s="176">
        <f t="shared" si="9"/>
        <v>2.4</v>
      </c>
      <c r="T79" s="160">
        <f t="shared" si="10"/>
        <v>1</v>
      </c>
      <c r="U79" s="160">
        <f t="shared" si="11"/>
        <v>2.4</v>
      </c>
      <c r="V79" s="282">
        <f t="shared" si="12"/>
        <v>99.24744</v>
      </c>
      <c r="W79" s="176">
        <f t="shared" ref="W79:X79" si="71">C79/100</f>
        <v>0.86</v>
      </c>
      <c r="X79" s="176">
        <f t="shared" si="71"/>
        <v>1.63</v>
      </c>
      <c r="Y79" s="176">
        <f t="shared" si="14"/>
        <v>2.4</v>
      </c>
      <c r="Z79" s="283">
        <f t="shared" si="15"/>
        <v>3.36432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customHeight="1">
      <c r="A80" s="160">
        <v>56.0</v>
      </c>
      <c r="B80" s="191" t="s">
        <v>55</v>
      </c>
      <c r="C80" s="191">
        <v>99.0</v>
      </c>
      <c r="D80" s="191">
        <v>163.0</v>
      </c>
      <c r="E80" s="191">
        <v>240.0</v>
      </c>
      <c r="F80" s="191">
        <f t="shared" si="5"/>
        <v>0</v>
      </c>
      <c r="G80" s="191">
        <f t="shared" si="6"/>
        <v>114.24996</v>
      </c>
      <c r="H80" s="192">
        <f t="shared" si="7"/>
        <v>114.24996</v>
      </c>
      <c r="I80" s="191">
        <v>1.0</v>
      </c>
      <c r="J80" s="194">
        <f t="shared" si="8"/>
        <v>114.24996</v>
      </c>
      <c r="K80" s="139"/>
      <c r="L80" s="197"/>
      <c r="M80" s="198"/>
      <c r="N80" s="198"/>
      <c r="O80" s="139"/>
      <c r="P80" s="139"/>
      <c r="Q80" s="176"/>
      <c r="R80" s="281">
        <v>29.5</v>
      </c>
      <c r="S80" s="176">
        <f t="shared" si="9"/>
        <v>2.4</v>
      </c>
      <c r="T80" s="160">
        <f t="shared" si="10"/>
        <v>1</v>
      </c>
      <c r="U80" s="160">
        <f t="shared" si="11"/>
        <v>2.4</v>
      </c>
      <c r="V80" s="282">
        <f t="shared" si="12"/>
        <v>114.24996</v>
      </c>
      <c r="W80" s="176">
        <f t="shared" ref="W80:X80" si="72">C80/100</f>
        <v>0.99</v>
      </c>
      <c r="X80" s="176">
        <f t="shared" si="72"/>
        <v>1.63</v>
      </c>
      <c r="Y80" s="176">
        <f t="shared" si="14"/>
        <v>2.4</v>
      </c>
      <c r="Z80" s="283">
        <f t="shared" si="15"/>
        <v>3.87288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customHeight="1">
      <c r="A81" s="160">
        <v>57.0</v>
      </c>
      <c r="B81" s="182" t="s">
        <v>64</v>
      </c>
      <c r="C81" s="183">
        <v>92.0</v>
      </c>
      <c r="D81" s="183">
        <v>202.0</v>
      </c>
      <c r="E81" s="183">
        <v>232.0</v>
      </c>
      <c r="F81" s="183">
        <f t="shared" si="5"/>
        <v>0.8</v>
      </c>
      <c r="G81" s="183">
        <f t="shared" si="6"/>
        <v>127.188896</v>
      </c>
      <c r="H81" s="184">
        <f t="shared" si="7"/>
        <v>101.7511168</v>
      </c>
      <c r="I81" s="183">
        <v>1.0</v>
      </c>
      <c r="J81" s="185">
        <f t="shared" si="8"/>
        <v>101.7511168</v>
      </c>
      <c r="K81" s="139"/>
      <c r="L81" s="197"/>
      <c r="M81" s="198"/>
      <c r="N81" s="198"/>
      <c r="O81" s="139"/>
      <c r="P81" s="139"/>
      <c r="Q81" s="176"/>
      <c r="R81" s="281">
        <v>29.5</v>
      </c>
      <c r="S81" s="176">
        <f t="shared" si="9"/>
        <v>2.32</v>
      </c>
      <c r="T81" s="160">
        <f t="shared" si="10"/>
        <v>1</v>
      </c>
      <c r="U81" s="160">
        <f t="shared" si="11"/>
        <v>2.32</v>
      </c>
      <c r="V81" s="282">
        <f t="shared" si="12"/>
        <v>127.188896</v>
      </c>
      <c r="W81" s="176">
        <f t="shared" ref="W81:X81" si="73">C81/100</f>
        <v>0.92</v>
      </c>
      <c r="X81" s="176">
        <f t="shared" si="73"/>
        <v>2.02</v>
      </c>
      <c r="Y81" s="176">
        <f t="shared" si="14"/>
        <v>2.32</v>
      </c>
      <c r="Z81" s="283">
        <f t="shared" si="15"/>
        <v>4.311488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customHeight="1">
      <c r="A82" s="160">
        <v>58.0</v>
      </c>
      <c r="B82" s="191" t="s">
        <v>55</v>
      </c>
      <c r="C82" s="191">
        <v>97.0</v>
      </c>
      <c r="D82" s="191">
        <v>202.0</v>
      </c>
      <c r="E82" s="191">
        <v>202.0</v>
      </c>
      <c r="F82" s="191">
        <f t="shared" si="5"/>
        <v>0</v>
      </c>
      <c r="G82" s="191">
        <f t="shared" si="6"/>
        <v>116.760646</v>
      </c>
      <c r="H82" s="192">
        <f t="shared" si="7"/>
        <v>116.760646</v>
      </c>
      <c r="I82" s="191">
        <v>54.0</v>
      </c>
      <c r="J82" s="194">
        <f t="shared" si="8"/>
        <v>6305.074884</v>
      </c>
      <c r="K82" s="139"/>
      <c r="L82" s="197"/>
      <c r="M82" s="198"/>
      <c r="N82" s="198"/>
      <c r="O82" s="139"/>
      <c r="P82" s="139"/>
      <c r="Q82" s="176"/>
      <c r="R82" s="281">
        <v>29.5</v>
      </c>
      <c r="S82" s="176">
        <f t="shared" si="9"/>
        <v>2.02</v>
      </c>
      <c r="T82" s="160">
        <f t="shared" si="10"/>
        <v>54</v>
      </c>
      <c r="U82" s="160">
        <f t="shared" si="11"/>
        <v>109.08</v>
      </c>
      <c r="V82" s="282">
        <f t="shared" si="12"/>
        <v>116.760646</v>
      </c>
      <c r="W82" s="176">
        <f t="shared" ref="W82:X82" si="74">C82/100</f>
        <v>0.97</v>
      </c>
      <c r="X82" s="176">
        <f t="shared" si="74"/>
        <v>2.02</v>
      </c>
      <c r="Y82" s="176">
        <f t="shared" si="14"/>
        <v>109.08</v>
      </c>
      <c r="Z82" s="283">
        <f t="shared" si="15"/>
        <v>213.731352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customHeight="1">
      <c r="A83" s="160">
        <v>59.0</v>
      </c>
      <c r="B83" s="191" t="s">
        <v>55</v>
      </c>
      <c r="C83" s="191">
        <v>98.0</v>
      </c>
      <c r="D83" s="191">
        <v>202.0</v>
      </c>
      <c r="E83" s="191">
        <v>232.0</v>
      </c>
      <c r="F83" s="191">
        <f t="shared" si="5"/>
        <v>0</v>
      </c>
      <c r="G83" s="191">
        <f t="shared" si="6"/>
        <v>135.483824</v>
      </c>
      <c r="H83" s="192">
        <f t="shared" si="7"/>
        <v>135.483824</v>
      </c>
      <c r="I83" s="191">
        <v>1.0</v>
      </c>
      <c r="J83" s="194">
        <f t="shared" si="8"/>
        <v>135.483824</v>
      </c>
      <c r="K83" s="139"/>
      <c r="L83" s="197"/>
      <c r="M83" s="198"/>
      <c r="N83" s="198"/>
      <c r="O83" s="139"/>
      <c r="P83" s="139"/>
      <c r="Q83" s="176"/>
      <c r="R83" s="281">
        <v>29.5</v>
      </c>
      <c r="S83" s="176">
        <f t="shared" si="9"/>
        <v>2.32</v>
      </c>
      <c r="T83" s="160">
        <f t="shared" si="10"/>
        <v>1</v>
      </c>
      <c r="U83" s="160">
        <f t="shared" si="11"/>
        <v>2.32</v>
      </c>
      <c r="V83" s="282">
        <f t="shared" si="12"/>
        <v>135.483824</v>
      </c>
      <c r="W83" s="176">
        <f t="shared" ref="W83:X83" si="75">C83/100</f>
        <v>0.98</v>
      </c>
      <c r="X83" s="176">
        <f t="shared" si="75"/>
        <v>2.02</v>
      </c>
      <c r="Y83" s="176">
        <f t="shared" si="14"/>
        <v>2.32</v>
      </c>
      <c r="Z83" s="283">
        <f t="shared" si="15"/>
        <v>4.592672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customHeight="1">
      <c r="A84" s="160">
        <v>60.0</v>
      </c>
      <c r="B84" s="191" t="s">
        <v>55</v>
      </c>
      <c r="C84" s="191">
        <v>97.0</v>
      </c>
      <c r="D84" s="191">
        <v>202.0</v>
      </c>
      <c r="E84" s="191">
        <v>232.0</v>
      </c>
      <c r="F84" s="191">
        <f t="shared" si="5"/>
        <v>0</v>
      </c>
      <c r="G84" s="191">
        <f t="shared" si="6"/>
        <v>134.101336</v>
      </c>
      <c r="H84" s="192">
        <f t="shared" si="7"/>
        <v>134.101336</v>
      </c>
      <c r="I84" s="191">
        <v>29.0</v>
      </c>
      <c r="J84" s="194">
        <f t="shared" si="8"/>
        <v>3888.938744</v>
      </c>
      <c r="K84" s="139"/>
      <c r="L84" s="176">
        <f t="shared" ref="L84:L85" si="77">D84*25.4/1000</f>
        <v>5.1308</v>
      </c>
      <c r="M84" s="160">
        <f t="shared" ref="M84:M98" si="78">+I84</f>
        <v>29</v>
      </c>
      <c r="N84" s="160">
        <f t="shared" ref="N84:N85" si="79">M84*L84</f>
        <v>148.7932</v>
      </c>
      <c r="O84" s="139"/>
      <c r="P84" s="139"/>
      <c r="Q84" s="176"/>
      <c r="R84" s="281">
        <v>29.5</v>
      </c>
      <c r="S84" s="176">
        <f t="shared" si="9"/>
        <v>2.32</v>
      </c>
      <c r="T84" s="160">
        <f t="shared" si="10"/>
        <v>29</v>
      </c>
      <c r="U84" s="160">
        <f t="shared" si="11"/>
        <v>67.28</v>
      </c>
      <c r="V84" s="282">
        <f t="shared" si="12"/>
        <v>134.101336</v>
      </c>
      <c r="W84" s="176">
        <f t="shared" ref="W84:X84" si="76">C84/100</f>
        <v>0.97</v>
      </c>
      <c r="X84" s="176">
        <f t="shared" si="76"/>
        <v>2.02</v>
      </c>
      <c r="Y84" s="176">
        <f t="shared" si="14"/>
        <v>67.28</v>
      </c>
      <c r="Z84" s="283">
        <f t="shared" si="15"/>
        <v>131.828432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customHeight="1">
      <c r="A85" s="160">
        <v>61.0</v>
      </c>
      <c r="B85" s="191" t="s">
        <v>55</v>
      </c>
      <c r="C85" s="191">
        <v>103.0</v>
      </c>
      <c r="D85" s="191">
        <v>202.0</v>
      </c>
      <c r="E85" s="191">
        <v>232.0</v>
      </c>
      <c r="F85" s="191">
        <f t="shared" si="5"/>
        <v>0</v>
      </c>
      <c r="G85" s="191">
        <f t="shared" si="6"/>
        <v>142.396264</v>
      </c>
      <c r="H85" s="192">
        <f t="shared" si="7"/>
        <v>142.396264</v>
      </c>
      <c r="I85" s="191">
        <v>2.0</v>
      </c>
      <c r="J85" s="194">
        <f t="shared" si="8"/>
        <v>284.792528</v>
      </c>
      <c r="K85" s="139"/>
      <c r="L85" s="197">
        <f t="shared" si="77"/>
        <v>5.1308</v>
      </c>
      <c r="M85" s="198">
        <f t="shared" si="78"/>
        <v>2</v>
      </c>
      <c r="N85" s="198">
        <f t="shared" si="79"/>
        <v>10.2616</v>
      </c>
      <c r="O85" s="139"/>
      <c r="P85" s="139"/>
      <c r="Q85" s="176"/>
      <c r="R85" s="281">
        <v>29.5</v>
      </c>
      <c r="S85" s="176">
        <f t="shared" si="9"/>
        <v>2.32</v>
      </c>
      <c r="T85" s="160">
        <f t="shared" si="10"/>
        <v>2</v>
      </c>
      <c r="U85" s="160">
        <f t="shared" si="11"/>
        <v>4.64</v>
      </c>
      <c r="V85" s="282">
        <f t="shared" si="12"/>
        <v>142.396264</v>
      </c>
      <c r="W85" s="176">
        <f t="shared" ref="W85:X85" si="80">C85/100</f>
        <v>1.03</v>
      </c>
      <c r="X85" s="176">
        <f t="shared" si="80"/>
        <v>2.02</v>
      </c>
      <c r="Y85" s="176">
        <f t="shared" si="14"/>
        <v>4.64</v>
      </c>
      <c r="Z85" s="283">
        <f t="shared" si="15"/>
        <v>9.653984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customHeight="1">
      <c r="A86" s="160">
        <v>62.0</v>
      </c>
      <c r="B86" s="191" t="s">
        <v>55</v>
      </c>
      <c r="C86" s="191">
        <v>96.0</v>
      </c>
      <c r="D86" s="191">
        <v>202.0</v>
      </c>
      <c r="E86" s="191">
        <v>232.0</v>
      </c>
      <c r="F86" s="191">
        <f t="shared" si="5"/>
        <v>0</v>
      </c>
      <c r="G86" s="191">
        <f t="shared" si="6"/>
        <v>132.718848</v>
      </c>
      <c r="H86" s="192">
        <f t="shared" si="7"/>
        <v>132.718848</v>
      </c>
      <c r="I86" s="191">
        <v>1.0</v>
      </c>
      <c r="J86" s="194">
        <f t="shared" si="8"/>
        <v>132.718848</v>
      </c>
      <c r="K86" s="139"/>
      <c r="L86" s="197"/>
      <c r="M86" s="198">
        <f t="shared" si="78"/>
        <v>1</v>
      </c>
      <c r="N86" s="198"/>
      <c r="O86" s="139"/>
      <c r="P86" s="139"/>
      <c r="Q86" s="176"/>
      <c r="R86" s="281">
        <v>29.5</v>
      </c>
      <c r="S86" s="176">
        <f t="shared" si="9"/>
        <v>2.32</v>
      </c>
      <c r="T86" s="160">
        <f t="shared" si="10"/>
        <v>1</v>
      </c>
      <c r="U86" s="160">
        <f t="shared" si="11"/>
        <v>2.32</v>
      </c>
      <c r="V86" s="282">
        <f t="shared" si="12"/>
        <v>132.718848</v>
      </c>
      <c r="W86" s="176">
        <f t="shared" ref="W86:X86" si="81">C86/100</f>
        <v>0.96</v>
      </c>
      <c r="X86" s="176">
        <f t="shared" si="81"/>
        <v>2.02</v>
      </c>
      <c r="Y86" s="176">
        <f t="shared" si="14"/>
        <v>2.32</v>
      </c>
      <c r="Z86" s="283">
        <f t="shared" si="15"/>
        <v>4.498944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customHeight="1">
      <c r="A87" s="160">
        <v>63.0</v>
      </c>
      <c r="B87" s="191" t="s">
        <v>55</v>
      </c>
      <c r="C87" s="191">
        <v>100.0</v>
      </c>
      <c r="D87" s="191">
        <v>202.0</v>
      </c>
      <c r="E87" s="191">
        <v>232.0</v>
      </c>
      <c r="F87" s="191">
        <f t="shared" si="5"/>
        <v>0</v>
      </c>
      <c r="G87" s="191">
        <f t="shared" si="6"/>
        <v>138.2488</v>
      </c>
      <c r="H87" s="192">
        <f t="shared" si="7"/>
        <v>138.2488</v>
      </c>
      <c r="I87" s="191">
        <v>3.0</v>
      </c>
      <c r="J87" s="194">
        <f t="shared" si="8"/>
        <v>414.7464</v>
      </c>
      <c r="K87" s="139"/>
      <c r="L87" s="197"/>
      <c r="M87" s="198">
        <f t="shared" si="78"/>
        <v>3</v>
      </c>
      <c r="N87" s="198"/>
      <c r="O87" s="139"/>
      <c r="P87" s="139"/>
      <c r="Q87" s="176"/>
      <c r="R87" s="281">
        <v>29.5</v>
      </c>
      <c r="S87" s="176">
        <f t="shared" si="9"/>
        <v>2.32</v>
      </c>
      <c r="T87" s="160">
        <f t="shared" si="10"/>
        <v>3</v>
      </c>
      <c r="U87" s="160">
        <f t="shared" si="11"/>
        <v>6.96</v>
      </c>
      <c r="V87" s="282">
        <f t="shared" si="12"/>
        <v>138.2488</v>
      </c>
      <c r="W87" s="176">
        <f t="shared" ref="W87:X87" si="82">C87/100</f>
        <v>1</v>
      </c>
      <c r="X87" s="176">
        <f t="shared" si="82"/>
        <v>2.02</v>
      </c>
      <c r="Y87" s="176">
        <f t="shared" si="14"/>
        <v>6.96</v>
      </c>
      <c r="Z87" s="283">
        <f t="shared" si="15"/>
        <v>14.0592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customHeight="1">
      <c r="A88" s="160">
        <v>64.0</v>
      </c>
      <c r="B88" s="191" t="s">
        <v>55</v>
      </c>
      <c r="C88" s="191">
        <v>101.0</v>
      </c>
      <c r="D88" s="191">
        <v>202.0</v>
      </c>
      <c r="E88" s="191">
        <v>232.0</v>
      </c>
      <c r="F88" s="191">
        <f t="shared" si="5"/>
        <v>0</v>
      </c>
      <c r="G88" s="191">
        <f t="shared" si="6"/>
        <v>139.631288</v>
      </c>
      <c r="H88" s="192">
        <f t="shared" si="7"/>
        <v>139.631288</v>
      </c>
      <c r="I88" s="191">
        <v>1.0</v>
      </c>
      <c r="J88" s="194">
        <f t="shared" si="8"/>
        <v>139.631288</v>
      </c>
      <c r="K88" s="139"/>
      <c r="L88" s="197"/>
      <c r="M88" s="198">
        <f t="shared" si="78"/>
        <v>1</v>
      </c>
      <c r="N88" s="198"/>
      <c r="O88" s="139"/>
      <c r="P88" s="139"/>
      <c r="Q88" s="176"/>
      <c r="R88" s="281">
        <v>29.5</v>
      </c>
      <c r="S88" s="176">
        <f t="shared" si="9"/>
        <v>2.32</v>
      </c>
      <c r="T88" s="160">
        <f t="shared" si="10"/>
        <v>1</v>
      </c>
      <c r="U88" s="160">
        <f t="shared" si="11"/>
        <v>2.32</v>
      </c>
      <c r="V88" s="282">
        <f t="shared" si="12"/>
        <v>139.631288</v>
      </c>
      <c r="W88" s="176">
        <f t="shared" ref="W88:X88" si="83">C88/100</f>
        <v>1.01</v>
      </c>
      <c r="X88" s="176">
        <f t="shared" si="83"/>
        <v>2.02</v>
      </c>
      <c r="Y88" s="176">
        <f t="shared" si="14"/>
        <v>2.32</v>
      </c>
      <c r="Z88" s="283">
        <f t="shared" si="15"/>
        <v>4.733264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customHeight="1">
      <c r="A89" s="160">
        <v>65.0</v>
      </c>
      <c r="B89" s="191" t="s">
        <v>55</v>
      </c>
      <c r="C89" s="191">
        <v>97.0</v>
      </c>
      <c r="D89" s="191">
        <v>202.0</v>
      </c>
      <c r="E89" s="191">
        <v>201.0</v>
      </c>
      <c r="F89" s="191">
        <f t="shared" si="5"/>
        <v>0</v>
      </c>
      <c r="G89" s="191">
        <f t="shared" si="6"/>
        <v>116.182623</v>
      </c>
      <c r="H89" s="192">
        <f t="shared" si="7"/>
        <v>116.182623</v>
      </c>
      <c r="I89" s="191">
        <v>1.0</v>
      </c>
      <c r="J89" s="194">
        <f t="shared" si="8"/>
        <v>116.182623</v>
      </c>
      <c r="K89" s="139"/>
      <c r="L89" s="197"/>
      <c r="M89" s="198">
        <f t="shared" si="78"/>
        <v>1</v>
      </c>
      <c r="N89" s="198"/>
      <c r="O89" s="139"/>
      <c r="P89" s="139"/>
      <c r="Q89" s="176"/>
      <c r="R89" s="281">
        <v>29.5</v>
      </c>
      <c r="S89" s="176">
        <f t="shared" si="9"/>
        <v>2.01</v>
      </c>
      <c r="T89" s="160">
        <f t="shared" si="10"/>
        <v>1</v>
      </c>
      <c r="U89" s="160">
        <f t="shared" si="11"/>
        <v>2.01</v>
      </c>
      <c r="V89" s="282">
        <f t="shared" si="12"/>
        <v>116.182623</v>
      </c>
      <c r="W89" s="176">
        <f t="shared" ref="W89:X89" si="84">C89/100</f>
        <v>0.97</v>
      </c>
      <c r="X89" s="176">
        <f t="shared" si="84"/>
        <v>2.02</v>
      </c>
      <c r="Y89" s="176">
        <f t="shared" si="14"/>
        <v>2.01</v>
      </c>
      <c r="Z89" s="283">
        <f t="shared" si="15"/>
        <v>3.938394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customHeight="1">
      <c r="A90" s="160">
        <v>66.0</v>
      </c>
      <c r="B90" s="191" t="s">
        <v>55</v>
      </c>
      <c r="C90" s="191">
        <v>97.0</v>
      </c>
      <c r="D90" s="191">
        <v>202.0</v>
      </c>
      <c r="E90" s="191">
        <v>207.0</v>
      </c>
      <c r="F90" s="191">
        <f t="shared" si="5"/>
        <v>0</v>
      </c>
      <c r="G90" s="191">
        <f t="shared" si="6"/>
        <v>119.650761</v>
      </c>
      <c r="H90" s="192">
        <f t="shared" si="7"/>
        <v>119.650761</v>
      </c>
      <c r="I90" s="191">
        <v>1.0</v>
      </c>
      <c r="J90" s="194">
        <f t="shared" si="8"/>
        <v>119.650761</v>
      </c>
      <c r="K90" s="139"/>
      <c r="L90" s="197"/>
      <c r="M90" s="198">
        <f t="shared" si="78"/>
        <v>1</v>
      </c>
      <c r="N90" s="198"/>
      <c r="O90" s="139"/>
      <c r="P90" s="139"/>
      <c r="Q90" s="176"/>
      <c r="R90" s="281">
        <v>29.5</v>
      </c>
      <c r="S90" s="176">
        <f t="shared" si="9"/>
        <v>2.07</v>
      </c>
      <c r="T90" s="160">
        <f t="shared" si="10"/>
        <v>1</v>
      </c>
      <c r="U90" s="160">
        <f t="shared" si="11"/>
        <v>2.07</v>
      </c>
      <c r="V90" s="282">
        <f t="shared" si="12"/>
        <v>119.650761</v>
      </c>
      <c r="W90" s="176">
        <f t="shared" ref="W90:X90" si="85">C90/100</f>
        <v>0.97</v>
      </c>
      <c r="X90" s="176">
        <f t="shared" si="85"/>
        <v>2.02</v>
      </c>
      <c r="Y90" s="176">
        <f t="shared" si="14"/>
        <v>2.07</v>
      </c>
      <c r="Z90" s="283">
        <f t="shared" si="15"/>
        <v>4.055958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customHeight="1">
      <c r="A91" s="160">
        <v>67.0</v>
      </c>
      <c r="B91" s="191" t="s">
        <v>55</v>
      </c>
      <c r="C91" s="191">
        <v>96.0</v>
      </c>
      <c r="D91" s="191">
        <v>202.0</v>
      </c>
      <c r="E91" s="191">
        <v>202.0</v>
      </c>
      <c r="F91" s="191">
        <f t="shared" si="5"/>
        <v>0</v>
      </c>
      <c r="G91" s="191">
        <f t="shared" si="6"/>
        <v>115.556928</v>
      </c>
      <c r="H91" s="192">
        <f t="shared" si="7"/>
        <v>115.556928</v>
      </c>
      <c r="I91" s="191">
        <v>2.0</v>
      </c>
      <c r="J91" s="194">
        <f t="shared" si="8"/>
        <v>231.113856</v>
      </c>
      <c r="K91" s="139"/>
      <c r="L91" s="197"/>
      <c r="M91" s="198">
        <f t="shared" si="78"/>
        <v>2</v>
      </c>
      <c r="N91" s="198"/>
      <c r="O91" s="139"/>
      <c r="P91" s="139"/>
      <c r="Q91" s="176"/>
      <c r="R91" s="281">
        <v>29.5</v>
      </c>
      <c r="S91" s="176">
        <f t="shared" si="9"/>
        <v>2.02</v>
      </c>
      <c r="T91" s="160">
        <f t="shared" si="10"/>
        <v>2</v>
      </c>
      <c r="U91" s="160">
        <f t="shared" si="11"/>
        <v>4.04</v>
      </c>
      <c r="V91" s="282">
        <f t="shared" si="12"/>
        <v>115.556928</v>
      </c>
      <c r="W91" s="176">
        <f t="shared" ref="W91:X91" si="86">C91/100</f>
        <v>0.96</v>
      </c>
      <c r="X91" s="176">
        <f t="shared" si="86"/>
        <v>2.02</v>
      </c>
      <c r="Y91" s="176">
        <f t="shared" si="14"/>
        <v>4.04</v>
      </c>
      <c r="Z91" s="283">
        <f t="shared" si="15"/>
        <v>7.834368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customHeight="1">
      <c r="A92" s="160">
        <v>68.0</v>
      </c>
      <c r="B92" s="191" t="s">
        <v>55</v>
      </c>
      <c r="C92" s="191">
        <v>97.0</v>
      </c>
      <c r="D92" s="191">
        <v>202.0</v>
      </c>
      <c r="E92" s="191">
        <v>205.0</v>
      </c>
      <c r="F92" s="191">
        <f t="shared" si="5"/>
        <v>0</v>
      </c>
      <c r="G92" s="191">
        <f t="shared" si="6"/>
        <v>118.494715</v>
      </c>
      <c r="H92" s="192">
        <f t="shared" si="7"/>
        <v>118.494715</v>
      </c>
      <c r="I92" s="191">
        <v>1.0</v>
      </c>
      <c r="J92" s="194">
        <f t="shared" si="8"/>
        <v>118.494715</v>
      </c>
      <c r="K92" s="139"/>
      <c r="L92" s="197"/>
      <c r="M92" s="198">
        <f t="shared" si="78"/>
        <v>1</v>
      </c>
      <c r="N92" s="198"/>
      <c r="O92" s="139"/>
      <c r="P92" s="139"/>
      <c r="Q92" s="176"/>
      <c r="R92" s="281">
        <v>29.5</v>
      </c>
      <c r="S92" s="176">
        <f t="shared" si="9"/>
        <v>2.05</v>
      </c>
      <c r="T92" s="160">
        <f t="shared" si="10"/>
        <v>1</v>
      </c>
      <c r="U92" s="160">
        <f t="shared" si="11"/>
        <v>2.05</v>
      </c>
      <c r="V92" s="282">
        <f t="shared" si="12"/>
        <v>118.494715</v>
      </c>
      <c r="W92" s="176">
        <f t="shared" ref="W92:X92" si="87">C92/100</f>
        <v>0.97</v>
      </c>
      <c r="X92" s="176">
        <f t="shared" si="87"/>
        <v>2.02</v>
      </c>
      <c r="Y92" s="176">
        <f t="shared" si="14"/>
        <v>2.05</v>
      </c>
      <c r="Z92" s="283">
        <f t="shared" si="15"/>
        <v>4.01677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customHeight="1">
      <c r="A93" s="160">
        <v>69.0</v>
      </c>
      <c r="B93" s="191" t="s">
        <v>55</v>
      </c>
      <c r="C93" s="191">
        <v>81.0</v>
      </c>
      <c r="D93" s="191">
        <v>202.0</v>
      </c>
      <c r="E93" s="191">
        <v>189.0</v>
      </c>
      <c r="F93" s="191">
        <f t="shared" si="5"/>
        <v>0</v>
      </c>
      <c r="G93" s="191">
        <f t="shared" si="6"/>
        <v>91.226331</v>
      </c>
      <c r="H93" s="192">
        <f t="shared" si="7"/>
        <v>91.226331</v>
      </c>
      <c r="I93" s="191">
        <v>1.0</v>
      </c>
      <c r="J93" s="194">
        <f t="shared" si="8"/>
        <v>91.226331</v>
      </c>
      <c r="K93" s="139"/>
      <c r="L93" s="197"/>
      <c r="M93" s="198">
        <f t="shared" si="78"/>
        <v>1</v>
      </c>
      <c r="N93" s="198"/>
      <c r="O93" s="139"/>
      <c r="P93" s="139"/>
      <c r="Q93" s="176"/>
      <c r="R93" s="281">
        <v>29.5</v>
      </c>
      <c r="S93" s="176">
        <f t="shared" si="9"/>
        <v>1.89</v>
      </c>
      <c r="T93" s="160">
        <f t="shared" si="10"/>
        <v>1</v>
      </c>
      <c r="U93" s="160">
        <f t="shared" si="11"/>
        <v>1.89</v>
      </c>
      <c r="V93" s="282">
        <f t="shared" si="12"/>
        <v>91.226331</v>
      </c>
      <c r="W93" s="176">
        <f t="shared" ref="W93:X93" si="88">C93/100</f>
        <v>0.81</v>
      </c>
      <c r="X93" s="176">
        <f t="shared" si="88"/>
        <v>2.02</v>
      </c>
      <c r="Y93" s="176">
        <f t="shared" si="14"/>
        <v>1.89</v>
      </c>
      <c r="Z93" s="283">
        <f t="shared" si="15"/>
        <v>3.092418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customHeight="1">
      <c r="A94" s="160">
        <v>70.0</v>
      </c>
      <c r="B94" s="182" t="s">
        <v>207</v>
      </c>
      <c r="C94" s="191">
        <v>79.0</v>
      </c>
      <c r="D94" s="191">
        <v>202.0</v>
      </c>
      <c r="E94" s="191">
        <v>206.0</v>
      </c>
      <c r="F94" s="191">
        <f t="shared" si="5"/>
        <v>0.8</v>
      </c>
      <c r="G94" s="191">
        <f t="shared" si="6"/>
        <v>80.540026</v>
      </c>
      <c r="H94" s="192">
        <f t="shared" si="7"/>
        <v>64.4320208</v>
      </c>
      <c r="I94" s="191">
        <v>1.0</v>
      </c>
      <c r="J94" s="194">
        <f t="shared" si="8"/>
        <v>64.4320208</v>
      </c>
      <c r="K94" s="139"/>
      <c r="L94" s="197"/>
      <c r="M94" s="198">
        <f t="shared" si="78"/>
        <v>1</v>
      </c>
      <c r="N94" s="198"/>
      <c r="O94" s="139"/>
      <c r="P94" s="139"/>
      <c r="Q94" s="176"/>
      <c r="R94" s="141">
        <v>24.5</v>
      </c>
      <c r="S94" s="176">
        <f t="shared" si="9"/>
        <v>2.06</v>
      </c>
      <c r="T94" s="160">
        <f t="shared" si="10"/>
        <v>1</v>
      </c>
      <c r="U94" s="160">
        <f t="shared" si="11"/>
        <v>2.06</v>
      </c>
      <c r="V94" s="282">
        <f t="shared" si="12"/>
        <v>80.540026</v>
      </c>
      <c r="W94" s="176">
        <f t="shared" ref="W94:X94" si="89">C94/100</f>
        <v>0.79</v>
      </c>
      <c r="X94" s="176">
        <f t="shared" si="89"/>
        <v>2.02</v>
      </c>
      <c r="Y94" s="176">
        <f t="shared" si="14"/>
        <v>2.06</v>
      </c>
      <c r="Z94" s="283">
        <f t="shared" si="15"/>
        <v>3.287348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customHeight="1">
      <c r="A95" s="160">
        <v>71.0</v>
      </c>
      <c r="B95" s="191" t="s">
        <v>208</v>
      </c>
      <c r="C95" s="191">
        <v>85.0</v>
      </c>
      <c r="D95" s="191">
        <v>202.0</v>
      </c>
      <c r="E95" s="191">
        <v>61.0</v>
      </c>
      <c r="F95" s="191">
        <f t="shared" si="5"/>
        <v>0</v>
      </c>
      <c r="G95" s="191">
        <f t="shared" si="6"/>
        <v>25.660565</v>
      </c>
      <c r="H95" s="192">
        <f t="shared" si="7"/>
        <v>25.660565</v>
      </c>
      <c r="I95" s="191">
        <v>1.0</v>
      </c>
      <c r="J95" s="194">
        <f t="shared" si="8"/>
        <v>25.660565</v>
      </c>
      <c r="K95" s="139"/>
      <c r="L95" s="197"/>
      <c r="M95" s="198">
        <f t="shared" si="78"/>
        <v>1</v>
      </c>
      <c r="N95" s="198"/>
      <c r="O95" s="139"/>
      <c r="P95" s="139"/>
      <c r="Q95" s="176"/>
      <c r="R95" s="141">
        <v>24.5</v>
      </c>
      <c r="S95" s="176">
        <f t="shared" si="9"/>
        <v>0.61</v>
      </c>
      <c r="T95" s="160">
        <f t="shared" si="10"/>
        <v>1</v>
      </c>
      <c r="U95" s="160">
        <f t="shared" si="11"/>
        <v>0.61</v>
      </c>
      <c r="V95" s="282">
        <f t="shared" si="12"/>
        <v>25.660565</v>
      </c>
      <c r="W95" s="176">
        <f t="shared" ref="W95:X95" si="90">C95/100</f>
        <v>0.85</v>
      </c>
      <c r="X95" s="176">
        <f t="shared" si="90"/>
        <v>2.02</v>
      </c>
      <c r="Y95" s="176">
        <f t="shared" si="14"/>
        <v>0.61</v>
      </c>
      <c r="Z95" s="283">
        <f t="shared" si="15"/>
        <v>1.04737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customHeight="1">
      <c r="A96" s="160">
        <v>72.0</v>
      </c>
      <c r="B96" s="182" t="s">
        <v>203</v>
      </c>
      <c r="C96" s="191">
        <v>82.0</v>
      </c>
      <c r="D96" s="191">
        <v>204.0</v>
      </c>
      <c r="E96" s="191">
        <v>207.0</v>
      </c>
      <c r="F96" s="191">
        <f t="shared" si="5"/>
        <v>0.8</v>
      </c>
      <c r="G96" s="191">
        <f t="shared" si="6"/>
        <v>77.91066</v>
      </c>
      <c r="H96" s="192">
        <f t="shared" si="7"/>
        <v>62.328528</v>
      </c>
      <c r="I96" s="191">
        <v>1.0</v>
      </c>
      <c r="J96" s="194">
        <f t="shared" si="8"/>
        <v>62.328528</v>
      </c>
      <c r="K96" s="139"/>
      <c r="L96" s="197"/>
      <c r="M96" s="198">
        <f t="shared" si="78"/>
        <v>1</v>
      </c>
      <c r="N96" s="198"/>
      <c r="O96" s="139"/>
      <c r="P96" s="139"/>
      <c r="Q96" s="176"/>
      <c r="R96" s="141">
        <v>22.5</v>
      </c>
      <c r="S96" s="187">
        <f t="shared" si="9"/>
        <v>2.07</v>
      </c>
      <c r="T96" s="181">
        <f t="shared" si="10"/>
        <v>1</v>
      </c>
      <c r="U96" s="181">
        <f t="shared" si="11"/>
        <v>2.07</v>
      </c>
      <c r="V96" s="278">
        <f t="shared" si="12"/>
        <v>77.91066</v>
      </c>
      <c r="W96" s="187">
        <f t="shared" ref="W96:X96" si="91">C96/100</f>
        <v>0.82</v>
      </c>
      <c r="X96" s="187">
        <f t="shared" si="91"/>
        <v>2.04</v>
      </c>
      <c r="Y96" s="187">
        <f t="shared" si="14"/>
        <v>2.07</v>
      </c>
      <c r="Z96" s="189">
        <f t="shared" si="15"/>
        <v>3.462696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customHeight="1">
      <c r="A97" s="160">
        <v>73.0</v>
      </c>
      <c r="B97" s="191" t="s">
        <v>199</v>
      </c>
      <c r="C97" s="191">
        <v>80.0</v>
      </c>
      <c r="D97" s="191">
        <v>204.0</v>
      </c>
      <c r="E97" s="191">
        <v>154.0</v>
      </c>
      <c r="F97" s="191">
        <f t="shared" si="5"/>
        <v>0</v>
      </c>
      <c r="G97" s="191">
        <f t="shared" si="6"/>
        <v>56.5488</v>
      </c>
      <c r="H97" s="192">
        <f t="shared" si="7"/>
        <v>56.5488</v>
      </c>
      <c r="I97" s="191">
        <v>1.0</v>
      </c>
      <c r="J97" s="194">
        <f t="shared" si="8"/>
        <v>56.5488</v>
      </c>
      <c r="K97" s="139"/>
      <c r="L97" s="197"/>
      <c r="M97" s="198">
        <f t="shared" si="78"/>
        <v>1</v>
      </c>
      <c r="N97" s="198"/>
      <c r="O97" s="139"/>
      <c r="P97" s="139"/>
      <c r="Q97" s="176"/>
      <c r="R97" s="141">
        <v>22.5</v>
      </c>
      <c r="S97" s="187">
        <f t="shared" si="9"/>
        <v>1.54</v>
      </c>
      <c r="T97" s="181">
        <f t="shared" si="10"/>
        <v>1</v>
      </c>
      <c r="U97" s="181">
        <f t="shared" si="11"/>
        <v>1.54</v>
      </c>
      <c r="V97" s="278">
        <f t="shared" si="12"/>
        <v>56.5488</v>
      </c>
      <c r="W97" s="187">
        <f t="shared" ref="W97:X97" si="92">C97/100</f>
        <v>0.8</v>
      </c>
      <c r="X97" s="187">
        <f t="shared" si="92"/>
        <v>2.04</v>
      </c>
      <c r="Y97" s="187">
        <f t="shared" si="14"/>
        <v>1.54</v>
      </c>
      <c r="Z97" s="189">
        <f t="shared" si="15"/>
        <v>2.51328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customHeight="1">
      <c r="A98" s="160">
        <v>74.0</v>
      </c>
      <c r="B98" s="182" t="s">
        <v>203</v>
      </c>
      <c r="C98" s="191">
        <v>100.0</v>
      </c>
      <c r="D98" s="191">
        <v>204.0</v>
      </c>
      <c r="E98" s="191">
        <v>174.0</v>
      </c>
      <c r="F98" s="191">
        <f t="shared" si="5"/>
        <v>0.8</v>
      </c>
      <c r="G98" s="191">
        <f t="shared" si="6"/>
        <v>79.866</v>
      </c>
      <c r="H98" s="192">
        <f t="shared" si="7"/>
        <v>63.8928</v>
      </c>
      <c r="I98" s="191">
        <v>1.0</v>
      </c>
      <c r="J98" s="194">
        <f t="shared" si="8"/>
        <v>63.8928</v>
      </c>
      <c r="K98" s="139"/>
      <c r="L98" s="197"/>
      <c r="M98" s="198">
        <f t="shared" si="78"/>
        <v>1</v>
      </c>
      <c r="N98" s="198"/>
      <c r="O98" s="139"/>
      <c r="P98" s="139"/>
      <c r="Q98" s="176"/>
      <c r="R98" s="141">
        <v>22.5</v>
      </c>
      <c r="S98" s="187">
        <f t="shared" si="9"/>
        <v>1.74</v>
      </c>
      <c r="T98" s="181">
        <f t="shared" si="10"/>
        <v>1</v>
      </c>
      <c r="U98" s="181">
        <f t="shared" si="11"/>
        <v>1.74</v>
      </c>
      <c r="V98" s="278">
        <f t="shared" si="12"/>
        <v>79.866</v>
      </c>
      <c r="W98" s="187">
        <f t="shared" ref="W98:X98" si="93">C98/100</f>
        <v>1</v>
      </c>
      <c r="X98" s="187">
        <f t="shared" si="93"/>
        <v>2.04</v>
      </c>
      <c r="Y98" s="187">
        <f t="shared" si="14"/>
        <v>1.74</v>
      </c>
      <c r="Z98" s="189">
        <f t="shared" si="15"/>
        <v>3.5496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customHeight="1">
      <c r="A99" s="160"/>
      <c r="B99" s="176"/>
      <c r="C99" s="176"/>
      <c r="D99" s="176"/>
      <c r="E99" s="176"/>
      <c r="F99" s="176"/>
      <c r="G99" s="176"/>
      <c r="H99" s="179"/>
      <c r="I99" s="160"/>
      <c r="J99" s="203">
        <f>+Q145</f>
        <v>296</v>
      </c>
      <c r="K99" s="139"/>
      <c r="L99" s="139"/>
      <c r="M99" s="139"/>
      <c r="N99" s="139"/>
      <c r="O99" s="139"/>
      <c r="P99" s="139"/>
      <c r="Q99" s="139"/>
      <c r="R99" s="204"/>
      <c r="S99" s="187">
        <f t="shared" si="9"/>
        <v>0</v>
      </c>
      <c r="T99" s="181" t="str">
        <f t="shared" si="10"/>
        <v/>
      </c>
      <c r="U99" s="181">
        <f t="shared" si="11"/>
        <v>0</v>
      </c>
      <c r="V99" s="186"/>
      <c r="W99" s="187">
        <f t="shared" ref="W99:X99" si="94">C99/100</f>
        <v>0</v>
      </c>
      <c r="X99" s="187">
        <f t="shared" si="94"/>
        <v>0</v>
      </c>
      <c r="Y99" s="187">
        <f t="shared" si="14"/>
        <v>0</v>
      </c>
      <c r="Z99" s="18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customHeight="1">
      <c r="A100" s="160"/>
      <c r="B100" s="205"/>
      <c r="C100" s="205"/>
      <c r="D100" s="205"/>
      <c r="E100" s="205"/>
      <c r="F100" s="205"/>
      <c r="G100" s="205"/>
      <c r="H100" s="206"/>
      <c r="I100" s="207">
        <f>SUM(I25:I98)</f>
        <v>223</v>
      </c>
      <c r="J100" s="208">
        <f>SUM(J25:J99)</f>
        <v>27468.27035</v>
      </c>
      <c r="K100" s="209"/>
      <c r="L100" s="209"/>
      <c r="M100" s="209"/>
      <c r="N100" s="209"/>
      <c r="O100" s="209"/>
      <c r="P100" s="209"/>
      <c r="Q100" s="209"/>
      <c r="R100" s="141"/>
      <c r="S100" s="209">
        <f>SUMIFS($T$25:$T$98,$S$25:$S$98,"&gt;=3")</f>
        <v>0</v>
      </c>
      <c r="T100" s="209">
        <f t="shared" ref="T100:U100" si="95">SUM(T25:T98)</f>
        <v>223</v>
      </c>
      <c r="U100" s="209">
        <f t="shared" si="95"/>
        <v>492.7</v>
      </c>
      <c r="V100" s="209"/>
      <c r="W100" s="209"/>
      <c r="X100" s="209"/>
      <c r="Y100" s="209"/>
      <c r="Z100" s="210">
        <f>SUM(Z25:Z99)</f>
        <v>936.06885</v>
      </c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</row>
    <row r="101" ht="29.25" customHeight="1">
      <c r="A101" s="139"/>
      <c r="B101" s="139"/>
      <c r="C101" s="139"/>
      <c r="D101" s="139"/>
      <c r="E101" s="139"/>
      <c r="F101" s="139"/>
      <c r="G101" s="139"/>
      <c r="H101" s="140"/>
      <c r="I101" s="139"/>
      <c r="J101" s="139"/>
      <c r="K101" s="139"/>
      <c r="L101" s="139"/>
      <c r="M101" s="139"/>
      <c r="N101" s="139"/>
      <c r="O101" s="139"/>
      <c r="P101" s="139"/>
      <c r="Q101" s="139"/>
      <c r="R101" s="141"/>
      <c r="S101" s="186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9.25" customHeight="1">
      <c r="A102" s="139"/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204"/>
      <c r="S102" s="139"/>
      <c r="T102" s="139" t="s">
        <v>48</v>
      </c>
      <c r="U102" s="139" t="s">
        <v>72</v>
      </c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9.2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139" t="s">
        <v>31</v>
      </c>
      <c r="T103" s="211">
        <f>SUMIFS($J$25:$J$98,$S$25:$S$98,"&gt;=3")</f>
        <v>0</v>
      </c>
      <c r="U103" s="212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9.25" customHeight="1">
      <c r="A104" s="139" t="s">
        <v>32</v>
      </c>
      <c r="B104" s="139"/>
      <c r="C104" s="139"/>
      <c r="D104" s="139" t="s">
        <v>33</v>
      </c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141"/>
      <c r="S104" s="139" t="s">
        <v>34</v>
      </c>
      <c r="T104" s="213">
        <f>J100-T103</f>
        <v>27468.27035</v>
      </c>
      <c r="U104" s="212">
        <f>+SUMIFS($U$25:$U$98,$S$25:$S$98,"&gt;=3")</f>
        <v>0</v>
      </c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9.2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39"/>
      <c r="R105" s="204"/>
      <c r="S105" s="139"/>
      <c r="T105" s="214">
        <f>+I100</f>
        <v>223</v>
      </c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39.0" customHeight="1">
      <c r="A106" s="176"/>
      <c r="B106" s="160" t="s">
        <v>12</v>
      </c>
      <c r="C106" s="177" t="s">
        <v>73</v>
      </c>
      <c r="D106" s="52"/>
      <c r="E106" s="53"/>
      <c r="F106" s="178"/>
      <c r="G106" s="178"/>
      <c r="H106" s="179" t="s">
        <v>14</v>
      </c>
      <c r="I106" s="160" t="s">
        <v>15</v>
      </c>
      <c r="J106" s="160" t="s">
        <v>16</v>
      </c>
      <c r="K106" s="139"/>
      <c r="L106" s="139"/>
      <c r="M106" s="139"/>
      <c r="N106" s="139"/>
      <c r="O106" s="139"/>
      <c r="P106" s="139"/>
      <c r="Q106" s="139"/>
      <c r="R106" s="141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customHeight="1">
      <c r="A107" s="154">
        <v>1.0</v>
      </c>
      <c r="B107" s="215" t="s">
        <v>87</v>
      </c>
      <c r="C107" s="215">
        <v>62.0</v>
      </c>
      <c r="D107" s="215">
        <v>204.0</v>
      </c>
      <c r="E107" s="215">
        <v>275.0</v>
      </c>
      <c r="F107" s="215">
        <f t="shared" ref="F107:F116" si="96">1-VALUE(IF(RIGHT(B107, 1)="%", RIGHT(B107, 3), 0))</f>
        <v>0.2</v>
      </c>
      <c r="G107" s="215">
        <f t="shared" ref="G107:G116" si="97">+Q107*C107/100*D107/100*E107/100</f>
        <v>0</v>
      </c>
      <c r="H107" s="216">
        <f t="shared" ref="H107:H116" si="98">IF(F107=0, G107, F107*G107)</f>
        <v>0</v>
      </c>
      <c r="I107" s="215">
        <v>1.0</v>
      </c>
      <c r="J107" s="217"/>
      <c r="K107" s="139"/>
      <c r="L107" s="176">
        <f t="shared" ref="L107:L115" si="99">D107*25.4/1000</f>
        <v>5.1816</v>
      </c>
      <c r="M107" s="160">
        <f t="shared" ref="M107:M111" si="100">+I107</f>
        <v>1</v>
      </c>
      <c r="N107" s="160">
        <f t="shared" ref="N107:N111" si="101">M107*L107</f>
        <v>5.1816</v>
      </c>
      <c r="O107" s="139"/>
      <c r="P107" s="139"/>
      <c r="Q107" s="139"/>
      <c r="R107" s="141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customHeight="1">
      <c r="A108" s="154">
        <v>2.0</v>
      </c>
      <c r="B108" s="215" t="s">
        <v>64</v>
      </c>
      <c r="C108" s="215">
        <v>90.0</v>
      </c>
      <c r="D108" s="215">
        <v>218.0</v>
      </c>
      <c r="E108" s="215">
        <v>230.0</v>
      </c>
      <c r="F108" s="215">
        <f t="shared" si="96"/>
        <v>0.2</v>
      </c>
      <c r="G108" s="215">
        <f t="shared" si="97"/>
        <v>0</v>
      </c>
      <c r="H108" s="216">
        <f t="shared" si="98"/>
        <v>0</v>
      </c>
      <c r="I108" s="215">
        <v>1.0</v>
      </c>
      <c r="J108" s="217">
        <f t="shared" ref="J108:J116" si="102">+I108*H108</f>
        <v>0</v>
      </c>
      <c r="K108" s="139"/>
      <c r="L108" s="176">
        <f t="shared" si="99"/>
        <v>5.5372</v>
      </c>
      <c r="M108" s="160">
        <f t="shared" si="100"/>
        <v>1</v>
      </c>
      <c r="N108" s="160">
        <f t="shared" si="101"/>
        <v>5.5372</v>
      </c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customHeight="1">
      <c r="A109" s="154">
        <v>3.0</v>
      </c>
      <c r="B109" s="218" t="s">
        <v>65</v>
      </c>
      <c r="C109" s="218">
        <v>88.0</v>
      </c>
      <c r="D109" s="218">
        <v>215.0</v>
      </c>
      <c r="E109" s="218">
        <v>215.0</v>
      </c>
      <c r="F109" s="218">
        <f t="shared" si="96"/>
        <v>0.2</v>
      </c>
      <c r="G109" s="218">
        <f t="shared" si="97"/>
        <v>0</v>
      </c>
      <c r="H109" s="219">
        <f t="shared" si="98"/>
        <v>0</v>
      </c>
      <c r="I109" s="215">
        <v>1.0</v>
      </c>
      <c r="J109" s="194">
        <f t="shared" si="102"/>
        <v>0</v>
      </c>
      <c r="K109" s="139"/>
      <c r="L109" s="176">
        <f t="shared" si="99"/>
        <v>5.461</v>
      </c>
      <c r="M109" s="160">
        <f t="shared" si="100"/>
        <v>1</v>
      </c>
      <c r="N109" s="160">
        <f t="shared" si="101"/>
        <v>5.461</v>
      </c>
      <c r="O109" s="139"/>
      <c r="P109" s="139"/>
      <c r="Q109" s="139"/>
      <c r="R109" s="139"/>
      <c r="S109" s="220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customHeight="1">
      <c r="A110" s="154">
        <v>4.0</v>
      </c>
      <c r="B110" s="218" t="s">
        <v>65</v>
      </c>
      <c r="C110" s="218">
        <v>89.0</v>
      </c>
      <c r="D110" s="218">
        <v>194.0</v>
      </c>
      <c r="E110" s="218">
        <v>160.0</v>
      </c>
      <c r="F110" s="218">
        <f t="shared" si="96"/>
        <v>0.2</v>
      </c>
      <c r="G110" s="218">
        <f t="shared" si="97"/>
        <v>0</v>
      </c>
      <c r="H110" s="219">
        <f t="shared" si="98"/>
        <v>0</v>
      </c>
      <c r="I110" s="215">
        <v>1.0</v>
      </c>
      <c r="J110" s="194">
        <f t="shared" si="102"/>
        <v>0</v>
      </c>
      <c r="K110" s="139"/>
      <c r="L110" s="176">
        <f t="shared" si="99"/>
        <v>4.9276</v>
      </c>
      <c r="M110" s="160">
        <f t="shared" si="100"/>
        <v>1</v>
      </c>
      <c r="N110" s="160">
        <f t="shared" si="101"/>
        <v>4.9276</v>
      </c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customHeight="1">
      <c r="A111" s="154">
        <v>5.0</v>
      </c>
      <c r="B111" s="218" t="s">
        <v>65</v>
      </c>
      <c r="C111" s="218">
        <v>85.0</v>
      </c>
      <c r="D111" s="218">
        <v>194.0</v>
      </c>
      <c r="E111" s="218">
        <v>257.0</v>
      </c>
      <c r="F111" s="218">
        <f t="shared" si="96"/>
        <v>0.2</v>
      </c>
      <c r="G111" s="218">
        <f t="shared" si="97"/>
        <v>0</v>
      </c>
      <c r="H111" s="219">
        <f t="shared" si="98"/>
        <v>0</v>
      </c>
      <c r="I111" s="215">
        <v>1.0</v>
      </c>
      <c r="J111" s="194">
        <f t="shared" si="102"/>
        <v>0</v>
      </c>
      <c r="K111" s="139"/>
      <c r="L111" s="176">
        <f t="shared" si="99"/>
        <v>4.9276</v>
      </c>
      <c r="M111" s="160">
        <f t="shared" si="100"/>
        <v>1</v>
      </c>
      <c r="N111" s="160">
        <f t="shared" si="101"/>
        <v>4.9276</v>
      </c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customHeight="1">
      <c r="A112" s="154">
        <v>6.0</v>
      </c>
      <c r="B112" s="218" t="s">
        <v>64</v>
      </c>
      <c r="C112" s="218">
        <v>90.0</v>
      </c>
      <c r="D112" s="218">
        <v>163.0</v>
      </c>
      <c r="E112" s="218">
        <v>240.0</v>
      </c>
      <c r="F112" s="218">
        <f t="shared" si="96"/>
        <v>0.2</v>
      </c>
      <c r="G112" s="218">
        <f t="shared" si="97"/>
        <v>0</v>
      </c>
      <c r="H112" s="219">
        <f t="shared" si="98"/>
        <v>0</v>
      </c>
      <c r="I112" s="215">
        <v>1.0</v>
      </c>
      <c r="J112" s="194">
        <f t="shared" si="102"/>
        <v>0</v>
      </c>
      <c r="K112" s="139"/>
      <c r="L112" s="139">
        <f t="shared" si="99"/>
        <v>4.1402</v>
      </c>
      <c r="M112" s="221"/>
      <c r="N112" s="221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customHeight="1">
      <c r="A113" s="154">
        <v>7.0</v>
      </c>
      <c r="B113" s="218" t="s">
        <v>64</v>
      </c>
      <c r="C113" s="218">
        <v>92.0</v>
      </c>
      <c r="D113" s="218">
        <v>202.0</v>
      </c>
      <c r="E113" s="218">
        <v>232.0</v>
      </c>
      <c r="F113" s="218">
        <f t="shared" si="96"/>
        <v>0.2</v>
      </c>
      <c r="G113" s="218">
        <f t="shared" si="97"/>
        <v>0</v>
      </c>
      <c r="H113" s="219">
        <f t="shared" si="98"/>
        <v>0</v>
      </c>
      <c r="I113" s="215">
        <v>1.0</v>
      </c>
      <c r="J113" s="194">
        <f t="shared" si="102"/>
        <v>0</v>
      </c>
      <c r="K113" s="139"/>
      <c r="L113" s="139">
        <f t="shared" si="99"/>
        <v>5.1308</v>
      </c>
      <c r="M113" s="221"/>
      <c r="N113" s="221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customHeight="1">
      <c r="A114" s="154">
        <v>8.0</v>
      </c>
      <c r="B114" s="218" t="s">
        <v>207</v>
      </c>
      <c r="C114" s="218">
        <v>79.0</v>
      </c>
      <c r="D114" s="218">
        <v>202.0</v>
      </c>
      <c r="E114" s="218">
        <v>206.0</v>
      </c>
      <c r="F114" s="218">
        <f t="shared" si="96"/>
        <v>0.2</v>
      </c>
      <c r="G114" s="218">
        <f t="shared" si="97"/>
        <v>0</v>
      </c>
      <c r="H114" s="219">
        <f t="shared" si="98"/>
        <v>0</v>
      </c>
      <c r="I114" s="215">
        <v>1.0</v>
      </c>
      <c r="J114" s="194">
        <f t="shared" si="102"/>
        <v>0</v>
      </c>
      <c r="K114" s="139"/>
      <c r="L114" s="139">
        <f t="shared" si="99"/>
        <v>5.1308</v>
      </c>
      <c r="M114" s="221"/>
      <c r="N114" s="221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customHeight="1">
      <c r="A115" s="154">
        <v>9.0</v>
      </c>
      <c r="B115" s="218" t="s">
        <v>203</v>
      </c>
      <c r="C115" s="218">
        <v>82.0</v>
      </c>
      <c r="D115" s="218">
        <v>204.0</v>
      </c>
      <c r="E115" s="218">
        <v>207.0</v>
      </c>
      <c r="F115" s="218">
        <f t="shared" si="96"/>
        <v>0.2</v>
      </c>
      <c r="G115" s="218">
        <f t="shared" si="97"/>
        <v>0</v>
      </c>
      <c r="H115" s="219">
        <f t="shared" si="98"/>
        <v>0</v>
      </c>
      <c r="I115" s="215">
        <v>1.0</v>
      </c>
      <c r="J115" s="194">
        <f t="shared" si="102"/>
        <v>0</v>
      </c>
      <c r="K115" s="139"/>
      <c r="L115" s="139">
        <f t="shared" si="99"/>
        <v>5.1816</v>
      </c>
      <c r="M115" s="221"/>
      <c r="N115" s="221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customHeight="1">
      <c r="A116" s="154">
        <v>10.0</v>
      </c>
      <c r="B116" s="191" t="s">
        <v>203</v>
      </c>
      <c r="C116" s="191">
        <v>100.0</v>
      </c>
      <c r="D116" s="191">
        <v>204.0</v>
      </c>
      <c r="E116" s="191">
        <v>174.0</v>
      </c>
      <c r="F116" s="191">
        <f t="shared" si="96"/>
        <v>0.2</v>
      </c>
      <c r="G116" s="191">
        <f t="shared" si="97"/>
        <v>0</v>
      </c>
      <c r="H116" s="192">
        <f t="shared" si="98"/>
        <v>0</v>
      </c>
      <c r="I116" s="215">
        <v>1.0</v>
      </c>
      <c r="J116" s="194">
        <f t="shared" si="102"/>
        <v>0</v>
      </c>
      <c r="K116" s="139"/>
      <c r="L116" s="139"/>
      <c r="M116" s="221"/>
      <c r="N116" s="221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4.75" customHeight="1">
      <c r="A117" s="160"/>
      <c r="B117" s="197"/>
      <c r="C117" s="197"/>
      <c r="D117" s="197"/>
      <c r="E117" s="197"/>
      <c r="F117" s="197"/>
      <c r="G117" s="197"/>
      <c r="H117" s="269" t="s">
        <v>38</v>
      </c>
      <c r="I117" s="197"/>
      <c r="J117" s="226">
        <f>SUM(J107:J116)</f>
        <v>0</v>
      </c>
      <c r="K117" s="139"/>
      <c r="L117" s="139"/>
      <c r="M117" s="139"/>
      <c r="N117" s="139"/>
      <c r="O117" s="139"/>
      <c r="P117" s="139"/>
      <c r="Q117" s="139"/>
      <c r="R117" s="141"/>
      <c r="S117" s="227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18.75" customHeight="1">
      <c r="A118" s="174"/>
      <c r="B118" s="144"/>
      <c r="C118" s="144"/>
      <c r="D118" s="144"/>
      <c r="E118" s="144"/>
      <c r="F118" s="144"/>
      <c r="G118" s="144"/>
      <c r="H118" s="145"/>
      <c r="I118" s="144"/>
      <c r="J118" s="175"/>
      <c r="K118" s="139"/>
      <c r="L118" s="139"/>
      <c r="M118" s="139"/>
      <c r="N118" s="139"/>
      <c r="O118" s="139"/>
      <c r="P118" s="139"/>
      <c r="Q118" s="139"/>
      <c r="R118" s="141"/>
      <c r="S118" s="227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18.75" customHeight="1">
      <c r="A119" s="139"/>
      <c r="B119" s="139"/>
      <c r="C119" s="139"/>
      <c r="D119" s="139"/>
      <c r="E119" s="139"/>
      <c r="F119" s="139"/>
      <c r="G119" s="139"/>
      <c r="H119" s="140"/>
      <c r="I119" s="139"/>
      <c r="J119" s="139"/>
      <c r="K119" s="139"/>
      <c r="L119" s="139"/>
      <c r="M119" s="139"/>
      <c r="N119" s="139"/>
      <c r="O119" s="139"/>
      <c r="P119" s="139"/>
      <c r="Q119" s="139"/>
      <c r="R119" s="141"/>
      <c r="S119" s="227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18.75" customHeight="1">
      <c r="A120" s="139"/>
      <c r="B120" s="139"/>
      <c r="C120" s="139"/>
      <c r="D120" s="139"/>
      <c r="E120" s="139"/>
      <c r="F120" s="139"/>
      <c r="G120" s="139"/>
      <c r="H120" s="140"/>
      <c r="I120" s="139"/>
      <c r="J120" s="139"/>
      <c r="K120" s="139"/>
      <c r="L120" s="139"/>
      <c r="M120" s="139"/>
      <c r="N120" s="139"/>
      <c r="O120" s="139"/>
      <c r="P120" s="139"/>
      <c r="Q120" s="139"/>
      <c r="R120" s="227"/>
      <c r="S120" s="227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18.75" customHeight="1">
      <c r="A121" s="139" t="s">
        <v>39</v>
      </c>
      <c r="B121" s="139"/>
      <c r="C121" s="139"/>
      <c r="D121" s="139"/>
      <c r="E121" s="139"/>
      <c r="F121" s="139"/>
      <c r="G121" s="139"/>
      <c r="H121" s="140"/>
      <c r="I121" s="139"/>
      <c r="J121" s="139"/>
      <c r="K121" s="139"/>
      <c r="L121" s="139"/>
      <c r="M121" s="139"/>
      <c r="N121" s="139"/>
      <c r="O121" s="139"/>
      <c r="P121" s="139"/>
      <c r="Q121" s="139"/>
      <c r="R121" s="227"/>
      <c r="S121" s="227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18.75" customHeight="1">
      <c r="A122" s="139"/>
      <c r="B122" s="139"/>
      <c r="C122" s="139"/>
      <c r="D122" s="139"/>
      <c r="E122" s="139"/>
      <c r="F122" s="139"/>
      <c r="G122" s="139"/>
      <c r="H122" s="140"/>
      <c r="I122" s="139"/>
      <c r="J122" s="139"/>
      <c r="K122" s="139"/>
      <c r="L122" s="139"/>
      <c r="M122" s="139"/>
      <c r="N122" s="139"/>
      <c r="O122" s="139"/>
      <c r="P122" s="139"/>
      <c r="Q122" s="139"/>
      <c r="R122" s="227"/>
      <c r="S122" s="227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42.0" customHeight="1">
      <c r="A123" s="176"/>
      <c r="B123" s="160" t="s">
        <v>12</v>
      </c>
      <c r="C123" s="177" t="s">
        <v>74</v>
      </c>
      <c r="D123" s="52"/>
      <c r="E123" s="53"/>
      <c r="F123" s="228"/>
      <c r="G123" s="228"/>
      <c r="H123" s="179" t="s">
        <v>14</v>
      </c>
      <c r="I123" s="224" t="s">
        <v>15</v>
      </c>
      <c r="J123" s="160" t="s">
        <v>16</v>
      </c>
      <c r="K123" s="139"/>
      <c r="L123" s="139"/>
      <c r="M123" s="139"/>
      <c r="N123" s="139"/>
      <c r="O123" s="139"/>
      <c r="P123" s="139"/>
      <c r="Q123" s="139"/>
      <c r="R123" s="227"/>
      <c r="S123" s="227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4.75" customHeight="1">
      <c r="A124" s="160">
        <v>1.0</v>
      </c>
      <c r="B124" s="182" t="s">
        <v>82</v>
      </c>
      <c r="C124" s="181"/>
      <c r="D124" s="181"/>
      <c r="E124" s="181"/>
      <c r="F124" s="181"/>
      <c r="G124" s="181"/>
      <c r="H124" s="232">
        <v>28.0</v>
      </c>
      <c r="I124" s="181">
        <v>1.0</v>
      </c>
      <c r="J124" s="194">
        <f t="shared" ref="J124:J143" si="103">+I124*H124</f>
        <v>28</v>
      </c>
      <c r="K124" s="176"/>
      <c r="L124" s="176"/>
      <c r="M124" s="176"/>
      <c r="N124" s="176"/>
      <c r="O124" s="176"/>
      <c r="P124" s="176"/>
      <c r="Q124" s="284"/>
      <c r="R124" s="227"/>
      <c r="S124" s="227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76"/>
      <c r="AJ124" s="176"/>
      <c r="AK124" s="176"/>
    </row>
    <row r="125" ht="24.75" customHeight="1">
      <c r="A125" s="160">
        <v>2.0</v>
      </c>
      <c r="B125" s="191" t="s">
        <v>82</v>
      </c>
      <c r="C125" s="181"/>
      <c r="D125" s="181"/>
      <c r="E125" s="181"/>
      <c r="F125" s="181"/>
      <c r="G125" s="181"/>
      <c r="H125" s="232">
        <v>16.0</v>
      </c>
      <c r="I125" s="181">
        <v>1.0</v>
      </c>
      <c r="J125" s="194">
        <f t="shared" si="103"/>
        <v>16</v>
      </c>
      <c r="K125" s="176"/>
      <c r="L125" s="176"/>
      <c r="M125" s="176"/>
      <c r="N125" s="176"/>
      <c r="O125" s="176"/>
      <c r="P125" s="176"/>
      <c r="Q125" s="284"/>
      <c r="R125" s="227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76"/>
      <c r="AJ125" s="176"/>
      <c r="AK125" s="176"/>
    </row>
    <row r="126" ht="24.75" customHeight="1">
      <c r="A126" s="160">
        <v>3.0</v>
      </c>
      <c r="B126" s="182" t="s">
        <v>55</v>
      </c>
      <c r="C126" s="181"/>
      <c r="D126" s="181"/>
      <c r="E126" s="181"/>
      <c r="F126" s="181"/>
      <c r="G126" s="181"/>
      <c r="H126" s="232">
        <v>50.0</v>
      </c>
      <c r="I126" s="181">
        <v>1.0</v>
      </c>
      <c r="J126" s="194">
        <f t="shared" si="103"/>
        <v>50</v>
      </c>
      <c r="K126" s="176"/>
      <c r="L126" s="176"/>
      <c r="M126" s="176"/>
      <c r="N126" s="176"/>
      <c r="O126" s="176"/>
      <c r="P126" s="176"/>
      <c r="Q126" s="284"/>
      <c r="R126" s="227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76"/>
      <c r="AJ126" s="176"/>
      <c r="AK126" s="176"/>
    </row>
    <row r="127" ht="24.75" customHeight="1">
      <c r="A127" s="160">
        <v>4.0</v>
      </c>
      <c r="B127" s="191" t="s">
        <v>55</v>
      </c>
      <c r="C127" s="181"/>
      <c r="D127" s="181"/>
      <c r="E127" s="181"/>
      <c r="F127" s="181"/>
      <c r="G127" s="181"/>
      <c r="H127" s="232">
        <v>18.0</v>
      </c>
      <c r="I127" s="181">
        <v>1.0</v>
      </c>
      <c r="J127" s="194">
        <f t="shared" si="103"/>
        <v>18</v>
      </c>
      <c r="K127" s="176"/>
      <c r="L127" s="176"/>
      <c r="M127" s="176"/>
      <c r="N127" s="176"/>
      <c r="O127" s="176"/>
      <c r="P127" s="176"/>
      <c r="Q127" s="284"/>
      <c r="R127" s="227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76"/>
      <c r="AJ127" s="176"/>
      <c r="AK127" s="176"/>
    </row>
    <row r="128" ht="24.75" customHeight="1">
      <c r="A128" s="160">
        <v>5.0</v>
      </c>
      <c r="B128" s="182" t="s">
        <v>56</v>
      </c>
      <c r="C128" s="181"/>
      <c r="D128" s="181"/>
      <c r="E128" s="181"/>
      <c r="F128" s="181"/>
      <c r="G128" s="181"/>
      <c r="H128" s="232">
        <v>59.0</v>
      </c>
      <c r="I128" s="181">
        <v>1.0</v>
      </c>
      <c r="J128" s="194">
        <f t="shared" si="103"/>
        <v>59</v>
      </c>
      <c r="K128" s="176"/>
      <c r="L128" s="176"/>
      <c r="M128" s="176"/>
      <c r="N128" s="176"/>
      <c r="O128" s="176"/>
      <c r="P128" s="176"/>
      <c r="Q128" s="284"/>
      <c r="R128" s="227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76"/>
      <c r="AJ128" s="176"/>
      <c r="AK128" s="176"/>
    </row>
    <row r="129" ht="24.75" customHeight="1">
      <c r="A129" s="160">
        <v>6.0</v>
      </c>
      <c r="B129" s="191" t="s">
        <v>56</v>
      </c>
      <c r="C129" s="181"/>
      <c r="D129" s="181"/>
      <c r="E129" s="181"/>
      <c r="F129" s="181"/>
      <c r="G129" s="181"/>
      <c r="H129" s="232">
        <v>33.0</v>
      </c>
      <c r="I129" s="181">
        <v>1.0</v>
      </c>
      <c r="J129" s="194">
        <f t="shared" si="103"/>
        <v>33</v>
      </c>
      <c r="K129" s="176"/>
      <c r="L129" s="176"/>
      <c r="M129" s="176"/>
      <c r="N129" s="176"/>
      <c r="O129" s="176"/>
      <c r="P129" s="176"/>
      <c r="Q129" s="284"/>
      <c r="R129" s="227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76"/>
      <c r="AJ129" s="176"/>
      <c r="AK129" s="176"/>
    </row>
    <row r="130" ht="24.75" customHeight="1">
      <c r="A130" s="160">
        <v>7.0</v>
      </c>
      <c r="B130" s="182" t="s">
        <v>56</v>
      </c>
      <c r="C130" s="181"/>
      <c r="D130" s="181"/>
      <c r="E130" s="181"/>
      <c r="F130" s="181"/>
      <c r="G130" s="181"/>
      <c r="H130" s="232">
        <v>49.0</v>
      </c>
      <c r="I130" s="181">
        <v>1.0</v>
      </c>
      <c r="J130" s="194">
        <f t="shared" si="103"/>
        <v>49</v>
      </c>
      <c r="K130" s="176"/>
      <c r="L130" s="176"/>
      <c r="M130" s="176"/>
      <c r="N130" s="176"/>
      <c r="O130" s="176"/>
      <c r="P130" s="176"/>
      <c r="Q130" s="284"/>
      <c r="R130" s="227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76"/>
      <c r="AJ130" s="176"/>
      <c r="AK130" s="176"/>
    </row>
    <row r="131" ht="24.75" customHeight="1">
      <c r="A131" s="160">
        <v>8.0</v>
      </c>
      <c r="B131" s="191" t="s">
        <v>56</v>
      </c>
      <c r="C131" s="181"/>
      <c r="D131" s="181"/>
      <c r="E131" s="181"/>
      <c r="F131" s="181"/>
      <c r="G131" s="181"/>
      <c r="H131" s="232">
        <v>20.0</v>
      </c>
      <c r="I131" s="181">
        <v>1.0</v>
      </c>
      <c r="J131" s="194">
        <f t="shared" si="103"/>
        <v>20</v>
      </c>
      <c r="K131" s="176"/>
      <c r="L131" s="176"/>
      <c r="M131" s="176"/>
      <c r="N131" s="176"/>
      <c r="O131" s="176"/>
      <c r="P131" s="176"/>
      <c r="Q131" s="284"/>
      <c r="R131" s="227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76"/>
      <c r="AJ131" s="176"/>
      <c r="AK131" s="176"/>
    </row>
    <row r="132" ht="24.75" customHeight="1">
      <c r="A132" s="160">
        <v>9.0</v>
      </c>
      <c r="B132" s="182" t="s">
        <v>56</v>
      </c>
      <c r="C132" s="181"/>
      <c r="D132" s="181"/>
      <c r="E132" s="181"/>
      <c r="F132" s="181"/>
      <c r="G132" s="181"/>
      <c r="H132" s="232">
        <v>49.0</v>
      </c>
      <c r="I132" s="181">
        <v>1.0</v>
      </c>
      <c r="J132" s="194">
        <f t="shared" si="103"/>
        <v>49</v>
      </c>
      <c r="K132" s="176"/>
      <c r="L132" s="176"/>
      <c r="M132" s="176"/>
      <c r="N132" s="176"/>
      <c r="O132" s="176"/>
      <c r="P132" s="176"/>
      <c r="Q132" s="284"/>
      <c r="R132" s="227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76"/>
      <c r="AJ132" s="176"/>
      <c r="AK132" s="176"/>
    </row>
    <row r="133" ht="24.75" customHeight="1">
      <c r="A133" s="160">
        <v>10.0</v>
      </c>
      <c r="B133" s="191" t="s">
        <v>56</v>
      </c>
      <c r="C133" s="181"/>
      <c r="D133" s="181"/>
      <c r="E133" s="181"/>
      <c r="F133" s="181"/>
      <c r="G133" s="181"/>
      <c r="H133" s="232">
        <v>23.0</v>
      </c>
      <c r="I133" s="181">
        <v>1.0</v>
      </c>
      <c r="J133" s="194">
        <f t="shared" si="103"/>
        <v>23</v>
      </c>
      <c r="K133" s="176"/>
      <c r="L133" s="176"/>
      <c r="M133" s="176"/>
      <c r="N133" s="176"/>
      <c r="O133" s="176"/>
      <c r="P133" s="176"/>
      <c r="Q133" s="284"/>
      <c r="R133" s="227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76"/>
      <c r="AJ133" s="176"/>
      <c r="AK133" s="176"/>
    </row>
    <row r="134" ht="24.75" customHeight="1">
      <c r="A134" s="160">
        <v>11.0</v>
      </c>
      <c r="B134" s="182" t="s">
        <v>55</v>
      </c>
      <c r="C134" s="181"/>
      <c r="D134" s="181"/>
      <c r="E134" s="181"/>
      <c r="F134" s="181"/>
      <c r="G134" s="181"/>
      <c r="H134" s="232">
        <v>60.0</v>
      </c>
      <c r="I134" s="181">
        <v>1.0</v>
      </c>
      <c r="J134" s="194">
        <f t="shared" si="103"/>
        <v>60</v>
      </c>
      <c r="K134" s="176"/>
      <c r="L134" s="176"/>
      <c r="M134" s="176"/>
      <c r="N134" s="176"/>
      <c r="O134" s="176"/>
      <c r="P134" s="176"/>
      <c r="Q134" s="284"/>
      <c r="R134" s="227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76"/>
      <c r="AJ134" s="176"/>
      <c r="AK134" s="176"/>
    </row>
    <row r="135" ht="24.75" customHeight="1">
      <c r="A135" s="160">
        <v>12.0</v>
      </c>
      <c r="B135" s="191" t="s">
        <v>55</v>
      </c>
      <c r="C135" s="181"/>
      <c r="D135" s="181"/>
      <c r="E135" s="181"/>
      <c r="F135" s="181"/>
      <c r="G135" s="181"/>
      <c r="H135" s="232">
        <v>27.0</v>
      </c>
      <c r="I135" s="181">
        <v>1.0</v>
      </c>
      <c r="J135" s="194">
        <f t="shared" si="103"/>
        <v>27</v>
      </c>
      <c r="K135" s="176"/>
      <c r="L135" s="176"/>
      <c r="M135" s="176"/>
      <c r="N135" s="176"/>
      <c r="O135" s="176"/>
      <c r="P135" s="176"/>
      <c r="Q135" s="284"/>
      <c r="R135" s="227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76"/>
      <c r="AJ135" s="176"/>
      <c r="AK135" s="176"/>
    </row>
    <row r="136" ht="24.75" customHeight="1">
      <c r="A136" s="160">
        <v>13.0</v>
      </c>
      <c r="B136" s="182" t="s">
        <v>55</v>
      </c>
      <c r="C136" s="181"/>
      <c r="D136" s="181"/>
      <c r="E136" s="181"/>
      <c r="F136" s="181"/>
      <c r="G136" s="181"/>
      <c r="H136" s="232">
        <v>52.0</v>
      </c>
      <c r="I136" s="181">
        <v>1.0</v>
      </c>
      <c r="J136" s="194">
        <f t="shared" si="103"/>
        <v>52</v>
      </c>
      <c r="K136" s="176"/>
      <c r="L136" s="176"/>
      <c r="M136" s="176"/>
      <c r="N136" s="176"/>
      <c r="O136" s="176"/>
      <c r="P136" s="176"/>
      <c r="Q136" s="284"/>
      <c r="R136" s="227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76"/>
      <c r="AJ136" s="176"/>
      <c r="AK136" s="176"/>
    </row>
    <row r="137" ht="24.75" customHeight="1">
      <c r="A137" s="160">
        <v>14.0</v>
      </c>
      <c r="B137" s="191" t="s">
        <v>55</v>
      </c>
      <c r="C137" s="181"/>
      <c r="D137" s="181"/>
      <c r="E137" s="181"/>
      <c r="F137" s="181"/>
      <c r="G137" s="181"/>
      <c r="H137" s="232">
        <v>25.0</v>
      </c>
      <c r="I137" s="181">
        <v>1.0</v>
      </c>
      <c r="J137" s="194">
        <f t="shared" si="103"/>
        <v>25</v>
      </c>
      <c r="K137" s="176"/>
      <c r="L137" s="176"/>
      <c r="M137" s="176"/>
      <c r="N137" s="176"/>
      <c r="O137" s="176"/>
      <c r="P137" s="176"/>
      <c r="Q137" s="284"/>
      <c r="R137" s="227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76"/>
      <c r="AJ137" s="176"/>
      <c r="AK137" s="176"/>
    </row>
    <row r="138" ht="24.75" customHeight="1">
      <c r="A138" s="160">
        <v>15.0</v>
      </c>
      <c r="B138" s="182" t="s">
        <v>209</v>
      </c>
      <c r="C138" s="181"/>
      <c r="D138" s="181"/>
      <c r="E138" s="181"/>
      <c r="F138" s="181"/>
      <c r="G138" s="181"/>
      <c r="H138" s="232">
        <v>52.0</v>
      </c>
      <c r="I138" s="181">
        <v>1.0</v>
      </c>
      <c r="J138" s="194">
        <f t="shared" si="103"/>
        <v>52</v>
      </c>
      <c r="K138" s="176"/>
      <c r="L138" s="176"/>
      <c r="M138" s="176"/>
      <c r="N138" s="176"/>
      <c r="O138" s="176"/>
      <c r="P138" s="176"/>
      <c r="Q138" s="284"/>
      <c r="R138" s="227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76"/>
      <c r="AJ138" s="176"/>
      <c r="AK138" s="176"/>
    </row>
    <row r="139" ht="24.75" customHeight="1">
      <c r="A139" s="160">
        <v>16.0</v>
      </c>
      <c r="B139" s="191" t="s">
        <v>209</v>
      </c>
      <c r="C139" s="181"/>
      <c r="D139" s="181"/>
      <c r="E139" s="181"/>
      <c r="F139" s="181"/>
      <c r="G139" s="181"/>
      <c r="H139" s="232">
        <v>27.0</v>
      </c>
      <c r="I139" s="181">
        <v>1.0</v>
      </c>
      <c r="J139" s="194">
        <f t="shared" si="103"/>
        <v>27</v>
      </c>
      <c r="K139" s="176"/>
      <c r="L139" s="176"/>
      <c r="M139" s="176"/>
      <c r="N139" s="176"/>
      <c r="O139" s="176"/>
      <c r="P139" s="176"/>
      <c r="Q139" s="284"/>
      <c r="R139" s="227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76"/>
      <c r="AJ139" s="176"/>
      <c r="AK139" s="176"/>
    </row>
    <row r="140" ht="24.75" customHeight="1">
      <c r="A140" s="160">
        <v>17.0</v>
      </c>
      <c r="B140" s="182" t="s">
        <v>199</v>
      </c>
      <c r="C140" s="181"/>
      <c r="D140" s="181"/>
      <c r="E140" s="181"/>
      <c r="F140" s="181"/>
      <c r="G140" s="181"/>
      <c r="H140" s="232">
        <v>36.0</v>
      </c>
      <c r="I140" s="181">
        <v>1.0</v>
      </c>
      <c r="J140" s="194">
        <f t="shared" si="103"/>
        <v>36</v>
      </c>
      <c r="K140" s="176"/>
      <c r="L140" s="176"/>
      <c r="M140" s="176"/>
      <c r="N140" s="176"/>
      <c r="O140" s="176"/>
      <c r="P140" s="176"/>
      <c r="Q140" s="284"/>
      <c r="R140" s="227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76"/>
      <c r="AJ140" s="176"/>
      <c r="AK140" s="176"/>
    </row>
    <row r="141" ht="24.75" customHeight="1">
      <c r="A141" s="160">
        <v>18.0</v>
      </c>
      <c r="B141" s="191" t="s">
        <v>199</v>
      </c>
      <c r="C141" s="181"/>
      <c r="D141" s="181"/>
      <c r="E141" s="181"/>
      <c r="F141" s="181"/>
      <c r="G141" s="181"/>
      <c r="H141" s="232">
        <v>10.0</v>
      </c>
      <c r="I141" s="181">
        <v>1.0</v>
      </c>
      <c r="J141" s="194">
        <f t="shared" si="103"/>
        <v>10</v>
      </c>
      <c r="K141" s="176"/>
      <c r="L141" s="176"/>
      <c r="M141" s="176"/>
      <c r="N141" s="176"/>
      <c r="O141" s="176"/>
      <c r="P141" s="176"/>
      <c r="Q141" s="284"/>
      <c r="R141" s="227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76"/>
      <c r="AJ141" s="176"/>
      <c r="AK141" s="176"/>
    </row>
    <row r="142" ht="24.75" customHeight="1">
      <c r="A142" s="160">
        <v>19.0</v>
      </c>
      <c r="B142" s="182" t="s">
        <v>199</v>
      </c>
      <c r="C142" s="181"/>
      <c r="D142" s="181"/>
      <c r="E142" s="181"/>
      <c r="F142" s="181"/>
      <c r="G142" s="181"/>
      <c r="H142" s="232">
        <v>68.0</v>
      </c>
      <c r="I142" s="181">
        <v>1.0</v>
      </c>
      <c r="J142" s="194">
        <f t="shared" si="103"/>
        <v>68</v>
      </c>
      <c r="K142" s="176"/>
      <c r="L142" s="176"/>
      <c r="M142" s="176"/>
      <c r="N142" s="176"/>
      <c r="O142" s="176"/>
      <c r="P142" s="176"/>
      <c r="Q142" s="284"/>
      <c r="R142" s="140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4.75" customHeight="1">
      <c r="A143" s="160">
        <v>20.0</v>
      </c>
      <c r="B143" s="191" t="s">
        <v>199</v>
      </c>
      <c r="C143" s="181"/>
      <c r="D143" s="181"/>
      <c r="E143" s="181"/>
      <c r="F143" s="181"/>
      <c r="G143" s="181"/>
      <c r="H143" s="232">
        <v>38.0</v>
      </c>
      <c r="I143" s="181">
        <v>1.0</v>
      </c>
      <c r="J143" s="194">
        <f t="shared" si="103"/>
        <v>38</v>
      </c>
      <c r="K143" s="176"/>
      <c r="L143" s="176"/>
      <c r="M143" s="176"/>
      <c r="N143" s="176"/>
      <c r="O143" s="176"/>
      <c r="P143" s="176"/>
      <c r="Q143" s="284"/>
      <c r="R143" s="227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18.75" customHeight="1">
      <c r="A144" s="139"/>
      <c r="B144" s="139"/>
      <c r="C144" s="139"/>
      <c r="D144" s="139"/>
      <c r="E144" s="139"/>
      <c r="F144" s="139"/>
      <c r="G144" s="139"/>
      <c r="H144" s="140" t="s">
        <v>38</v>
      </c>
      <c r="I144" s="139"/>
      <c r="J144" s="235">
        <f>SUM(J124:J143)</f>
        <v>740</v>
      </c>
      <c r="K144" s="236"/>
      <c r="L144" s="236"/>
      <c r="M144" s="236"/>
      <c r="N144" s="236"/>
      <c r="O144" s="236"/>
      <c r="P144" s="236"/>
      <c r="Q144" s="236"/>
      <c r="R144" s="139"/>
      <c r="S144" s="227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18.75" customHeight="1">
      <c r="A145" s="144"/>
      <c r="B145" s="144"/>
      <c r="C145" s="144"/>
      <c r="D145" s="144"/>
      <c r="E145" s="144"/>
      <c r="F145" s="144"/>
      <c r="G145" s="144"/>
      <c r="H145" s="145"/>
      <c r="I145" s="173"/>
      <c r="J145" s="205">
        <f>+J144*60%</f>
        <v>444</v>
      </c>
      <c r="K145" s="205"/>
      <c r="L145" s="205"/>
      <c r="M145" s="205"/>
      <c r="N145" s="205"/>
      <c r="O145" s="205"/>
      <c r="P145" s="205"/>
      <c r="Q145" s="205">
        <f>+J144*40%</f>
        <v>296</v>
      </c>
      <c r="R145" s="139"/>
      <c r="S145" s="227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18.75" customHeight="1">
      <c r="A146" s="139"/>
      <c r="B146" s="139"/>
      <c r="C146" s="139"/>
      <c r="D146" s="139"/>
      <c r="E146" s="139"/>
      <c r="F146" s="139"/>
      <c r="G146" s="139"/>
      <c r="H146" s="140"/>
      <c r="I146" s="139"/>
      <c r="J146" s="139"/>
      <c r="K146" s="139"/>
      <c r="L146" s="139"/>
      <c r="M146" s="139"/>
      <c r="N146" s="139"/>
      <c r="O146" s="139"/>
      <c r="P146" s="139"/>
      <c r="Q146" s="139"/>
      <c r="R146" s="139"/>
      <c r="S146" s="227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18.75" customHeight="1">
      <c r="A147" s="139"/>
      <c r="B147" s="139"/>
      <c r="C147" s="139"/>
      <c r="D147" s="139"/>
      <c r="E147" s="139"/>
      <c r="F147" s="139"/>
      <c r="G147" s="139"/>
      <c r="H147" s="140"/>
      <c r="I147" s="139"/>
      <c r="J147" s="139"/>
      <c r="K147" s="139"/>
      <c r="L147" s="139"/>
      <c r="M147" s="139"/>
      <c r="N147" s="139"/>
      <c r="O147" s="139"/>
      <c r="P147" s="139"/>
      <c r="Q147" s="139"/>
      <c r="R147" s="139"/>
      <c r="S147" s="227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19.5" customHeight="1">
      <c r="A148" s="238" t="s">
        <v>41</v>
      </c>
      <c r="B148" s="139"/>
      <c r="C148" s="139"/>
      <c r="D148" s="139"/>
      <c r="E148" s="139"/>
      <c r="F148" s="139"/>
      <c r="G148" s="139"/>
      <c r="H148" s="140"/>
      <c r="I148" s="139"/>
      <c r="J148" s="139"/>
      <c r="K148" s="139"/>
      <c r="L148" s="139"/>
      <c r="M148" s="139"/>
      <c r="N148" s="139"/>
      <c r="O148" s="139"/>
      <c r="P148" s="139"/>
      <c r="Q148" s="139"/>
      <c r="R148" s="139"/>
      <c r="S148" s="227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57.0" customHeight="1">
      <c r="A149" s="239"/>
      <c r="B149" s="240" t="s">
        <v>42</v>
      </c>
      <c r="C149" s="240" t="s">
        <v>43</v>
      </c>
      <c r="D149" s="240" t="s">
        <v>44</v>
      </c>
      <c r="E149" s="240" t="s">
        <v>45</v>
      </c>
      <c r="F149" s="240"/>
      <c r="G149" s="240"/>
      <c r="H149" s="241" t="s">
        <v>46</v>
      </c>
      <c r="I149" s="242" t="s">
        <v>47</v>
      </c>
      <c r="J149" s="139"/>
      <c r="K149" s="139"/>
      <c r="L149" s="139"/>
      <c r="M149" s="139"/>
      <c r="N149" s="139"/>
      <c r="O149" s="139"/>
      <c r="P149" s="139"/>
      <c r="Q149" s="139"/>
      <c r="R149" s="141"/>
      <c r="S149" s="227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18.75" customHeight="1">
      <c r="A150" s="243" t="s">
        <v>48</v>
      </c>
      <c r="B150" s="244">
        <f>+E18</f>
        <v>30427.09305</v>
      </c>
      <c r="C150" s="245">
        <f>+J100</f>
        <v>27468.27035</v>
      </c>
      <c r="D150" s="245">
        <f>+J117</f>
        <v>0</v>
      </c>
      <c r="E150" s="246">
        <f>J145</f>
        <v>444</v>
      </c>
      <c r="F150" s="246"/>
      <c r="G150" s="246"/>
      <c r="H150" s="247">
        <f>+I18</f>
        <v>568.828196</v>
      </c>
      <c r="I150" s="248">
        <f>+B150-C150-D150-E150-H150</f>
        <v>1945.994504</v>
      </c>
      <c r="J150" s="139"/>
      <c r="K150" s="139"/>
      <c r="L150" s="139"/>
      <c r="M150" s="139"/>
      <c r="N150" s="139"/>
      <c r="O150" s="139"/>
      <c r="P150" s="139"/>
      <c r="Q150" s="139"/>
      <c r="R150" s="141"/>
      <c r="S150" s="227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19.5" customHeight="1">
      <c r="A151" s="249" t="s">
        <v>49</v>
      </c>
      <c r="B151" s="250"/>
      <c r="C151" s="251">
        <f>+C150/B150</f>
        <v>0.9027569707</v>
      </c>
      <c r="D151" s="251">
        <f>+D150/B150</f>
        <v>0</v>
      </c>
      <c r="E151" s="251">
        <f>+E150/B150</f>
        <v>0.01459225826</v>
      </c>
      <c r="F151" s="251"/>
      <c r="G151" s="251"/>
      <c r="H151" s="252">
        <f>+H150/B150</f>
        <v>0.01869479266</v>
      </c>
      <c r="I151" s="253">
        <f>+I150/B150</f>
        <v>0.06395597834</v>
      </c>
      <c r="J151" s="139"/>
      <c r="K151" s="139"/>
      <c r="L151" s="139"/>
      <c r="M151" s="139"/>
      <c r="N151" s="139"/>
      <c r="O151" s="139"/>
      <c r="P151" s="139"/>
      <c r="Q151" s="139"/>
      <c r="R151" s="141"/>
      <c r="S151" s="227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19.5" customHeight="1">
      <c r="A152" s="163"/>
      <c r="B152" s="221"/>
      <c r="C152" s="254"/>
      <c r="D152" s="254"/>
      <c r="E152" s="254"/>
      <c r="F152" s="254"/>
      <c r="G152" s="254"/>
      <c r="H152" s="255"/>
      <c r="I152" s="256"/>
      <c r="J152" s="139"/>
      <c r="K152" s="139"/>
      <c r="L152" s="139"/>
      <c r="M152" s="139"/>
      <c r="N152" s="139"/>
      <c r="O152" s="139"/>
      <c r="P152" s="139"/>
      <c r="Q152" s="139"/>
      <c r="R152" s="141"/>
      <c r="S152" s="227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18.75" customHeight="1">
      <c r="A153" s="257"/>
      <c r="B153" s="258"/>
      <c r="C153" s="258"/>
      <c r="D153" s="258" t="s">
        <v>50</v>
      </c>
      <c r="E153" s="258" t="s">
        <v>48</v>
      </c>
      <c r="F153" s="258"/>
      <c r="G153" s="258"/>
      <c r="H153" s="259">
        <f>+D150+E150+H150+I150</f>
        <v>2958.8227</v>
      </c>
      <c r="I153" s="260"/>
      <c r="J153" s="139"/>
      <c r="K153" s="139"/>
      <c r="L153" s="139"/>
      <c r="M153" s="139"/>
      <c r="N153" s="139"/>
      <c r="O153" s="139"/>
      <c r="P153" s="139"/>
      <c r="Q153" s="139"/>
      <c r="R153" s="141"/>
      <c r="S153" s="140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18.75" customHeight="1">
      <c r="A154" s="261"/>
      <c r="B154" s="139"/>
      <c r="C154" s="139"/>
      <c r="D154" s="139"/>
      <c r="E154" s="139" t="s">
        <v>49</v>
      </c>
      <c r="F154" s="139"/>
      <c r="G154" s="139"/>
      <c r="H154" s="255">
        <f>+H153/B150</f>
        <v>0.09724302927</v>
      </c>
      <c r="I154" s="262"/>
      <c r="J154" s="139"/>
      <c r="K154" s="139"/>
      <c r="L154" s="139"/>
      <c r="M154" s="139"/>
      <c r="N154" s="139"/>
      <c r="O154" s="139"/>
      <c r="P154" s="139"/>
      <c r="Q154" s="139"/>
      <c r="R154" s="141"/>
      <c r="S154" s="140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18.75" customHeight="1">
      <c r="A155" s="261"/>
      <c r="B155" s="139"/>
      <c r="C155" s="139" t="s">
        <v>51</v>
      </c>
      <c r="D155" s="139"/>
      <c r="E155" s="139"/>
      <c r="F155" s="139"/>
      <c r="G155" s="139"/>
      <c r="H155" s="140"/>
      <c r="I155" s="262"/>
      <c r="J155" s="139"/>
      <c r="K155" s="139"/>
      <c r="L155" s="139"/>
      <c r="M155" s="139"/>
      <c r="N155" s="139"/>
      <c r="O155" s="139"/>
      <c r="P155" s="139"/>
      <c r="Q155" s="139"/>
      <c r="R155" s="141"/>
      <c r="S155" s="140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18.75" customHeight="1">
      <c r="A156" s="261"/>
      <c r="B156" s="139"/>
      <c r="C156" s="139"/>
      <c r="D156" s="139" t="s">
        <v>52</v>
      </c>
      <c r="E156" s="139"/>
      <c r="F156" s="139"/>
      <c r="G156" s="139"/>
      <c r="H156" s="140">
        <f>+H155*(H153-H150)</f>
        <v>0</v>
      </c>
      <c r="I156" s="262"/>
      <c r="J156" s="139"/>
      <c r="K156" s="139"/>
      <c r="L156" s="139"/>
      <c r="M156" s="139"/>
      <c r="N156" s="139"/>
      <c r="O156" s="139"/>
      <c r="P156" s="139"/>
      <c r="Q156" s="139"/>
      <c r="R156" s="141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19.5" customHeight="1">
      <c r="A157" s="263"/>
      <c r="B157" s="264"/>
      <c r="C157" s="264"/>
      <c r="D157" s="264"/>
      <c r="E157" s="264"/>
      <c r="F157" s="264"/>
      <c r="G157" s="264"/>
      <c r="H157" s="265"/>
      <c r="I157" s="266"/>
      <c r="J157" s="139"/>
      <c r="K157" s="139"/>
      <c r="L157" s="139"/>
      <c r="M157" s="139"/>
      <c r="N157" s="139"/>
      <c r="O157" s="139"/>
      <c r="P157" s="139"/>
      <c r="Q157" s="139"/>
      <c r="R157" s="141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18.75" customHeight="1">
      <c r="A158" s="139"/>
      <c r="B158" s="139"/>
      <c r="C158" s="139"/>
      <c r="D158" s="139"/>
      <c r="E158" s="139"/>
      <c r="F158" s="139"/>
      <c r="G158" s="139"/>
      <c r="H158" s="140"/>
      <c r="I158" s="139"/>
      <c r="J158" s="139"/>
      <c r="K158" s="139"/>
      <c r="L158" s="139"/>
      <c r="M158" s="139"/>
      <c r="N158" s="139"/>
      <c r="O158" s="139"/>
      <c r="P158" s="139"/>
      <c r="Q158" s="139"/>
      <c r="R158" s="141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18.75" customHeight="1">
      <c r="A159" s="139"/>
      <c r="B159" s="139"/>
      <c r="C159" s="139"/>
      <c r="D159" s="139"/>
      <c r="E159" s="139"/>
      <c r="F159" s="139"/>
      <c r="G159" s="139"/>
      <c r="H159" s="140"/>
      <c r="I159" s="139"/>
      <c r="J159" s="139"/>
      <c r="K159" s="139"/>
      <c r="L159" s="139"/>
      <c r="M159" s="139"/>
      <c r="N159" s="139"/>
      <c r="O159" s="139"/>
      <c r="P159" s="139"/>
      <c r="Q159" s="139"/>
      <c r="R159" s="141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18.75" customHeight="1">
      <c r="A160" s="139"/>
      <c r="B160" s="139"/>
      <c r="C160" s="139"/>
      <c r="D160" s="139"/>
      <c r="E160" s="139"/>
      <c r="F160" s="139"/>
      <c r="G160" s="139"/>
      <c r="H160" s="140"/>
      <c r="I160" s="139"/>
      <c r="J160" s="139"/>
      <c r="K160" s="139"/>
      <c r="L160" s="139"/>
      <c r="M160" s="139"/>
      <c r="N160" s="139"/>
      <c r="O160" s="139"/>
      <c r="P160" s="139"/>
      <c r="Q160" s="139"/>
      <c r="R160" s="141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7"/>
      <c r="R161" s="26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7"/>
      <c r="R162" s="26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7"/>
      <c r="R163" s="26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7"/>
      <c r="R164" s="26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7"/>
      <c r="R165" s="26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7"/>
      <c r="R166" s="26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7"/>
      <c r="R167" s="26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7"/>
      <c r="R168" s="26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7"/>
      <c r="R169" s="26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7"/>
      <c r="R170" s="26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7"/>
      <c r="R171" s="26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7"/>
      <c r="R172" s="26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7"/>
      <c r="R173" s="26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7"/>
      <c r="R174" s="26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7"/>
      <c r="R175" s="26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7"/>
      <c r="R176" s="26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7"/>
      <c r="R177" s="26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7"/>
      <c r="R178" s="26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7"/>
      <c r="R179" s="26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7"/>
      <c r="R180" s="26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7"/>
      <c r="R181" s="26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7"/>
      <c r="R182" s="26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7"/>
      <c r="R183" s="26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7"/>
      <c r="R184" s="26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7"/>
      <c r="R185" s="26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7"/>
      <c r="R186" s="26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7"/>
      <c r="R187" s="26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7"/>
      <c r="R188" s="26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7"/>
      <c r="R189" s="26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7"/>
      <c r="R190" s="26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7"/>
      <c r="R191" s="26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7"/>
      <c r="R192" s="26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7"/>
      <c r="R193" s="26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7"/>
      <c r="R194" s="26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7"/>
      <c r="R252" s="26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7"/>
      <c r="R253" s="26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7"/>
      <c r="R254" s="26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7"/>
      <c r="R255" s="26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7"/>
      <c r="R256" s="26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7"/>
      <c r="R257" s="26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7"/>
      <c r="R258" s="26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7"/>
      <c r="R259" s="26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7"/>
      <c r="R260" s="26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7"/>
      <c r="R261" s="26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7"/>
      <c r="R262" s="26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7"/>
      <c r="R263" s="26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7"/>
      <c r="R264" s="26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7"/>
      <c r="R265" s="26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7"/>
      <c r="R266" s="26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7"/>
      <c r="R267" s="26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7"/>
      <c r="R268" s="26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7"/>
      <c r="R269" s="26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7"/>
      <c r="R270" s="26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7"/>
      <c r="R271" s="26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7"/>
      <c r="R272" s="26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7"/>
      <c r="R273" s="26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7"/>
      <c r="R274" s="26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7"/>
      <c r="R275" s="26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7"/>
      <c r="R276" s="26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7"/>
      <c r="R277" s="26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7"/>
      <c r="R278" s="26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7"/>
      <c r="R279" s="26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7"/>
      <c r="R280" s="26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7"/>
      <c r="R281" s="26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7"/>
      <c r="R282" s="26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7"/>
      <c r="R283" s="26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7"/>
      <c r="R284" s="26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7"/>
      <c r="R285" s="26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7"/>
      <c r="R286" s="26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7"/>
      <c r="R287" s="26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7"/>
      <c r="R288" s="26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7"/>
      <c r="R289" s="26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7"/>
      <c r="R290" s="26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7"/>
      <c r="R291" s="26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7"/>
      <c r="R292" s="26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7"/>
      <c r="R293" s="26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7"/>
      <c r="R294" s="26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7"/>
      <c r="R295" s="26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7"/>
      <c r="R296" s="26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7"/>
      <c r="R297" s="26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7"/>
      <c r="R298" s="26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7"/>
      <c r="R299" s="26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7"/>
      <c r="R300" s="26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7"/>
      <c r="R301" s="26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7"/>
      <c r="R302" s="26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7"/>
      <c r="R303" s="268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7"/>
      <c r="R304" s="268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7"/>
      <c r="R305" s="268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7"/>
      <c r="R306" s="268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7"/>
      <c r="R307" s="268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7"/>
      <c r="R308" s="268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7"/>
      <c r="R309" s="268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7"/>
      <c r="R310" s="268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7"/>
      <c r="R311" s="268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7"/>
      <c r="R312" s="268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7"/>
      <c r="R313" s="268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7"/>
      <c r="R314" s="268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7"/>
      <c r="R315" s="268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7"/>
      <c r="R316" s="268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7"/>
      <c r="R317" s="268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7"/>
      <c r="R318" s="268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7"/>
      <c r="R319" s="268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7"/>
      <c r="R320" s="268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7"/>
      <c r="R321" s="268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7"/>
      <c r="R322" s="268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7"/>
      <c r="R323" s="268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7"/>
      <c r="R324" s="268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7"/>
      <c r="R325" s="268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7"/>
      <c r="R326" s="268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7"/>
      <c r="R327" s="268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7"/>
      <c r="R328" s="268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7"/>
      <c r="R329" s="268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7"/>
      <c r="R330" s="268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7"/>
      <c r="R331" s="268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7"/>
      <c r="R332" s="268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7"/>
      <c r="R333" s="268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7"/>
      <c r="R334" s="268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7"/>
      <c r="R335" s="268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7"/>
      <c r="R336" s="268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7"/>
      <c r="R337" s="268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7"/>
      <c r="R338" s="268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7"/>
      <c r="R339" s="268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7"/>
      <c r="R340" s="268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7"/>
      <c r="R341" s="268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7"/>
      <c r="R342" s="268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7"/>
      <c r="R343" s="268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7"/>
      <c r="R344" s="268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7"/>
      <c r="R345" s="268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7"/>
      <c r="R346" s="268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7"/>
      <c r="R347" s="268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7"/>
      <c r="R348" s="268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7"/>
      <c r="R349" s="268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7"/>
      <c r="R350" s="268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7"/>
      <c r="R351" s="268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7"/>
      <c r="I352" s="7"/>
      <c r="J352" s="7"/>
      <c r="K352" s="7"/>
      <c r="L352" s="7"/>
      <c r="M352" s="7"/>
      <c r="N352" s="7"/>
      <c r="O352" s="7"/>
      <c r="P352" s="7"/>
      <c r="Q352" s="7"/>
      <c r="R352" s="268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7"/>
      <c r="I353" s="7"/>
      <c r="J353" s="7"/>
      <c r="K353" s="7"/>
      <c r="L353" s="7"/>
      <c r="M353" s="7"/>
      <c r="N353" s="7"/>
      <c r="O353" s="7"/>
      <c r="P353" s="7"/>
      <c r="Q353" s="7"/>
      <c r="R353" s="268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7"/>
      <c r="I354" s="7"/>
      <c r="J354" s="7"/>
      <c r="K354" s="7"/>
      <c r="L354" s="7"/>
      <c r="M354" s="7"/>
      <c r="N354" s="7"/>
      <c r="O354" s="7"/>
      <c r="P354" s="7"/>
      <c r="Q354" s="7"/>
      <c r="R354" s="268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7"/>
      <c r="I355" s="7"/>
      <c r="J355" s="7"/>
      <c r="K355" s="7"/>
      <c r="L355" s="7"/>
      <c r="M355" s="7"/>
      <c r="N355" s="7"/>
      <c r="O355" s="7"/>
      <c r="P355" s="7"/>
      <c r="Q355" s="7"/>
      <c r="R355" s="268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7"/>
      <c r="I356" s="7"/>
      <c r="J356" s="7"/>
      <c r="K356" s="7"/>
      <c r="L356" s="7"/>
      <c r="M356" s="7"/>
      <c r="N356" s="7"/>
      <c r="O356" s="7"/>
      <c r="P356" s="7"/>
      <c r="Q356" s="7"/>
      <c r="R356" s="268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8:D18"/>
    <mergeCell ref="E19:H19"/>
    <mergeCell ref="C24:E24"/>
    <mergeCell ref="C106:E106"/>
    <mergeCell ref="C123:E123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44369.0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210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55</v>
      </c>
      <c r="C8" s="154">
        <v>29.5</v>
      </c>
      <c r="D8" s="155">
        <v>0.0155</v>
      </c>
      <c r="E8" s="156">
        <f>254.575*32</f>
        <v>8146.4</v>
      </c>
      <c r="F8" s="156"/>
      <c r="G8" s="156"/>
      <c r="H8" s="157">
        <v>32.0</v>
      </c>
      <c r="I8" s="158">
        <f t="shared" ref="I8:I12" si="1">+D8*E8</f>
        <v>126.2692</v>
      </c>
      <c r="J8" s="159">
        <f t="shared" ref="J8:J12" si="2">E8-I8</f>
        <v>8020.1308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56</v>
      </c>
      <c r="C9" s="154">
        <v>29.5</v>
      </c>
      <c r="D9" s="155">
        <v>0.0146</v>
      </c>
      <c r="E9" s="156">
        <f>254.23*18.7</f>
        <v>4754.101</v>
      </c>
      <c r="F9" s="156"/>
      <c r="G9" s="156"/>
      <c r="H9" s="157">
        <v>18.7</v>
      </c>
      <c r="I9" s="158">
        <f t="shared" si="1"/>
        <v>69.4098746</v>
      </c>
      <c r="J9" s="159">
        <f t="shared" si="2"/>
        <v>4684.691125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56</v>
      </c>
      <c r="C10" s="154">
        <v>29.5</v>
      </c>
      <c r="D10" s="155">
        <v>0.0146</v>
      </c>
      <c r="E10" s="156">
        <f>231.791*39</f>
        <v>9039.849</v>
      </c>
      <c r="F10" s="156"/>
      <c r="G10" s="156"/>
      <c r="H10" s="157">
        <v>39.0</v>
      </c>
      <c r="I10" s="158">
        <f t="shared" si="1"/>
        <v>131.9817954</v>
      </c>
      <c r="J10" s="159">
        <f t="shared" si="2"/>
        <v>8907.867205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60" t="s">
        <v>58</v>
      </c>
      <c r="C11" s="154">
        <v>29.5</v>
      </c>
      <c r="D11" s="161">
        <v>0.088</v>
      </c>
      <c r="E11" s="162">
        <f>185.99*19</f>
        <v>3533.81</v>
      </c>
      <c r="F11" s="162"/>
      <c r="G11" s="162"/>
      <c r="H11" s="157">
        <v>19.0</v>
      </c>
      <c r="I11" s="158">
        <f t="shared" si="1"/>
        <v>310.97528</v>
      </c>
      <c r="J11" s="159">
        <f t="shared" si="2"/>
        <v>3222.83472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0" t="s">
        <v>56</v>
      </c>
      <c r="C12" s="154">
        <v>29.5</v>
      </c>
      <c r="D12" s="161">
        <v>0.0146</v>
      </c>
      <c r="E12" s="162">
        <f>254.23*52</f>
        <v>13219.96</v>
      </c>
      <c r="F12" s="162"/>
      <c r="G12" s="162"/>
      <c r="H12" s="157">
        <v>52.0</v>
      </c>
      <c r="I12" s="158">
        <f t="shared" si="1"/>
        <v>193.011416</v>
      </c>
      <c r="J12" s="159">
        <f t="shared" si="2"/>
        <v>13026.94858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18.75" customHeight="1">
      <c r="A13" s="163"/>
      <c r="B13" s="164"/>
      <c r="C13" s="165"/>
      <c r="D13" s="166"/>
      <c r="E13" s="167">
        <f>SUM(E8:E12)</f>
        <v>38694.12</v>
      </c>
      <c r="F13" s="168"/>
      <c r="G13" s="168"/>
      <c r="H13" s="169"/>
      <c r="I13" s="170">
        <f t="shared" ref="I13:J13" si="3">SUM(I8:I12)</f>
        <v>831.647566</v>
      </c>
      <c r="J13" s="171">
        <f t="shared" si="3"/>
        <v>37862.47243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18.75" customHeight="1">
      <c r="A14" s="172"/>
      <c r="B14" s="144"/>
      <c r="C14" s="144"/>
      <c r="D14" s="173"/>
      <c r="E14" s="174"/>
      <c r="F14" s="151"/>
      <c r="G14" s="151"/>
      <c r="H14" s="147"/>
      <c r="I14" s="175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18.75" customHeight="1">
      <c r="A15" s="139"/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18.75" customHeight="1">
      <c r="A17" s="139" t="s">
        <v>11</v>
      </c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40.5" customHeight="1">
      <c r="A19" s="176"/>
      <c r="B19" s="160" t="s">
        <v>12</v>
      </c>
      <c r="C19" s="177" t="s">
        <v>62</v>
      </c>
      <c r="D19" s="52"/>
      <c r="E19" s="53"/>
      <c r="F19" s="178"/>
      <c r="G19" s="178"/>
      <c r="H19" s="179" t="s">
        <v>14</v>
      </c>
      <c r="I19" s="160" t="s">
        <v>15</v>
      </c>
      <c r="J19" s="160" t="s">
        <v>16</v>
      </c>
      <c r="K19" s="139"/>
      <c r="L19" s="160" t="s">
        <v>17</v>
      </c>
      <c r="M19" s="160" t="s">
        <v>15</v>
      </c>
      <c r="N19" s="176" t="s">
        <v>18</v>
      </c>
      <c r="O19" s="139"/>
      <c r="P19" s="139"/>
      <c r="Q19" s="176" t="s">
        <v>129</v>
      </c>
      <c r="R19" s="180"/>
      <c r="S19" s="160" t="s">
        <v>17</v>
      </c>
      <c r="T19" s="160" t="s">
        <v>15</v>
      </c>
      <c r="U19" s="176" t="s">
        <v>18</v>
      </c>
      <c r="V19" s="139"/>
      <c r="W19" s="176" t="s">
        <v>19</v>
      </c>
      <c r="X19" s="176" t="s">
        <v>20</v>
      </c>
      <c r="Y19" s="176" t="s">
        <v>21</v>
      </c>
      <c r="Z19" s="176" t="s">
        <v>211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7.0" customHeight="1">
      <c r="A20" s="160">
        <v>1.0</v>
      </c>
      <c r="B20" s="182" t="s">
        <v>64</v>
      </c>
      <c r="C20" s="183">
        <v>80.0</v>
      </c>
      <c r="D20" s="183">
        <v>215.0</v>
      </c>
      <c r="E20" s="183">
        <v>215.0</v>
      </c>
      <c r="F20" s="183">
        <f t="shared" ref="F20:F97" si="5">VALUE(IF(RIGHT(B20, 1)="%", RIGHT(B20, 3), 0))</f>
        <v>0.8</v>
      </c>
      <c r="G20" s="183">
        <f t="shared" ref="G20:G97" si="6">+R20*C20/100*D20/100*E20/100</f>
        <v>109.091</v>
      </c>
      <c r="H20" s="184">
        <f t="shared" ref="H20:H97" si="7">IF(F20=0, G20, F20*G20)</f>
        <v>87.2728</v>
      </c>
      <c r="I20" s="183">
        <v>1.0</v>
      </c>
      <c r="J20" s="185">
        <f t="shared" ref="J20:J97" si="8">+I20*H20</f>
        <v>87.2728</v>
      </c>
      <c r="K20" s="139"/>
      <c r="L20" s="176">
        <f>D20*25.4/1000</f>
        <v>5.461</v>
      </c>
      <c r="M20" s="160">
        <f>+I20</f>
        <v>1</v>
      </c>
      <c r="N20" s="160">
        <f>M20*L20</f>
        <v>5.461</v>
      </c>
      <c r="O20" s="139"/>
      <c r="P20" s="139"/>
      <c r="Q20" s="176"/>
      <c r="R20" s="281">
        <v>29.5</v>
      </c>
      <c r="S20" s="176">
        <f t="shared" ref="S20:S98" si="9">E20/100</f>
        <v>2.15</v>
      </c>
      <c r="T20" s="160">
        <f t="shared" ref="T20:T98" si="10">I20</f>
        <v>1</v>
      </c>
      <c r="U20" s="160">
        <f t="shared" ref="U20:U98" si="11">T20*S20</f>
        <v>2.15</v>
      </c>
      <c r="V20" s="282">
        <f t="shared" ref="V20:V97" si="12">R20*C20/100*D20/100*E20/100</f>
        <v>109.091</v>
      </c>
      <c r="W20" s="176">
        <f t="shared" ref="W20:X20" si="4">C20/100</f>
        <v>0.8</v>
      </c>
      <c r="X20" s="176">
        <f t="shared" si="4"/>
        <v>2.15</v>
      </c>
      <c r="Y20" s="176">
        <f t="shared" ref="Y20:Y98" si="14">U20</f>
        <v>2.15</v>
      </c>
      <c r="Z20" s="283">
        <f t="shared" ref="Z20:Z98" si="15">W20*X20*Y20</f>
        <v>3.698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7.0" customHeight="1">
      <c r="A21" s="160">
        <v>2.0</v>
      </c>
      <c r="B21" s="191" t="s">
        <v>55</v>
      </c>
      <c r="C21" s="191">
        <v>94.0</v>
      </c>
      <c r="D21" s="191">
        <v>215.0</v>
      </c>
      <c r="E21" s="191">
        <v>212.0</v>
      </c>
      <c r="F21" s="191">
        <f t="shared" si="5"/>
        <v>0</v>
      </c>
      <c r="G21" s="191">
        <f t="shared" si="6"/>
        <v>126.39334</v>
      </c>
      <c r="H21" s="192">
        <f t="shared" si="7"/>
        <v>126.39334</v>
      </c>
      <c r="I21" s="191">
        <v>1.0</v>
      </c>
      <c r="J21" s="194">
        <f t="shared" si="8"/>
        <v>126.39334</v>
      </c>
      <c r="K21" s="139"/>
      <c r="L21" s="176"/>
      <c r="M21" s="160"/>
      <c r="N21" s="160"/>
      <c r="O21" s="139"/>
      <c r="P21" s="139"/>
      <c r="Q21" s="176"/>
      <c r="R21" s="281">
        <v>29.5</v>
      </c>
      <c r="S21" s="176">
        <f t="shared" si="9"/>
        <v>2.12</v>
      </c>
      <c r="T21" s="160">
        <f t="shared" si="10"/>
        <v>1</v>
      </c>
      <c r="U21" s="160">
        <f t="shared" si="11"/>
        <v>2.12</v>
      </c>
      <c r="V21" s="282">
        <f t="shared" si="12"/>
        <v>126.39334</v>
      </c>
      <c r="W21" s="176">
        <f t="shared" ref="W21:X21" si="13">C21/100</f>
        <v>0.94</v>
      </c>
      <c r="X21" s="176">
        <f t="shared" si="13"/>
        <v>2.15</v>
      </c>
      <c r="Y21" s="176">
        <f t="shared" si="14"/>
        <v>2.12</v>
      </c>
      <c r="Z21" s="283">
        <f t="shared" si="15"/>
        <v>4.28452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7.0" customHeight="1">
      <c r="A22" s="160">
        <v>3.0</v>
      </c>
      <c r="B22" s="191" t="s">
        <v>55</v>
      </c>
      <c r="C22" s="191">
        <v>98.0</v>
      </c>
      <c r="D22" s="191">
        <v>215.0</v>
      </c>
      <c r="E22" s="191">
        <v>202.0</v>
      </c>
      <c r="F22" s="191">
        <f t="shared" si="5"/>
        <v>0</v>
      </c>
      <c r="G22" s="191">
        <f t="shared" si="6"/>
        <v>125.55613</v>
      </c>
      <c r="H22" s="192">
        <f t="shared" si="7"/>
        <v>125.55613</v>
      </c>
      <c r="I22" s="191">
        <v>1.0</v>
      </c>
      <c r="J22" s="194">
        <f t="shared" si="8"/>
        <v>125.55613</v>
      </c>
      <c r="K22" s="139"/>
      <c r="L22" s="176">
        <f t="shared" ref="L22:L44" si="17">D22*25.4/1000</f>
        <v>5.461</v>
      </c>
      <c r="M22" s="160">
        <f t="shared" ref="M22:M97" si="18">+I22</f>
        <v>1</v>
      </c>
      <c r="N22" s="160">
        <f t="shared" ref="N22:N44" si="19">M22*L22</f>
        <v>5.461</v>
      </c>
      <c r="O22" s="139"/>
      <c r="P22" s="139"/>
      <c r="Q22" s="176"/>
      <c r="R22" s="281">
        <v>29.5</v>
      </c>
      <c r="S22" s="176">
        <f t="shared" si="9"/>
        <v>2.02</v>
      </c>
      <c r="T22" s="160">
        <f t="shared" si="10"/>
        <v>1</v>
      </c>
      <c r="U22" s="160">
        <f t="shared" si="11"/>
        <v>2.02</v>
      </c>
      <c r="V22" s="282">
        <f t="shared" si="12"/>
        <v>125.55613</v>
      </c>
      <c r="W22" s="176">
        <f t="shared" ref="W22:X22" si="16">C22/100</f>
        <v>0.98</v>
      </c>
      <c r="X22" s="176">
        <f t="shared" si="16"/>
        <v>2.15</v>
      </c>
      <c r="Y22" s="176">
        <f t="shared" si="14"/>
        <v>2.02</v>
      </c>
      <c r="Z22" s="283">
        <f t="shared" si="15"/>
        <v>4.25614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7.0" customHeight="1">
      <c r="A23" s="160">
        <v>4.0</v>
      </c>
      <c r="B23" s="191" t="s">
        <v>55</v>
      </c>
      <c r="C23" s="191">
        <v>100.0</v>
      </c>
      <c r="D23" s="191">
        <v>215.0</v>
      </c>
      <c r="E23" s="191">
        <v>201.0</v>
      </c>
      <c r="F23" s="191">
        <f t="shared" si="5"/>
        <v>0</v>
      </c>
      <c r="G23" s="191">
        <f t="shared" si="6"/>
        <v>127.48425</v>
      </c>
      <c r="H23" s="192">
        <f t="shared" si="7"/>
        <v>127.48425</v>
      </c>
      <c r="I23" s="191">
        <v>4.0</v>
      </c>
      <c r="J23" s="194">
        <f t="shared" si="8"/>
        <v>509.937</v>
      </c>
      <c r="K23" s="139"/>
      <c r="L23" s="176">
        <f t="shared" si="17"/>
        <v>5.461</v>
      </c>
      <c r="M23" s="160">
        <f t="shared" si="18"/>
        <v>4</v>
      </c>
      <c r="N23" s="160">
        <f t="shared" si="19"/>
        <v>21.844</v>
      </c>
      <c r="O23" s="139"/>
      <c r="P23" s="139"/>
      <c r="Q23" s="176"/>
      <c r="R23" s="281">
        <v>29.5</v>
      </c>
      <c r="S23" s="176">
        <f t="shared" si="9"/>
        <v>2.01</v>
      </c>
      <c r="T23" s="160">
        <f t="shared" si="10"/>
        <v>4</v>
      </c>
      <c r="U23" s="160">
        <f t="shared" si="11"/>
        <v>8.04</v>
      </c>
      <c r="V23" s="282">
        <f t="shared" si="12"/>
        <v>127.48425</v>
      </c>
      <c r="W23" s="176">
        <f t="shared" ref="W23:X23" si="20">C23/100</f>
        <v>1</v>
      </c>
      <c r="X23" s="176">
        <f t="shared" si="20"/>
        <v>2.15</v>
      </c>
      <c r="Y23" s="176">
        <f t="shared" si="14"/>
        <v>8.04</v>
      </c>
      <c r="Z23" s="283">
        <f t="shared" si="15"/>
        <v>17.286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27.0" customHeight="1">
      <c r="A24" s="160">
        <v>5.0</v>
      </c>
      <c r="B24" s="191" t="s">
        <v>55</v>
      </c>
      <c r="C24" s="191">
        <v>99.0</v>
      </c>
      <c r="D24" s="191">
        <v>215.0</v>
      </c>
      <c r="E24" s="191">
        <v>201.0</v>
      </c>
      <c r="F24" s="191">
        <f t="shared" si="5"/>
        <v>0</v>
      </c>
      <c r="G24" s="191">
        <f t="shared" si="6"/>
        <v>126.2094075</v>
      </c>
      <c r="H24" s="192">
        <f t="shared" si="7"/>
        <v>126.2094075</v>
      </c>
      <c r="I24" s="191">
        <v>4.0</v>
      </c>
      <c r="J24" s="194">
        <f t="shared" si="8"/>
        <v>504.83763</v>
      </c>
      <c r="K24" s="139"/>
      <c r="L24" s="176">
        <f t="shared" si="17"/>
        <v>5.461</v>
      </c>
      <c r="M24" s="160">
        <f t="shared" si="18"/>
        <v>4</v>
      </c>
      <c r="N24" s="160">
        <f t="shared" si="19"/>
        <v>21.844</v>
      </c>
      <c r="O24" s="139"/>
      <c r="P24" s="139"/>
      <c r="Q24" s="176"/>
      <c r="R24" s="281">
        <v>29.5</v>
      </c>
      <c r="S24" s="176">
        <f t="shared" si="9"/>
        <v>2.01</v>
      </c>
      <c r="T24" s="160">
        <f t="shared" si="10"/>
        <v>4</v>
      </c>
      <c r="U24" s="160">
        <f t="shared" si="11"/>
        <v>8.04</v>
      </c>
      <c r="V24" s="282">
        <f t="shared" si="12"/>
        <v>126.2094075</v>
      </c>
      <c r="W24" s="176">
        <f t="shared" ref="W24:X24" si="21">C24/100</f>
        <v>0.99</v>
      </c>
      <c r="X24" s="176">
        <f t="shared" si="21"/>
        <v>2.15</v>
      </c>
      <c r="Y24" s="176">
        <f t="shared" si="14"/>
        <v>8.04</v>
      </c>
      <c r="Z24" s="283">
        <f t="shared" si="15"/>
        <v>17.11314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27.0" customHeight="1">
      <c r="A25" s="160">
        <v>6.0</v>
      </c>
      <c r="B25" s="191" t="s">
        <v>55</v>
      </c>
      <c r="C25" s="191">
        <v>99.0</v>
      </c>
      <c r="D25" s="191">
        <v>215.0</v>
      </c>
      <c r="E25" s="191">
        <v>202.0</v>
      </c>
      <c r="F25" s="191">
        <f t="shared" si="5"/>
        <v>0</v>
      </c>
      <c r="G25" s="191">
        <f t="shared" si="6"/>
        <v>126.837315</v>
      </c>
      <c r="H25" s="192">
        <f t="shared" si="7"/>
        <v>126.837315</v>
      </c>
      <c r="I25" s="191">
        <v>20.0</v>
      </c>
      <c r="J25" s="194">
        <f t="shared" si="8"/>
        <v>2536.7463</v>
      </c>
      <c r="K25" s="139"/>
      <c r="L25" s="176">
        <f t="shared" si="17"/>
        <v>5.461</v>
      </c>
      <c r="M25" s="160">
        <f t="shared" si="18"/>
        <v>20</v>
      </c>
      <c r="N25" s="160">
        <f t="shared" si="19"/>
        <v>109.22</v>
      </c>
      <c r="O25" s="139"/>
      <c r="P25" s="139"/>
      <c r="Q25" s="176"/>
      <c r="R25" s="281">
        <v>29.5</v>
      </c>
      <c r="S25" s="176">
        <f t="shared" si="9"/>
        <v>2.02</v>
      </c>
      <c r="T25" s="160">
        <f t="shared" si="10"/>
        <v>20</v>
      </c>
      <c r="U25" s="160">
        <f t="shared" si="11"/>
        <v>40.4</v>
      </c>
      <c r="V25" s="282">
        <f t="shared" si="12"/>
        <v>126.837315</v>
      </c>
      <c r="W25" s="176">
        <f t="shared" ref="W25:X25" si="22">C25/100</f>
        <v>0.99</v>
      </c>
      <c r="X25" s="176">
        <f t="shared" si="22"/>
        <v>2.15</v>
      </c>
      <c r="Y25" s="176">
        <f t="shared" si="14"/>
        <v>40.4</v>
      </c>
      <c r="Z25" s="283">
        <f t="shared" si="15"/>
        <v>85.9914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27.0" customHeight="1">
      <c r="A26" s="160">
        <v>7.0</v>
      </c>
      <c r="B26" s="191" t="s">
        <v>55</v>
      </c>
      <c r="C26" s="191">
        <v>103.0</v>
      </c>
      <c r="D26" s="191">
        <v>215.0</v>
      </c>
      <c r="E26" s="191">
        <v>214.0</v>
      </c>
      <c r="F26" s="191">
        <f t="shared" si="5"/>
        <v>0</v>
      </c>
      <c r="G26" s="191">
        <f t="shared" si="6"/>
        <v>139.801385</v>
      </c>
      <c r="H26" s="192">
        <f t="shared" si="7"/>
        <v>139.801385</v>
      </c>
      <c r="I26" s="191">
        <v>1.0</v>
      </c>
      <c r="J26" s="194">
        <f t="shared" si="8"/>
        <v>139.801385</v>
      </c>
      <c r="K26" s="139"/>
      <c r="L26" s="176">
        <f t="shared" si="17"/>
        <v>5.461</v>
      </c>
      <c r="M26" s="160">
        <f t="shared" si="18"/>
        <v>1</v>
      </c>
      <c r="N26" s="160">
        <f t="shared" si="19"/>
        <v>5.461</v>
      </c>
      <c r="O26" s="139"/>
      <c r="P26" s="139"/>
      <c r="Q26" s="176"/>
      <c r="R26" s="281">
        <v>29.5</v>
      </c>
      <c r="S26" s="176">
        <f t="shared" si="9"/>
        <v>2.14</v>
      </c>
      <c r="T26" s="160">
        <f t="shared" si="10"/>
        <v>1</v>
      </c>
      <c r="U26" s="160">
        <f t="shared" si="11"/>
        <v>2.14</v>
      </c>
      <c r="V26" s="282">
        <f t="shared" si="12"/>
        <v>139.801385</v>
      </c>
      <c r="W26" s="176">
        <f t="shared" ref="W26:X26" si="23">C26/100</f>
        <v>1.03</v>
      </c>
      <c r="X26" s="176">
        <f t="shared" si="23"/>
        <v>2.15</v>
      </c>
      <c r="Y26" s="176">
        <f t="shared" si="14"/>
        <v>2.14</v>
      </c>
      <c r="Z26" s="283">
        <f t="shared" si="15"/>
        <v>4.73903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27.0" customHeight="1">
      <c r="A27" s="160">
        <v>8.0</v>
      </c>
      <c r="B27" s="191" t="s">
        <v>55</v>
      </c>
      <c r="C27" s="191">
        <v>99.0</v>
      </c>
      <c r="D27" s="191">
        <v>215.0</v>
      </c>
      <c r="E27" s="191">
        <v>215.0</v>
      </c>
      <c r="F27" s="191">
        <f t="shared" si="5"/>
        <v>0</v>
      </c>
      <c r="G27" s="191">
        <f t="shared" si="6"/>
        <v>135.0001125</v>
      </c>
      <c r="H27" s="192">
        <f t="shared" si="7"/>
        <v>135.0001125</v>
      </c>
      <c r="I27" s="191">
        <v>7.0</v>
      </c>
      <c r="J27" s="194">
        <f t="shared" si="8"/>
        <v>945.0007875</v>
      </c>
      <c r="K27" s="139"/>
      <c r="L27" s="176">
        <f t="shared" si="17"/>
        <v>5.461</v>
      </c>
      <c r="M27" s="160">
        <f t="shared" si="18"/>
        <v>7</v>
      </c>
      <c r="N27" s="160">
        <f t="shared" si="19"/>
        <v>38.227</v>
      </c>
      <c r="O27" s="139"/>
      <c r="P27" s="139"/>
      <c r="Q27" s="176"/>
      <c r="R27" s="281">
        <v>29.5</v>
      </c>
      <c r="S27" s="176">
        <f t="shared" si="9"/>
        <v>2.15</v>
      </c>
      <c r="T27" s="160">
        <f t="shared" si="10"/>
        <v>7</v>
      </c>
      <c r="U27" s="160">
        <f t="shared" si="11"/>
        <v>15.05</v>
      </c>
      <c r="V27" s="282">
        <f t="shared" si="12"/>
        <v>135.0001125</v>
      </c>
      <c r="W27" s="176">
        <f t="shared" ref="W27:X27" si="24">C27/100</f>
        <v>0.99</v>
      </c>
      <c r="X27" s="176">
        <f t="shared" si="24"/>
        <v>2.15</v>
      </c>
      <c r="Y27" s="176">
        <f t="shared" si="14"/>
        <v>15.05</v>
      </c>
      <c r="Z27" s="283">
        <f t="shared" si="15"/>
        <v>32.033925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0">
        <v>9.0</v>
      </c>
      <c r="B28" s="191" t="s">
        <v>55</v>
      </c>
      <c r="C28" s="191">
        <v>99.0</v>
      </c>
      <c r="D28" s="191">
        <v>215.0</v>
      </c>
      <c r="E28" s="191">
        <v>214.0</v>
      </c>
      <c r="F28" s="191">
        <f t="shared" si="5"/>
        <v>0</v>
      </c>
      <c r="G28" s="191">
        <f t="shared" si="6"/>
        <v>134.372205</v>
      </c>
      <c r="H28" s="192">
        <f t="shared" si="7"/>
        <v>134.372205</v>
      </c>
      <c r="I28" s="191">
        <v>7.0</v>
      </c>
      <c r="J28" s="194">
        <f t="shared" si="8"/>
        <v>940.605435</v>
      </c>
      <c r="K28" s="139"/>
      <c r="L28" s="176">
        <f t="shared" si="17"/>
        <v>5.461</v>
      </c>
      <c r="M28" s="160">
        <f t="shared" si="18"/>
        <v>7</v>
      </c>
      <c r="N28" s="160">
        <f t="shared" si="19"/>
        <v>38.227</v>
      </c>
      <c r="O28" s="139"/>
      <c r="P28" s="139"/>
      <c r="Q28" s="176"/>
      <c r="R28" s="281">
        <v>29.5</v>
      </c>
      <c r="S28" s="176">
        <f t="shared" si="9"/>
        <v>2.14</v>
      </c>
      <c r="T28" s="160">
        <f t="shared" si="10"/>
        <v>7</v>
      </c>
      <c r="U28" s="160">
        <f t="shared" si="11"/>
        <v>14.98</v>
      </c>
      <c r="V28" s="282">
        <f t="shared" si="12"/>
        <v>134.372205</v>
      </c>
      <c r="W28" s="176">
        <f t="shared" ref="W28:X28" si="25">C28/100</f>
        <v>0.99</v>
      </c>
      <c r="X28" s="176">
        <f t="shared" si="25"/>
        <v>2.15</v>
      </c>
      <c r="Y28" s="176">
        <f t="shared" si="14"/>
        <v>14.98</v>
      </c>
      <c r="Z28" s="283">
        <f t="shared" si="15"/>
        <v>31.88493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0">
        <v>10.0</v>
      </c>
      <c r="B29" s="191" t="s">
        <v>55</v>
      </c>
      <c r="C29" s="191">
        <v>102.0</v>
      </c>
      <c r="D29" s="191">
        <v>215.0</v>
      </c>
      <c r="E29" s="191">
        <v>215.0</v>
      </c>
      <c r="F29" s="191">
        <f t="shared" si="5"/>
        <v>0</v>
      </c>
      <c r="G29" s="191">
        <f t="shared" si="6"/>
        <v>139.091025</v>
      </c>
      <c r="H29" s="192">
        <f t="shared" si="7"/>
        <v>139.091025</v>
      </c>
      <c r="I29" s="191">
        <v>1.0</v>
      </c>
      <c r="J29" s="194">
        <f t="shared" si="8"/>
        <v>139.091025</v>
      </c>
      <c r="K29" s="139"/>
      <c r="L29" s="176">
        <f t="shared" si="17"/>
        <v>5.461</v>
      </c>
      <c r="M29" s="160">
        <f t="shared" si="18"/>
        <v>1</v>
      </c>
      <c r="N29" s="160">
        <f t="shared" si="19"/>
        <v>5.461</v>
      </c>
      <c r="O29" s="139"/>
      <c r="P29" s="139"/>
      <c r="Q29" s="176"/>
      <c r="R29" s="281">
        <v>29.5</v>
      </c>
      <c r="S29" s="176">
        <f t="shared" si="9"/>
        <v>2.15</v>
      </c>
      <c r="T29" s="160">
        <f t="shared" si="10"/>
        <v>1</v>
      </c>
      <c r="U29" s="160">
        <f t="shared" si="11"/>
        <v>2.15</v>
      </c>
      <c r="V29" s="282">
        <f t="shared" si="12"/>
        <v>139.091025</v>
      </c>
      <c r="W29" s="176">
        <f t="shared" ref="W29:X29" si="26">C29/100</f>
        <v>1.02</v>
      </c>
      <c r="X29" s="176">
        <f t="shared" si="26"/>
        <v>2.15</v>
      </c>
      <c r="Y29" s="176">
        <f t="shared" si="14"/>
        <v>2.15</v>
      </c>
      <c r="Z29" s="283">
        <f t="shared" si="15"/>
        <v>4.71495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11.0</v>
      </c>
      <c r="B30" s="191" t="s">
        <v>55</v>
      </c>
      <c r="C30" s="191">
        <v>100.0</v>
      </c>
      <c r="D30" s="191">
        <v>215.0</v>
      </c>
      <c r="E30" s="191">
        <v>215.0</v>
      </c>
      <c r="F30" s="191">
        <f t="shared" si="5"/>
        <v>0</v>
      </c>
      <c r="G30" s="191">
        <f t="shared" si="6"/>
        <v>136.36375</v>
      </c>
      <c r="H30" s="192">
        <f t="shared" si="7"/>
        <v>136.36375</v>
      </c>
      <c r="I30" s="191">
        <v>4.0</v>
      </c>
      <c r="J30" s="194">
        <f t="shared" si="8"/>
        <v>545.455</v>
      </c>
      <c r="K30" s="139"/>
      <c r="L30" s="176">
        <f t="shared" si="17"/>
        <v>5.461</v>
      </c>
      <c r="M30" s="160">
        <f t="shared" si="18"/>
        <v>4</v>
      </c>
      <c r="N30" s="160">
        <f t="shared" si="19"/>
        <v>21.844</v>
      </c>
      <c r="O30" s="139"/>
      <c r="P30" s="139"/>
      <c r="Q30" s="176"/>
      <c r="R30" s="281">
        <v>29.5</v>
      </c>
      <c r="S30" s="176">
        <f t="shared" si="9"/>
        <v>2.15</v>
      </c>
      <c r="T30" s="160">
        <f t="shared" si="10"/>
        <v>4</v>
      </c>
      <c r="U30" s="160">
        <f t="shared" si="11"/>
        <v>8.6</v>
      </c>
      <c r="V30" s="282">
        <f t="shared" si="12"/>
        <v>136.36375</v>
      </c>
      <c r="W30" s="176">
        <f t="shared" ref="W30:X30" si="27">C30/100</f>
        <v>1</v>
      </c>
      <c r="X30" s="176">
        <f t="shared" si="27"/>
        <v>2.15</v>
      </c>
      <c r="Y30" s="176">
        <f t="shared" si="14"/>
        <v>8.6</v>
      </c>
      <c r="Z30" s="283">
        <f t="shared" si="15"/>
        <v>18.49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12.0</v>
      </c>
      <c r="B31" s="191" t="s">
        <v>55</v>
      </c>
      <c r="C31" s="191">
        <v>100.0</v>
      </c>
      <c r="D31" s="191">
        <v>215.0</v>
      </c>
      <c r="E31" s="191">
        <v>214.0</v>
      </c>
      <c r="F31" s="191">
        <f t="shared" si="5"/>
        <v>0</v>
      </c>
      <c r="G31" s="191">
        <f t="shared" si="6"/>
        <v>135.7295</v>
      </c>
      <c r="H31" s="192">
        <f t="shared" si="7"/>
        <v>135.7295</v>
      </c>
      <c r="I31" s="191">
        <v>2.0</v>
      </c>
      <c r="J31" s="194">
        <f t="shared" si="8"/>
        <v>271.459</v>
      </c>
      <c r="K31" s="139"/>
      <c r="L31" s="176">
        <f t="shared" si="17"/>
        <v>5.461</v>
      </c>
      <c r="M31" s="160">
        <f t="shared" si="18"/>
        <v>2</v>
      </c>
      <c r="N31" s="160">
        <f t="shared" si="19"/>
        <v>10.922</v>
      </c>
      <c r="O31" s="139"/>
      <c r="P31" s="139"/>
      <c r="Q31" s="176"/>
      <c r="R31" s="281">
        <v>29.5</v>
      </c>
      <c r="S31" s="176">
        <f t="shared" si="9"/>
        <v>2.14</v>
      </c>
      <c r="T31" s="160">
        <f t="shared" si="10"/>
        <v>2</v>
      </c>
      <c r="U31" s="160">
        <f t="shared" si="11"/>
        <v>4.28</v>
      </c>
      <c r="V31" s="282">
        <f t="shared" si="12"/>
        <v>135.7295</v>
      </c>
      <c r="W31" s="176">
        <f t="shared" ref="W31:X31" si="28">C31/100</f>
        <v>1</v>
      </c>
      <c r="X31" s="176">
        <f t="shared" si="28"/>
        <v>2.15</v>
      </c>
      <c r="Y31" s="176">
        <f t="shared" si="14"/>
        <v>4.28</v>
      </c>
      <c r="Z31" s="283">
        <f t="shared" si="15"/>
        <v>9.202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13.0</v>
      </c>
      <c r="B32" s="191" t="s">
        <v>55</v>
      </c>
      <c r="C32" s="191">
        <v>97.0</v>
      </c>
      <c r="D32" s="191">
        <v>215.0</v>
      </c>
      <c r="E32" s="191">
        <v>214.0</v>
      </c>
      <c r="F32" s="191">
        <f t="shared" si="5"/>
        <v>0</v>
      </c>
      <c r="G32" s="191">
        <f t="shared" si="6"/>
        <v>131.657615</v>
      </c>
      <c r="H32" s="192">
        <f t="shared" si="7"/>
        <v>131.657615</v>
      </c>
      <c r="I32" s="191">
        <v>1.0</v>
      </c>
      <c r="J32" s="194">
        <f t="shared" si="8"/>
        <v>131.657615</v>
      </c>
      <c r="K32" s="139"/>
      <c r="L32" s="176">
        <f t="shared" si="17"/>
        <v>5.461</v>
      </c>
      <c r="M32" s="160">
        <f t="shared" si="18"/>
        <v>1</v>
      </c>
      <c r="N32" s="160">
        <f t="shared" si="19"/>
        <v>5.461</v>
      </c>
      <c r="O32" s="139"/>
      <c r="P32" s="139"/>
      <c r="Q32" s="176"/>
      <c r="R32" s="281">
        <v>29.5</v>
      </c>
      <c r="S32" s="176">
        <f t="shared" si="9"/>
        <v>2.14</v>
      </c>
      <c r="T32" s="160">
        <f t="shared" si="10"/>
        <v>1</v>
      </c>
      <c r="U32" s="160">
        <f t="shared" si="11"/>
        <v>2.14</v>
      </c>
      <c r="V32" s="282">
        <f t="shared" si="12"/>
        <v>131.657615</v>
      </c>
      <c r="W32" s="176">
        <f t="shared" ref="W32:X32" si="29">C32/100</f>
        <v>0.97</v>
      </c>
      <c r="X32" s="176">
        <f t="shared" si="29"/>
        <v>2.15</v>
      </c>
      <c r="Y32" s="176">
        <f t="shared" si="14"/>
        <v>2.14</v>
      </c>
      <c r="Z32" s="283">
        <f t="shared" si="15"/>
        <v>4.46297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14.0</v>
      </c>
      <c r="B33" s="191" t="s">
        <v>55</v>
      </c>
      <c r="C33" s="191">
        <v>90.0</v>
      </c>
      <c r="D33" s="191">
        <v>215.0</v>
      </c>
      <c r="E33" s="191">
        <v>215.0</v>
      </c>
      <c r="F33" s="191">
        <f t="shared" si="5"/>
        <v>0</v>
      </c>
      <c r="G33" s="191">
        <f t="shared" si="6"/>
        <v>122.727375</v>
      </c>
      <c r="H33" s="192">
        <f t="shared" si="7"/>
        <v>122.727375</v>
      </c>
      <c r="I33" s="191">
        <v>1.0</v>
      </c>
      <c r="J33" s="194">
        <f t="shared" si="8"/>
        <v>122.727375</v>
      </c>
      <c r="K33" s="139"/>
      <c r="L33" s="176">
        <f t="shared" si="17"/>
        <v>5.461</v>
      </c>
      <c r="M33" s="160">
        <f t="shared" si="18"/>
        <v>1</v>
      </c>
      <c r="N33" s="160">
        <f t="shared" si="19"/>
        <v>5.461</v>
      </c>
      <c r="O33" s="139"/>
      <c r="P33" s="139"/>
      <c r="Q33" s="176"/>
      <c r="R33" s="281">
        <v>29.5</v>
      </c>
      <c r="S33" s="176">
        <f t="shared" si="9"/>
        <v>2.15</v>
      </c>
      <c r="T33" s="160">
        <f t="shared" si="10"/>
        <v>1</v>
      </c>
      <c r="U33" s="160">
        <f t="shared" si="11"/>
        <v>2.15</v>
      </c>
      <c r="V33" s="282">
        <f t="shared" si="12"/>
        <v>122.727375</v>
      </c>
      <c r="W33" s="176">
        <f t="shared" ref="W33:X33" si="30">C33/100</f>
        <v>0.9</v>
      </c>
      <c r="X33" s="176">
        <f t="shared" si="30"/>
        <v>2.15</v>
      </c>
      <c r="Y33" s="176">
        <f t="shared" si="14"/>
        <v>2.15</v>
      </c>
      <c r="Z33" s="283">
        <f t="shared" si="15"/>
        <v>4.16025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15.0</v>
      </c>
      <c r="B34" s="191" t="s">
        <v>55</v>
      </c>
      <c r="C34" s="191">
        <v>101.0</v>
      </c>
      <c r="D34" s="191">
        <v>215.0</v>
      </c>
      <c r="E34" s="191">
        <v>215.0</v>
      </c>
      <c r="F34" s="191">
        <f t="shared" si="5"/>
        <v>0</v>
      </c>
      <c r="G34" s="191">
        <f t="shared" si="6"/>
        <v>137.7273875</v>
      </c>
      <c r="H34" s="192">
        <f t="shared" si="7"/>
        <v>137.7273875</v>
      </c>
      <c r="I34" s="191">
        <v>1.0</v>
      </c>
      <c r="J34" s="194">
        <f t="shared" si="8"/>
        <v>137.7273875</v>
      </c>
      <c r="K34" s="139"/>
      <c r="L34" s="176">
        <f t="shared" si="17"/>
        <v>5.461</v>
      </c>
      <c r="M34" s="160">
        <f t="shared" si="18"/>
        <v>1</v>
      </c>
      <c r="N34" s="160">
        <f t="shared" si="19"/>
        <v>5.461</v>
      </c>
      <c r="O34" s="139"/>
      <c r="P34" s="139"/>
      <c r="Q34" s="176"/>
      <c r="R34" s="281">
        <v>29.5</v>
      </c>
      <c r="S34" s="176">
        <f t="shared" si="9"/>
        <v>2.15</v>
      </c>
      <c r="T34" s="160">
        <f t="shared" si="10"/>
        <v>1</v>
      </c>
      <c r="U34" s="160">
        <f t="shared" si="11"/>
        <v>2.15</v>
      </c>
      <c r="V34" s="282">
        <f t="shared" si="12"/>
        <v>137.7273875</v>
      </c>
      <c r="W34" s="176">
        <f t="shared" ref="W34:X34" si="31">C34/100</f>
        <v>1.01</v>
      </c>
      <c r="X34" s="176">
        <f t="shared" si="31"/>
        <v>2.15</v>
      </c>
      <c r="Y34" s="176">
        <f t="shared" si="14"/>
        <v>2.15</v>
      </c>
      <c r="Z34" s="283">
        <f t="shared" si="15"/>
        <v>4.668725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16.0</v>
      </c>
      <c r="B35" s="191" t="s">
        <v>55</v>
      </c>
      <c r="C35" s="191">
        <v>79.0</v>
      </c>
      <c r="D35" s="191">
        <v>215.0</v>
      </c>
      <c r="E35" s="191">
        <v>216.0</v>
      </c>
      <c r="F35" s="191">
        <f t="shared" si="5"/>
        <v>0</v>
      </c>
      <c r="G35" s="191">
        <f t="shared" si="6"/>
        <v>108.22842</v>
      </c>
      <c r="H35" s="192">
        <f t="shared" si="7"/>
        <v>108.22842</v>
      </c>
      <c r="I35" s="191">
        <v>1.0</v>
      </c>
      <c r="J35" s="194">
        <f t="shared" si="8"/>
        <v>108.22842</v>
      </c>
      <c r="K35" s="139"/>
      <c r="L35" s="176">
        <f t="shared" si="17"/>
        <v>5.461</v>
      </c>
      <c r="M35" s="160">
        <f t="shared" si="18"/>
        <v>1</v>
      </c>
      <c r="N35" s="160">
        <f t="shared" si="19"/>
        <v>5.461</v>
      </c>
      <c r="O35" s="139"/>
      <c r="P35" s="139"/>
      <c r="Q35" s="176"/>
      <c r="R35" s="281">
        <v>29.5</v>
      </c>
      <c r="S35" s="176">
        <f t="shared" si="9"/>
        <v>2.16</v>
      </c>
      <c r="T35" s="160">
        <f t="shared" si="10"/>
        <v>1</v>
      </c>
      <c r="U35" s="160">
        <f t="shared" si="11"/>
        <v>2.16</v>
      </c>
      <c r="V35" s="282">
        <f t="shared" si="12"/>
        <v>108.22842</v>
      </c>
      <c r="W35" s="176">
        <f t="shared" ref="W35:X35" si="32">C35/100</f>
        <v>0.79</v>
      </c>
      <c r="X35" s="176">
        <f t="shared" si="32"/>
        <v>2.15</v>
      </c>
      <c r="Y35" s="176">
        <f t="shared" si="14"/>
        <v>2.16</v>
      </c>
      <c r="Z35" s="283">
        <f t="shared" si="15"/>
        <v>3.66876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17.0</v>
      </c>
      <c r="B36" s="191" t="s">
        <v>55</v>
      </c>
      <c r="C36" s="191">
        <v>100.0</v>
      </c>
      <c r="D36" s="191">
        <v>215.0</v>
      </c>
      <c r="E36" s="191">
        <v>202.0</v>
      </c>
      <c r="F36" s="191">
        <f t="shared" si="5"/>
        <v>0</v>
      </c>
      <c r="G36" s="191">
        <f t="shared" si="6"/>
        <v>128.1185</v>
      </c>
      <c r="H36" s="192">
        <f t="shared" si="7"/>
        <v>128.1185</v>
      </c>
      <c r="I36" s="191">
        <v>1.0</v>
      </c>
      <c r="J36" s="194">
        <f t="shared" si="8"/>
        <v>128.1185</v>
      </c>
      <c r="K36" s="139"/>
      <c r="L36" s="176">
        <f t="shared" si="17"/>
        <v>5.461</v>
      </c>
      <c r="M36" s="160">
        <f t="shared" si="18"/>
        <v>1</v>
      </c>
      <c r="N36" s="160">
        <f t="shared" si="19"/>
        <v>5.461</v>
      </c>
      <c r="O36" s="139"/>
      <c r="P36" s="139"/>
      <c r="Q36" s="176"/>
      <c r="R36" s="281">
        <v>29.5</v>
      </c>
      <c r="S36" s="176">
        <f t="shared" si="9"/>
        <v>2.02</v>
      </c>
      <c r="T36" s="160">
        <f t="shared" si="10"/>
        <v>1</v>
      </c>
      <c r="U36" s="160">
        <f t="shared" si="11"/>
        <v>2.02</v>
      </c>
      <c r="V36" s="282">
        <f t="shared" si="12"/>
        <v>128.1185</v>
      </c>
      <c r="W36" s="176">
        <f t="shared" ref="W36:X36" si="33">C36/100</f>
        <v>1</v>
      </c>
      <c r="X36" s="176">
        <f t="shared" si="33"/>
        <v>2.15</v>
      </c>
      <c r="Y36" s="176">
        <f t="shared" si="14"/>
        <v>2.02</v>
      </c>
      <c r="Z36" s="283">
        <f t="shared" si="15"/>
        <v>4.343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18.0</v>
      </c>
      <c r="B37" s="182" t="s">
        <v>65</v>
      </c>
      <c r="C37" s="183">
        <v>84.0</v>
      </c>
      <c r="D37" s="183">
        <v>210.0</v>
      </c>
      <c r="E37" s="183">
        <v>240.0</v>
      </c>
      <c r="F37" s="183">
        <f t="shared" si="5"/>
        <v>0.8</v>
      </c>
      <c r="G37" s="183">
        <f t="shared" si="6"/>
        <v>124.8912</v>
      </c>
      <c r="H37" s="184">
        <f t="shared" si="7"/>
        <v>99.91296</v>
      </c>
      <c r="I37" s="183">
        <v>1.0</v>
      </c>
      <c r="J37" s="185">
        <f t="shared" si="8"/>
        <v>99.91296</v>
      </c>
      <c r="K37" s="139"/>
      <c r="L37" s="176">
        <f t="shared" si="17"/>
        <v>5.334</v>
      </c>
      <c r="M37" s="160">
        <f t="shared" si="18"/>
        <v>1</v>
      </c>
      <c r="N37" s="160">
        <f t="shared" si="19"/>
        <v>5.334</v>
      </c>
      <c r="O37" s="139"/>
      <c r="P37" s="139"/>
      <c r="Q37" s="176"/>
      <c r="R37" s="281">
        <v>29.5</v>
      </c>
      <c r="S37" s="176">
        <f t="shared" si="9"/>
        <v>2.4</v>
      </c>
      <c r="T37" s="160">
        <f t="shared" si="10"/>
        <v>1</v>
      </c>
      <c r="U37" s="160">
        <f t="shared" si="11"/>
        <v>2.4</v>
      </c>
      <c r="V37" s="282">
        <f t="shared" si="12"/>
        <v>124.8912</v>
      </c>
      <c r="W37" s="176">
        <f t="shared" ref="W37:X37" si="34">C37/100</f>
        <v>0.84</v>
      </c>
      <c r="X37" s="176">
        <f t="shared" si="34"/>
        <v>2.1</v>
      </c>
      <c r="Y37" s="176">
        <f t="shared" si="14"/>
        <v>2.4</v>
      </c>
      <c r="Z37" s="283">
        <f t="shared" si="15"/>
        <v>4.2336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19.0</v>
      </c>
      <c r="B38" s="191" t="s">
        <v>56</v>
      </c>
      <c r="C38" s="191">
        <v>99.0</v>
      </c>
      <c r="D38" s="191">
        <v>210.0</v>
      </c>
      <c r="E38" s="191">
        <v>240.0</v>
      </c>
      <c r="F38" s="191">
        <f t="shared" si="5"/>
        <v>0</v>
      </c>
      <c r="G38" s="191">
        <f t="shared" si="6"/>
        <v>147.1932</v>
      </c>
      <c r="H38" s="192">
        <f t="shared" si="7"/>
        <v>147.1932</v>
      </c>
      <c r="I38" s="191">
        <v>3.0</v>
      </c>
      <c r="J38" s="194">
        <f t="shared" si="8"/>
        <v>441.5796</v>
      </c>
      <c r="K38" s="139"/>
      <c r="L38" s="176">
        <f t="shared" si="17"/>
        <v>5.334</v>
      </c>
      <c r="M38" s="160">
        <f t="shared" si="18"/>
        <v>3</v>
      </c>
      <c r="N38" s="160">
        <f t="shared" si="19"/>
        <v>16.002</v>
      </c>
      <c r="O38" s="139"/>
      <c r="P38" s="139"/>
      <c r="Q38" s="176"/>
      <c r="R38" s="281">
        <v>29.5</v>
      </c>
      <c r="S38" s="176">
        <f t="shared" si="9"/>
        <v>2.4</v>
      </c>
      <c r="T38" s="160">
        <f t="shared" si="10"/>
        <v>3</v>
      </c>
      <c r="U38" s="160">
        <f t="shared" si="11"/>
        <v>7.2</v>
      </c>
      <c r="V38" s="282">
        <f t="shared" si="12"/>
        <v>147.1932</v>
      </c>
      <c r="W38" s="176">
        <f t="shared" ref="W38:X38" si="35">C38/100</f>
        <v>0.99</v>
      </c>
      <c r="X38" s="176">
        <f t="shared" si="35"/>
        <v>2.1</v>
      </c>
      <c r="Y38" s="176">
        <f t="shared" si="14"/>
        <v>7.2</v>
      </c>
      <c r="Z38" s="283">
        <f t="shared" si="15"/>
        <v>14.9688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20.0</v>
      </c>
      <c r="B39" s="191" t="s">
        <v>56</v>
      </c>
      <c r="C39" s="191">
        <v>100.0</v>
      </c>
      <c r="D39" s="191">
        <v>210.0</v>
      </c>
      <c r="E39" s="191">
        <v>241.0</v>
      </c>
      <c r="F39" s="191">
        <f t="shared" si="5"/>
        <v>0</v>
      </c>
      <c r="G39" s="191">
        <f t="shared" si="6"/>
        <v>149.2995</v>
      </c>
      <c r="H39" s="192">
        <f t="shared" si="7"/>
        <v>149.2995</v>
      </c>
      <c r="I39" s="191">
        <v>2.0</v>
      </c>
      <c r="J39" s="194">
        <f t="shared" si="8"/>
        <v>298.599</v>
      </c>
      <c r="K39" s="139"/>
      <c r="L39" s="176">
        <f t="shared" si="17"/>
        <v>5.334</v>
      </c>
      <c r="M39" s="160">
        <f t="shared" si="18"/>
        <v>2</v>
      </c>
      <c r="N39" s="160">
        <f t="shared" si="19"/>
        <v>10.668</v>
      </c>
      <c r="O39" s="139"/>
      <c r="P39" s="139"/>
      <c r="Q39" s="176"/>
      <c r="R39" s="281">
        <v>29.5</v>
      </c>
      <c r="S39" s="176">
        <f t="shared" si="9"/>
        <v>2.41</v>
      </c>
      <c r="T39" s="160">
        <f t="shared" si="10"/>
        <v>2</v>
      </c>
      <c r="U39" s="160">
        <f t="shared" si="11"/>
        <v>4.82</v>
      </c>
      <c r="V39" s="282">
        <f t="shared" si="12"/>
        <v>149.2995</v>
      </c>
      <c r="W39" s="176">
        <f t="shared" ref="W39:X39" si="36">C39/100</f>
        <v>1</v>
      </c>
      <c r="X39" s="176">
        <f t="shared" si="36"/>
        <v>2.1</v>
      </c>
      <c r="Y39" s="176">
        <f t="shared" si="14"/>
        <v>4.82</v>
      </c>
      <c r="Z39" s="283">
        <f t="shared" si="15"/>
        <v>10.122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21.0</v>
      </c>
      <c r="B40" s="191" t="s">
        <v>56</v>
      </c>
      <c r="C40" s="191">
        <v>100.0</v>
      </c>
      <c r="D40" s="191">
        <v>210.0</v>
      </c>
      <c r="E40" s="191">
        <v>240.0</v>
      </c>
      <c r="F40" s="191">
        <f t="shared" si="5"/>
        <v>0</v>
      </c>
      <c r="G40" s="191">
        <f t="shared" si="6"/>
        <v>148.68</v>
      </c>
      <c r="H40" s="192">
        <f t="shared" si="7"/>
        <v>148.68</v>
      </c>
      <c r="I40" s="191">
        <v>7.0</v>
      </c>
      <c r="J40" s="194">
        <f t="shared" si="8"/>
        <v>1040.76</v>
      </c>
      <c r="K40" s="139"/>
      <c r="L40" s="176">
        <f t="shared" si="17"/>
        <v>5.334</v>
      </c>
      <c r="M40" s="160">
        <f t="shared" si="18"/>
        <v>7</v>
      </c>
      <c r="N40" s="160">
        <f t="shared" si="19"/>
        <v>37.338</v>
      </c>
      <c r="O40" s="139"/>
      <c r="P40" s="139"/>
      <c r="Q40" s="176"/>
      <c r="R40" s="281">
        <v>29.5</v>
      </c>
      <c r="S40" s="176">
        <f t="shared" si="9"/>
        <v>2.4</v>
      </c>
      <c r="T40" s="160">
        <f t="shared" si="10"/>
        <v>7</v>
      </c>
      <c r="U40" s="160">
        <f t="shared" si="11"/>
        <v>16.8</v>
      </c>
      <c r="V40" s="282">
        <f t="shared" si="12"/>
        <v>148.68</v>
      </c>
      <c r="W40" s="176">
        <f t="shared" ref="W40:X40" si="37">C40/100</f>
        <v>1</v>
      </c>
      <c r="X40" s="176">
        <f t="shared" si="37"/>
        <v>2.1</v>
      </c>
      <c r="Y40" s="176">
        <f t="shared" si="14"/>
        <v>16.8</v>
      </c>
      <c r="Z40" s="283">
        <f t="shared" si="15"/>
        <v>35.28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22.0</v>
      </c>
      <c r="B41" s="191" t="s">
        <v>56</v>
      </c>
      <c r="C41" s="191">
        <v>99.0</v>
      </c>
      <c r="D41" s="191">
        <v>210.0</v>
      </c>
      <c r="E41" s="191">
        <v>209.0</v>
      </c>
      <c r="F41" s="191">
        <f t="shared" si="5"/>
        <v>0</v>
      </c>
      <c r="G41" s="191">
        <f t="shared" si="6"/>
        <v>128.180745</v>
      </c>
      <c r="H41" s="192">
        <f t="shared" si="7"/>
        <v>128.180745</v>
      </c>
      <c r="I41" s="191">
        <v>2.0</v>
      </c>
      <c r="J41" s="194">
        <f t="shared" si="8"/>
        <v>256.36149</v>
      </c>
      <c r="K41" s="139"/>
      <c r="L41" s="176">
        <f t="shared" si="17"/>
        <v>5.334</v>
      </c>
      <c r="M41" s="160">
        <f t="shared" si="18"/>
        <v>2</v>
      </c>
      <c r="N41" s="160">
        <f t="shared" si="19"/>
        <v>10.668</v>
      </c>
      <c r="O41" s="139"/>
      <c r="P41" s="139"/>
      <c r="Q41" s="176"/>
      <c r="R41" s="281">
        <v>29.5</v>
      </c>
      <c r="S41" s="176">
        <f t="shared" si="9"/>
        <v>2.09</v>
      </c>
      <c r="T41" s="160">
        <f t="shared" si="10"/>
        <v>2</v>
      </c>
      <c r="U41" s="160">
        <f t="shared" si="11"/>
        <v>4.18</v>
      </c>
      <c r="V41" s="282">
        <f t="shared" si="12"/>
        <v>128.180745</v>
      </c>
      <c r="W41" s="176">
        <f t="shared" ref="W41:X41" si="38">C41/100</f>
        <v>0.99</v>
      </c>
      <c r="X41" s="176">
        <f t="shared" si="38"/>
        <v>2.1</v>
      </c>
      <c r="Y41" s="176">
        <f t="shared" si="14"/>
        <v>4.18</v>
      </c>
      <c r="Z41" s="283">
        <f t="shared" si="15"/>
        <v>8.69022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23.0</v>
      </c>
      <c r="B42" s="191" t="s">
        <v>56</v>
      </c>
      <c r="C42" s="191">
        <v>100.0</v>
      </c>
      <c r="D42" s="191">
        <v>210.0</v>
      </c>
      <c r="E42" s="191">
        <v>239.0</v>
      </c>
      <c r="F42" s="191">
        <f t="shared" si="5"/>
        <v>0</v>
      </c>
      <c r="G42" s="191">
        <f t="shared" si="6"/>
        <v>148.0605</v>
      </c>
      <c r="H42" s="192">
        <f t="shared" si="7"/>
        <v>148.0605</v>
      </c>
      <c r="I42" s="191">
        <v>2.0</v>
      </c>
      <c r="J42" s="194">
        <f t="shared" si="8"/>
        <v>296.121</v>
      </c>
      <c r="K42" s="139"/>
      <c r="L42" s="176">
        <f t="shared" si="17"/>
        <v>5.334</v>
      </c>
      <c r="M42" s="160">
        <f t="shared" si="18"/>
        <v>2</v>
      </c>
      <c r="N42" s="160">
        <f t="shared" si="19"/>
        <v>10.668</v>
      </c>
      <c r="O42" s="139"/>
      <c r="P42" s="139"/>
      <c r="Q42" s="176"/>
      <c r="R42" s="281">
        <v>29.5</v>
      </c>
      <c r="S42" s="176">
        <f t="shared" si="9"/>
        <v>2.39</v>
      </c>
      <c r="T42" s="160">
        <f t="shared" si="10"/>
        <v>2</v>
      </c>
      <c r="U42" s="160">
        <f t="shared" si="11"/>
        <v>4.78</v>
      </c>
      <c r="V42" s="282">
        <f t="shared" si="12"/>
        <v>148.0605</v>
      </c>
      <c r="W42" s="176">
        <f t="shared" ref="W42:X42" si="39">C42/100</f>
        <v>1</v>
      </c>
      <c r="X42" s="176">
        <f t="shared" si="39"/>
        <v>2.1</v>
      </c>
      <c r="Y42" s="176">
        <f t="shared" si="14"/>
        <v>4.78</v>
      </c>
      <c r="Z42" s="283">
        <f t="shared" si="15"/>
        <v>10.038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24.0</v>
      </c>
      <c r="B43" s="191" t="s">
        <v>56</v>
      </c>
      <c r="C43" s="191">
        <v>98.0</v>
      </c>
      <c r="D43" s="191">
        <v>210.0</v>
      </c>
      <c r="E43" s="191">
        <v>210.0</v>
      </c>
      <c r="F43" s="191">
        <f t="shared" si="5"/>
        <v>0</v>
      </c>
      <c r="G43" s="191">
        <f t="shared" si="6"/>
        <v>127.4931</v>
      </c>
      <c r="H43" s="192">
        <f t="shared" si="7"/>
        <v>127.4931</v>
      </c>
      <c r="I43" s="191">
        <v>4.0</v>
      </c>
      <c r="J43" s="194">
        <f t="shared" si="8"/>
        <v>509.9724</v>
      </c>
      <c r="K43" s="139"/>
      <c r="L43" s="176">
        <f t="shared" si="17"/>
        <v>5.334</v>
      </c>
      <c r="M43" s="160">
        <f t="shared" si="18"/>
        <v>4</v>
      </c>
      <c r="N43" s="160">
        <f t="shared" si="19"/>
        <v>21.336</v>
      </c>
      <c r="O43" s="139"/>
      <c r="P43" s="139"/>
      <c r="Q43" s="176"/>
      <c r="R43" s="281">
        <v>29.5</v>
      </c>
      <c r="S43" s="176">
        <f t="shared" si="9"/>
        <v>2.1</v>
      </c>
      <c r="T43" s="160">
        <f t="shared" si="10"/>
        <v>4</v>
      </c>
      <c r="U43" s="160">
        <f t="shared" si="11"/>
        <v>8.4</v>
      </c>
      <c r="V43" s="282">
        <f t="shared" si="12"/>
        <v>127.4931</v>
      </c>
      <c r="W43" s="176">
        <f t="shared" ref="W43:X43" si="40">C43/100</f>
        <v>0.98</v>
      </c>
      <c r="X43" s="176">
        <f t="shared" si="40"/>
        <v>2.1</v>
      </c>
      <c r="Y43" s="176">
        <f t="shared" si="14"/>
        <v>8.4</v>
      </c>
      <c r="Z43" s="283">
        <f t="shared" si="15"/>
        <v>17.2872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25.0</v>
      </c>
      <c r="B44" s="191" t="s">
        <v>56</v>
      </c>
      <c r="C44" s="191">
        <v>99.0</v>
      </c>
      <c r="D44" s="191">
        <v>210.0</v>
      </c>
      <c r="E44" s="191">
        <v>210.0</v>
      </c>
      <c r="F44" s="191">
        <f t="shared" si="5"/>
        <v>0</v>
      </c>
      <c r="G44" s="191">
        <f t="shared" si="6"/>
        <v>128.79405</v>
      </c>
      <c r="H44" s="192">
        <f t="shared" si="7"/>
        <v>128.79405</v>
      </c>
      <c r="I44" s="191">
        <v>1.0</v>
      </c>
      <c r="J44" s="194">
        <f t="shared" si="8"/>
        <v>128.79405</v>
      </c>
      <c r="K44" s="139"/>
      <c r="L44" s="176">
        <f t="shared" si="17"/>
        <v>5.334</v>
      </c>
      <c r="M44" s="160">
        <f t="shared" si="18"/>
        <v>1</v>
      </c>
      <c r="N44" s="160">
        <f t="shared" si="19"/>
        <v>5.334</v>
      </c>
      <c r="O44" s="139"/>
      <c r="P44" s="139"/>
      <c r="Q44" s="176"/>
      <c r="R44" s="281">
        <v>29.5</v>
      </c>
      <c r="S44" s="176">
        <f t="shared" si="9"/>
        <v>2.1</v>
      </c>
      <c r="T44" s="160">
        <f t="shared" si="10"/>
        <v>1</v>
      </c>
      <c r="U44" s="160">
        <f t="shared" si="11"/>
        <v>2.1</v>
      </c>
      <c r="V44" s="282">
        <f t="shared" si="12"/>
        <v>128.79405</v>
      </c>
      <c r="W44" s="176">
        <f t="shared" ref="W44:X44" si="41">C44/100</f>
        <v>0.99</v>
      </c>
      <c r="X44" s="176">
        <f t="shared" si="41"/>
        <v>2.1</v>
      </c>
      <c r="Y44" s="176">
        <f t="shared" si="14"/>
        <v>2.1</v>
      </c>
      <c r="Z44" s="283">
        <f t="shared" si="15"/>
        <v>4.3659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26.0</v>
      </c>
      <c r="B45" s="191" t="s">
        <v>56</v>
      </c>
      <c r="C45" s="191">
        <v>82.0</v>
      </c>
      <c r="D45" s="191">
        <v>210.0</v>
      </c>
      <c r="E45" s="191">
        <v>116.0</v>
      </c>
      <c r="F45" s="191">
        <f t="shared" si="5"/>
        <v>0</v>
      </c>
      <c r="G45" s="191">
        <f t="shared" si="6"/>
        <v>58.92684</v>
      </c>
      <c r="H45" s="192">
        <f t="shared" si="7"/>
        <v>58.92684</v>
      </c>
      <c r="I45" s="191">
        <v>1.0</v>
      </c>
      <c r="J45" s="194">
        <f t="shared" si="8"/>
        <v>58.92684</v>
      </c>
      <c r="K45" s="139"/>
      <c r="L45" s="197"/>
      <c r="M45" s="198">
        <f t="shared" si="18"/>
        <v>1</v>
      </c>
      <c r="N45" s="198"/>
      <c r="O45" s="139"/>
      <c r="P45" s="139"/>
      <c r="Q45" s="176"/>
      <c r="R45" s="281">
        <v>29.5</v>
      </c>
      <c r="S45" s="176">
        <f t="shared" si="9"/>
        <v>1.16</v>
      </c>
      <c r="T45" s="160">
        <f t="shared" si="10"/>
        <v>1</v>
      </c>
      <c r="U45" s="160">
        <f t="shared" si="11"/>
        <v>1.16</v>
      </c>
      <c r="V45" s="282">
        <f t="shared" si="12"/>
        <v>58.92684</v>
      </c>
      <c r="W45" s="176">
        <f t="shared" ref="W45:X45" si="42">C45/100</f>
        <v>0.82</v>
      </c>
      <c r="X45" s="176">
        <f t="shared" si="42"/>
        <v>2.1</v>
      </c>
      <c r="Y45" s="176">
        <f t="shared" si="14"/>
        <v>1.16</v>
      </c>
      <c r="Z45" s="283">
        <f t="shared" si="15"/>
        <v>1.99752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27.0</v>
      </c>
      <c r="B46" s="191" t="s">
        <v>56</v>
      </c>
      <c r="C46" s="191">
        <v>103.0</v>
      </c>
      <c r="D46" s="191">
        <v>210.0</v>
      </c>
      <c r="E46" s="191">
        <v>240.0</v>
      </c>
      <c r="F46" s="191">
        <f t="shared" si="5"/>
        <v>0</v>
      </c>
      <c r="G46" s="191">
        <f t="shared" si="6"/>
        <v>153.1404</v>
      </c>
      <c r="H46" s="192">
        <f t="shared" si="7"/>
        <v>153.1404</v>
      </c>
      <c r="I46" s="191">
        <v>1.0</v>
      </c>
      <c r="J46" s="194">
        <f t="shared" si="8"/>
        <v>153.1404</v>
      </c>
      <c r="K46" s="139"/>
      <c r="L46" s="197"/>
      <c r="M46" s="198">
        <f t="shared" si="18"/>
        <v>1</v>
      </c>
      <c r="N46" s="198"/>
      <c r="O46" s="139"/>
      <c r="P46" s="139"/>
      <c r="Q46" s="176"/>
      <c r="R46" s="281">
        <v>29.5</v>
      </c>
      <c r="S46" s="176">
        <f t="shared" si="9"/>
        <v>2.4</v>
      </c>
      <c r="T46" s="160">
        <f t="shared" si="10"/>
        <v>1</v>
      </c>
      <c r="U46" s="160">
        <f t="shared" si="11"/>
        <v>2.4</v>
      </c>
      <c r="V46" s="282">
        <f t="shared" si="12"/>
        <v>153.1404</v>
      </c>
      <c r="W46" s="176">
        <f t="shared" ref="W46:X46" si="43">C46/100</f>
        <v>1.03</v>
      </c>
      <c r="X46" s="176">
        <f t="shared" si="43"/>
        <v>2.1</v>
      </c>
      <c r="Y46" s="176">
        <f t="shared" si="14"/>
        <v>2.4</v>
      </c>
      <c r="Z46" s="283">
        <f t="shared" si="15"/>
        <v>5.1912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28.0</v>
      </c>
      <c r="B47" s="191" t="s">
        <v>56</v>
      </c>
      <c r="C47" s="191">
        <v>102.0</v>
      </c>
      <c r="D47" s="191">
        <v>210.0</v>
      </c>
      <c r="E47" s="191">
        <v>240.0</v>
      </c>
      <c r="F47" s="191">
        <f t="shared" si="5"/>
        <v>0</v>
      </c>
      <c r="G47" s="191">
        <f t="shared" si="6"/>
        <v>151.6536</v>
      </c>
      <c r="H47" s="192">
        <f t="shared" si="7"/>
        <v>151.6536</v>
      </c>
      <c r="I47" s="191">
        <v>1.0</v>
      </c>
      <c r="J47" s="194">
        <f t="shared" si="8"/>
        <v>151.6536</v>
      </c>
      <c r="K47" s="139"/>
      <c r="L47" s="197"/>
      <c r="M47" s="198">
        <f t="shared" si="18"/>
        <v>1</v>
      </c>
      <c r="N47" s="198"/>
      <c r="O47" s="139"/>
      <c r="P47" s="139"/>
      <c r="Q47" s="176"/>
      <c r="R47" s="281">
        <v>29.5</v>
      </c>
      <c r="S47" s="176">
        <f t="shared" si="9"/>
        <v>2.4</v>
      </c>
      <c r="T47" s="160">
        <f t="shared" si="10"/>
        <v>1</v>
      </c>
      <c r="U47" s="160">
        <f t="shared" si="11"/>
        <v>2.4</v>
      </c>
      <c r="V47" s="282">
        <f t="shared" si="12"/>
        <v>151.6536</v>
      </c>
      <c r="W47" s="176">
        <f t="shared" ref="W47:X47" si="44">C47/100</f>
        <v>1.02</v>
      </c>
      <c r="X47" s="176">
        <f t="shared" si="44"/>
        <v>2.1</v>
      </c>
      <c r="Y47" s="176">
        <f t="shared" si="14"/>
        <v>2.4</v>
      </c>
      <c r="Z47" s="283">
        <f t="shared" si="15"/>
        <v>5.1408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29.0</v>
      </c>
      <c r="B48" s="191" t="s">
        <v>56</v>
      </c>
      <c r="C48" s="191">
        <v>102.0</v>
      </c>
      <c r="D48" s="191">
        <v>210.0</v>
      </c>
      <c r="E48" s="191">
        <v>239.0</v>
      </c>
      <c r="F48" s="191">
        <f t="shared" si="5"/>
        <v>0</v>
      </c>
      <c r="G48" s="191">
        <f t="shared" si="6"/>
        <v>151.02171</v>
      </c>
      <c r="H48" s="192">
        <f t="shared" si="7"/>
        <v>151.02171</v>
      </c>
      <c r="I48" s="191">
        <v>1.0</v>
      </c>
      <c r="J48" s="194">
        <f t="shared" si="8"/>
        <v>151.02171</v>
      </c>
      <c r="K48" s="139"/>
      <c r="L48" s="197"/>
      <c r="M48" s="198">
        <f t="shared" si="18"/>
        <v>1</v>
      </c>
      <c r="N48" s="198"/>
      <c r="O48" s="139"/>
      <c r="P48" s="139"/>
      <c r="Q48" s="176"/>
      <c r="R48" s="281">
        <v>29.5</v>
      </c>
      <c r="S48" s="176">
        <f t="shared" si="9"/>
        <v>2.39</v>
      </c>
      <c r="T48" s="160">
        <f t="shared" si="10"/>
        <v>1</v>
      </c>
      <c r="U48" s="160">
        <f t="shared" si="11"/>
        <v>2.39</v>
      </c>
      <c r="V48" s="282">
        <f t="shared" si="12"/>
        <v>151.02171</v>
      </c>
      <c r="W48" s="176">
        <f t="shared" ref="W48:X48" si="45">C48/100</f>
        <v>1.02</v>
      </c>
      <c r="X48" s="176">
        <f t="shared" si="45"/>
        <v>2.1</v>
      </c>
      <c r="Y48" s="176">
        <f t="shared" si="14"/>
        <v>2.39</v>
      </c>
      <c r="Z48" s="283">
        <f t="shared" si="15"/>
        <v>5.11938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30.0</v>
      </c>
      <c r="B49" s="191" t="s">
        <v>56</v>
      </c>
      <c r="C49" s="191">
        <v>98.0</v>
      </c>
      <c r="D49" s="191">
        <v>210.0</v>
      </c>
      <c r="E49" s="191">
        <v>240.0</v>
      </c>
      <c r="F49" s="191">
        <f t="shared" si="5"/>
        <v>0</v>
      </c>
      <c r="G49" s="191">
        <f t="shared" si="6"/>
        <v>145.7064</v>
      </c>
      <c r="H49" s="192">
        <f t="shared" si="7"/>
        <v>145.7064</v>
      </c>
      <c r="I49" s="191">
        <v>1.0</v>
      </c>
      <c r="J49" s="194">
        <f t="shared" si="8"/>
        <v>145.7064</v>
      </c>
      <c r="K49" s="139"/>
      <c r="L49" s="197"/>
      <c r="M49" s="198">
        <f t="shared" si="18"/>
        <v>1</v>
      </c>
      <c r="N49" s="198"/>
      <c r="O49" s="139"/>
      <c r="P49" s="139"/>
      <c r="Q49" s="176"/>
      <c r="R49" s="281">
        <v>29.5</v>
      </c>
      <c r="S49" s="176">
        <f t="shared" si="9"/>
        <v>2.4</v>
      </c>
      <c r="T49" s="160">
        <f t="shared" si="10"/>
        <v>1</v>
      </c>
      <c r="U49" s="160">
        <f t="shared" si="11"/>
        <v>2.4</v>
      </c>
      <c r="V49" s="282">
        <f t="shared" si="12"/>
        <v>145.7064</v>
      </c>
      <c r="W49" s="176">
        <f t="shared" ref="W49:X49" si="46">C49/100</f>
        <v>0.98</v>
      </c>
      <c r="X49" s="176">
        <f t="shared" si="46"/>
        <v>2.1</v>
      </c>
      <c r="Y49" s="176">
        <f t="shared" si="14"/>
        <v>2.4</v>
      </c>
      <c r="Z49" s="283">
        <f t="shared" si="15"/>
        <v>4.9392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31.0</v>
      </c>
      <c r="B50" s="191" t="s">
        <v>56</v>
      </c>
      <c r="C50" s="191">
        <v>98.0</v>
      </c>
      <c r="D50" s="191">
        <v>210.0</v>
      </c>
      <c r="E50" s="191">
        <v>209.0</v>
      </c>
      <c r="F50" s="191">
        <f t="shared" si="5"/>
        <v>0</v>
      </c>
      <c r="G50" s="191">
        <f t="shared" si="6"/>
        <v>126.88599</v>
      </c>
      <c r="H50" s="192">
        <f t="shared" si="7"/>
        <v>126.88599</v>
      </c>
      <c r="I50" s="191">
        <v>1.0</v>
      </c>
      <c r="J50" s="194">
        <f t="shared" si="8"/>
        <v>126.88599</v>
      </c>
      <c r="K50" s="139"/>
      <c r="L50" s="197"/>
      <c r="M50" s="198">
        <f t="shared" si="18"/>
        <v>1</v>
      </c>
      <c r="N50" s="198"/>
      <c r="O50" s="139"/>
      <c r="P50" s="139"/>
      <c r="Q50" s="176"/>
      <c r="R50" s="281">
        <v>29.5</v>
      </c>
      <c r="S50" s="176">
        <f t="shared" si="9"/>
        <v>2.09</v>
      </c>
      <c r="T50" s="160">
        <f t="shared" si="10"/>
        <v>1</v>
      </c>
      <c r="U50" s="160">
        <f t="shared" si="11"/>
        <v>2.09</v>
      </c>
      <c r="V50" s="282">
        <f t="shared" si="12"/>
        <v>126.88599</v>
      </c>
      <c r="W50" s="176">
        <f t="shared" ref="W50:X50" si="47">C50/100</f>
        <v>0.98</v>
      </c>
      <c r="X50" s="176">
        <f t="shared" si="47"/>
        <v>2.1</v>
      </c>
      <c r="Y50" s="176">
        <f t="shared" si="14"/>
        <v>2.09</v>
      </c>
      <c r="Z50" s="283">
        <f t="shared" si="15"/>
        <v>4.30122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32.0</v>
      </c>
      <c r="B51" s="191" t="s">
        <v>56</v>
      </c>
      <c r="C51" s="191">
        <v>97.0</v>
      </c>
      <c r="D51" s="191">
        <v>210.0</v>
      </c>
      <c r="E51" s="191">
        <v>212.0</v>
      </c>
      <c r="F51" s="191">
        <f t="shared" si="5"/>
        <v>0</v>
      </c>
      <c r="G51" s="191">
        <f t="shared" si="6"/>
        <v>127.39398</v>
      </c>
      <c r="H51" s="192">
        <f t="shared" si="7"/>
        <v>127.39398</v>
      </c>
      <c r="I51" s="191">
        <v>1.0</v>
      </c>
      <c r="J51" s="194">
        <f t="shared" si="8"/>
        <v>127.39398</v>
      </c>
      <c r="K51" s="139"/>
      <c r="L51" s="197"/>
      <c r="M51" s="198">
        <f t="shared" si="18"/>
        <v>1</v>
      </c>
      <c r="N51" s="198"/>
      <c r="O51" s="139"/>
      <c r="P51" s="139"/>
      <c r="Q51" s="176"/>
      <c r="R51" s="281">
        <v>29.5</v>
      </c>
      <c r="S51" s="176">
        <f t="shared" si="9"/>
        <v>2.12</v>
      </c>
      <c r="T51" s="160">
        <f t="shared" si="10"/>
        <v>1</v>
      </c>
      <c r="U51" s="160">
        <f t="shared" si="11"/>
        <v>2.12</v>
      </c>
      <c r="V51" s="282">
        <f t="shared" si="12"/>
        <v>127.39398</v>
      </c>
      <c r="W51" s="176">
        <f t="shared" ref="W51:X51" si="48">C51/100</f>
        <v>0.97</v>
      </c>
      <c r="X51" s="176">
        <f t="shared" si="48"/>
        <v>2.1</v>
      </c>
      <c r="Y51" s="176">
        <f t="shared" si="14"/>
        <v>2.12</v>
      </c>
      <c r="Z51" s="283">
        <f t="shared" si="15"/>
        <v>4.31844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33.0</v>
      </c>
      <c r="B52" s="182" t="s">
        <v>65</v>
      </c>
      <c r="C52" s="183">
        <v>89.0</v>
      </c>
      <c r="D52" s="183">
        <v>194.0</v>
      </c>
      <c r="E52" s="183">
        <v>251.0</v>
      </c>
      <c r="F52" s="183">
        <f t="shared" si="5"/>
        <v>0.8</v>
      </c>
      <c r="G52" s="183">
        <f t="shared" si="6"/>
        <v>127.846097</v>
      </c>
      <c r="H52" s="184">
        <f t="shared" si="7"/>
        <v>102.2768776</v>
      </c>
      <c r="I52" s="183">
        <v>1.0</v>
      </c>
      <c r="J52" s="185">
        <f t="shared" si="8"/>
        <v>102.2768776</v>
      </c>
      <c r="K52" s="139"/>
      <c r="L52" s="176"/>
      <c r="M52" s="160">
        <f t="shared" si="18"/>
        <v>1</v>
      </c>
      <c r="N52" s="160"/>
      <c r="O52" s="139"/>
      <c r="P52" s="139"/>
      <c r="Q52" s="176"/>
      <c r="R52" s="281">
        <v>29.5</v>
      </c>
      <c r="S52" s="176">
        <f t="shared" si="9"/>
        <v>2.51</v>
      </c>
      <c r="T52" s="160">
        <f t="shared" si="10"/>
        <v>1</v>
      </c>
      <c r="U52" s="160">
        <f t="shared" si="11"/>
        <v>2.51</v>
      </c>
      <c r="V52" s="282">
        <f t="shared" si="12"/>
        <v>127.846097</v>
      </c>
      <c r="W52" s="176">
        <f t="shared" ref="W52:X52" si="49">C52/100</f>
        <v>0.89</v>
      </c>
      <c r="X52" s="176">
        <f t="shared" si="49"/>
        <v>1.94</v>
      </c>
      <c r="Y52" s="176">
        <f t="shared" si="14"/>
        <v>2.51</v>
      </c>
      <c r="Z52" s="283">
        <f t="shared" si="15"/>
        <v>4.333766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34.0</v>
      </c>
      <c r="B53" s="191" t="s">
        <v>56</v>
      </c>
      <c r="C53" s="191">
        <v>100.0</v>
      </c>
      <c r="D53" s="191">
        <v>194.0</v>
      </c>
      <c r="E53" s="191">
        <v>251.0</v>
      </c>
      <c r="F53" s="191">
        <f t="shared" si="5"/>
        <v>0</v>
      </c>
      <c r="G53" s="191">
        <f t="shared" si="6"/>
        <v>143.6473</v>
      </c>
      <c r="H53" s="192">
        <f t="shared" si="7"/>
        <v>143.6473</v>
      </c>
      <c r="I53" s="191">
        <v>15.0</v>
      </c>
      <c r="J53" s="194">
        <f t="shared" si="8"/>
        <v>2154.7095</v>
      </c>
      <c r="K53" s="139"/>
      <c r="L53" s="197"/>
      <c r="M53" s="198">
        <f t="shared" si="18"/>
        <v>15</v>
      </c>
      <c r="N53" s="198"/>
      <c r="O53" s="139"/>
      <c r="P53" s="139"/>
      <c r="Q53" s="176"/>
      <c r="R53" s="281">
        <v>29.5</v>
      </c>
      <c r="S53" s="176">
        <f t="shared" si="9"/>
        <v>2.51</v>
      </c>
      <c r="T53" s="160">
        <f t="shared" si="10"/>
        <v>15</v>
      </c>
      <c r="U53" s="160">
        <f t="shared" si="11"/>
        <v>37.65</v>
      </c>
      <c r="V53" s="282">
        <f t="shared" si="12"/>
        <v>143.6473</v>
      </c>
      <c r="W53" s="176">
        <f t="shared" ref="W53:X53" si="50">C53/100</f>
        <v>1</v>
      </c>
      <c r="X53" s="176">
        <f t="shared" si="50"/>
        <v>1.94</v>
      </c>
      <c r="Y53" s="176">
        <f t="shared" si="14"/>
        <v>37.65</v>
      </c>
      <c r="Z53" s="283">
        <f t="shared" si="15"/>
        <v>73.041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35.0</v>
      </c>
      <c r="B54" s="191" t="s">
        <v>56</v>
      </c>
      <c r="C54" s="191">
        <v>99.0</v>
      </c>
      <c r="D54" s="191">
        <v>194.0</v>
      </c>
      <c r="E54" s="191">
        <v>251.0</v>
      </c>
      <c r="F54" s="191">
        <f t="shared" si="5"/>
        <v>0</v>
      </c>
      <c r="G54" s="191">
        <f t="shared" si="6"/>
        <v>142.210827</v>
      </c>
      <c r="H54" s="192">
        <f t="shared" si="7"/>
        <v>142.210827</v>
      </c>
      <c r="I54" s="191">
        <v>16.0</v>
      </c>
      <c r="J54" s="194">
        <f t="shared" si="8"/>
        <v>2275.373232</v>
      </c>
      <c r="K54" s="139"/>
      <c r="L54" s="197"/>
      <c r="M54" s="198">
        <f t="shared" si="18"/>
        <v>16</v>
      </c>
      <c r="N54" s="198"/>
      <c r="O54" s="139"/>
      <c r="P54" s="139"/>
      <c r="Q54" s="176"/>
      <c r="R54" s="281">
        <v>29.5</v>
      </c>
      <c r="S54" s="176">
        <f t="shared" si="9"/>
        <v>2.51</v>
      </c>
      <c r="T54" s="160">
        <f t="shared" si="10"/>
        <v>16</v>
      </c>
      <c r="U54" s="160">
        <f t="shared" si="11"/>
        <v>40.16</v>
      </c>
      <c r="V54" s="282">
        <f t="shared" si="12"/>
        <v>142.210827</v>
      </c>
      <c r="W54" s="176">
        <f t="shared" ref="W54:X54" si="51">C54/100</f>
        <v>0.99</v>
      </c>
      <c r="X54" s="176">
        <f t="shared" si="51"/>
        <v>1.94</v>
      </c>
      <c r="Y54" s="176">
        <f t="shared" si="14"/>
        <v>40.16</v>
      </c>
      <c r="Z54" s="283">
        <f t="shared" si="15"/>
        <v>77.131296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36.0</v>
      </c>
      <c r="B55" s="191" t="s">
        <v>56</v>
      </c>
      <c r="C55" s="191">
        <v>98.0</v>
      </c>
      <c r="D55" s="191">
        <v>194.0</v>
      </c>
      <c r="E55" s="191">
        <v>251.0</v>
      </c>
      <c r="F55" s="191">
        <f t="shared" si="5"/>
        <v>0</v>
      </c>
      <c r="G55" s="191">
        <f t="shared" si="6"/>
        <v>140.774354</v>
      </c>
      <c r="H55" s="192">
        <f t="shared" si="7"/>
        <v>140.774354</v>
      </c>
      <c r="I55" s="191">
        <v>2.0</v>
      </c>
      <c r="J55" s="194">
        <f t="shared" si="8"/>
        <v>281.548708</v>
      </c>
      <c r="K55" s="139"/>
      <c r="L55" s="197"/>
      <c r="M55" s="198">
        <f t="shared" si="18"/>
        <v>2</v>
      </c>
      <c r="N55" s="198"/>
      <c r="O55" s="139"/>
      <c r="P55" s="139"/>
      <c r="Q55" s="176"/>
      <c r="R55" s="281">
        <v>29.5</v>
      </c>
      <c r="S55" s="176">
        <f t="shared" si="9"/>
        <v>2.51</v>
      </c>
      <c r="T55" s="160">
        <f t="shared" si="10"/>
        <v>2</v>
      </c>
      <c r="U55" s="160">
        <f t="shared" si="11"/>
        <v>5.02</v>
      </c>
      <c r="V55" s="282">
        <f t="shared" si="12"/>
        <v>140.774354</v>
      </c>
      <c r="W55" s="176">
        <f t="shared" ref="W55:X55" si="52">C55/100</f>
        <v>0.98</v>
      </c>
      <c r="X55" s="176">
        <f t="shared" si="52"/>
        <v>1.94</v>
      </c>
      <c r="Y55" s="176">
        <f t="shared" si="14"/>
        <v>5.02</v>
      </c>
      <c r="Z55" s="283">
        <f t="shared" si="15"/>
        <v>9.544024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37.0</v>
      </c>
      <c r="B56" s="191" t="s">
        <v>56</v>
      </c>
      <c r="C56" s="191">
        <v>101.0</v>
      </c>
      <c r="D56" s="191">
        <v>194.0</v>
      </c>
      <c r="E56" s="191">
        <v>251.0</v>
      </c>
      <c r="F56" s="191">
        <f t="shared" si="5"/>
        <v>0</v>
      </c>
      <c r="G56" s="191">
        <f t="shared" si="6"/>
        <v>145.083773</v>
      </c>
      <c r="H56" s="192">
        <f t="shared" si="7"/>
        <v>145.083773</v>
      </c>
      <c r="I56" s="191">
        <v>3.0</v>
      </c>
      <c r="J56" s="194">
        <f t="shared" si="8"/>
        <v>435.251319</v>
      </c>
      <c r="K56" s="139"/>
      <c r="L56" s="197"/>
      <c r="M56" s="198">
        <f t="shared" si="18"/>
        <v>3</v>
      </c>
      <c r="N56" s="198"/>
      <c r="O56" s="139"/>
      <c r="P56" s="139"/>
      <c r="Q56" s="176"/>
      <c r="R56" s="281">
        <v>29.5</v>
      </c>
      <c r="S56" s="176">
        <f t="shared" si="9"/>
        <v>2.51</v>
      </c>
      <c r="T56" s="160">
        <f t="shared" si="10"/>
        <v>3</v>
      </c>
      <c r="U56" s="160">
        <f t="shared" si="11"/>
        <v>7.53</v>
      </c>
      <c r="V56" s="282">
        <f t="shared" si="12"/>
        <v>145.083773</v>
      </c>
      <c r="W56" s="176">
        <f t="shared" ref="W56:X56" si="53">C56/100</f>
        <v>1.01</v>
      </c>
      <c r="X56" s="176">
        <f t="shared" si="53"/>
        <v>1.94</v>
      </c>
      <c r="Y56" s="176">
        <f t="shared" si="14"/>
        <v>7.53</v>
      </c>
      <c r="Z56" s="283">
        <f t="shared" si="15"/>
        <v>14.754282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38.0</v>
      </c>
      <c r="B57" s="191" t="s">
        <v>56</v>
      </c>
      <c r="C57" s="191">
        <v>99.0</v>
      </c>
      <c r="D57" s="191">
        <v>194.0</v>
      </c>
      <c r="E57" s="191">
        <v>252.0</v>
      </c>
      <c r="F57" s="191">
        <f t="shared" si="5"/>
        <v>0</v>
      </c>
      <c r="G57" s="191">
        <f t="shared" si="6"/>
        <v>142.777404</v>
      </c>
      <c r="H57" s="192">
        <f t="shared" si="7"/>
        <v>142.777404</v>
      </c>
      <c r="I57" s="191">
        <v>1.0</v>
      </c>
      <c r="J57" s="194">
        <f t="shared" si="8"/>
        <v>142.777404</v>
      </c>
      <c r="K57" s="139"/>
      <c r="L57" s="197"/>
      <c r="M57" s="198">
        <f t="shared" si="18"/>
        <v>1</v>
      </c>
      <c r="N57" s="198"/>
      <c r="O57" s="139"/>
      <c r="P57" s="139"/>
      <c r="Q57" s="176"/>
      <c r="R57" s="281">
        <v>29.5</v>
      </c>
      <c r="S57" s="176">
        <f t="shared" si="9"/>
        <v>2.52</v>
      </c>
      <c r="T57" s="160">
        <f t="shared" si="10"/>
        <v>1</v>
      </c>
      <c r="U57" s="160">
        <f t="shared" si="11"/>
        <v>2.52</v>
      </c>
      <c r="V57" s="282">
        <f t="shared" si="12"/>
        <v>142.777404</v>
      </c>
      <c r="W57" s="176">
        <f t="shared" ref="W57:X57" si="54">C57/100</f>
        <v>0.99</v>
      </c>
      <c r="X57" s="176">
        <f t="shared" si="54"/>
        <v>1.94</v>
      </c>
      <c r="Y57" s="176">
        <f t="shared" si="14"/>
        <v>2.52</v>
      </c>
      <c r="Z57" s="283">
        <f t="shared" si="15"/>
        <v>4.839912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39.0</v>
      </c>
      <c r="B58" s="191" t="s">
        <v>56</v>
      </c>
      <c r="C58" s="191">
        <v>98.0</v>
      </c>
      <c r="D58" s="191">
        <v>194.0</v>
      </c>
      <c r="E58" s="191">
        <v>250.0</v>
      </c>
      <c r="F58" s="191">
        <f t="shared" si="5"/>
        <v>0</v>
      </c>
      <c r="G58" s="191">
        <f t="shared" si="6"/>
        <v>140.2135</v>
      </c>
      <c r="H58" s="192">
        <f t="shared" si="7"/>
        <v>140.2135</v>
      </c>
      <c r="I58" s="191">
        <v>1.0</v>
      </c>
      <c r="J58" s="194">
        <f t="shared" si="8"/>
        <v>140.2135</v>
      </c>
      <c r="K58" s="139"/>
      <c r="L58" s="197"/>
      <c r="M58" s="198">
        <f t="shared" si="18"/>
        <v>1</v>
      </c>
      <c r="N58" s="198"/>
      <c r="O58" s="139"/>
      <c r="P58" s="139"/>
      <c r="Q58" s="176"/>
      <c r="R58" s="281">
        <v>29.5</v>
      </c>
      <c r="S58" s="176">
        <f t="shared" si="9"/>
        <v>2.5</v>
      </c>
      <c r="T58" s="160">
        <f t="shared" si="10"/>
        <v>1</v>
      </c>
      <c r="U58" s="160">
        <f t="shared" si="11"/>
        <v>2.5</v>
      </c>
      <c r="V58" s="282">
        <f t="shared" si="12"/>
        <v>140.2135</v>
      </c>
      <c r="W58" s="176">
        <f t="shared" ref="W58:X58" si="55">C58/100</f>
        <v>0.98</v>
      </c>
      <c r="X58" s="176">
        <f t="shared" si="55"/>
        <v>1.94</v>
      </c>
      <c r="Y58" s="176">
        <f t="shared" si="14"/>
        <v>2.5</v>
      </c>
      <c r="Z58" s="283">
        <f t="shared" si="15"/>
        <v>4.753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40.0</v>
      </c>
      <c r="B59" s="191" t="s">
        <v>56</v>
      </c>
      <c r="C59" s="191">
        <v>100.0</v>
      </c>
      <c r="D59" s="191">
        <v>194.0</v>
      </c>
      <c r="E59" s="191">
        <v>252.0</v>
      </c>
      <c r="F59" s="191">
        <f t="shared" si="5"/>
        <v>0</v>
      </c>
      <c r="G59" s="191">
        <f t="shared" si="6"/>
        <v>144.2196</v>
      </c>
      <c r="H59" s="192">
        <f t="shared" si="7"/>
        <v>144.2196</v>
      </c>
      <c r="I59" s="191">
        <v>1.0</v>
      </c>
      <c r="J59" s="194">
        <f t="shared" si="8"/>
        <v>144.2196</v>
      </c>
      <c r="K59" s="139"/>
      <c r="L59" s="197"/>
      <c r="M59" s="198">
        <f t="shared" si="18"/>
        <v>1</v>
      </c>
      <c r="N59" s="198"/>
      <c r="O59" s="139"/>
      <c r="P59" s="139"/>
      <c r="Q59" s="176"/>
      <c r="R59" s="281">
        <v>29.5</v>
      </c>
      <c r="S59" s="176">
        <f t="shared" si="9"/>
        <v>2.52</v>
      </c>
      <c r="T59" s="160">
        <f t="shared" si="10"/>
        <v>1</v>
      </c>
      <c r="U59" s="160">
        <f t="shared" si="11"/>
        <v>2.52</v>
      </c>
      <c r="V59" s="282">
        <f t="shared" si="12"/>
        <v>144.2196</v>
      </c>
      <c r="W59" s="176">
        <f t="shared" ref="W59:X59" si="56">C59/100</f>
        <v>1</v>
      </c>
      <c r="X59" s="176">
        <f t="shared" si="56"/>
        <v>1.94</v>
      </c>
      <c r="Y59" s="176">
        <f t="shared" si="14"/>
        <v>2.52</v>
      </c>
      <c r="Z59" s="283">
        <f t="shared" si="15"/>
        <v>4.8888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41.0</v>
      </c>
      <c r="B60" s="191" t="s">
        <v>56</v>
      </c>
      <c r="C60" s="191">
        <v>100.0</v>
      </c>
      <c r="D60" s="191">
        <v>194.0</v>
      </c>
      <c r="E60" s="191">
        <v>250.0</v>
      </c>
      <c r="F60" s="191">
        <f t="shared" si="5"/>
        <v>0</v>
      </c>
      <c r="G60" s="191">
        <f t="shared" si="6"/>
        <v>143.075</v>
      </c>
      <c r="H60" s="192">
        <f t="shared" si="7"/>
        <v>143.075</v>
      </c>
      <c r="I60" s="191">
        <v>2.0</v>
      </c>
      <c r="J60" s="194">
        <f t="shared" si="8"/>
        <v>286.15</v>
      </c>
      <c r="K60" s="139"/>
      <c r="L60" s="197"/>
      <c r="M60" s="198">
        <f t="shared" si="18"/>
        <v>2</v>
      </c>
      <c r="N60" s="198"/>
      <c r="O60" s="139"/>
      <c r="P60" s="139"/>
      <c r="Q60" s="176"/>
      <c r="R60" s="281">
        <v>29.5</v>
      </c>
      <c r="S60" s="176">
        <f t="shared" si="9"/>
        <v>2.5</v>
      </c>
      <c r="T60" s="160">
        <f t="shared" si="10"/>
        <v>2</v>
      </c>
      <c r="U60" s="160">
        <f t="shared" si="11"/>
        <v>5</v>
      </c>
      <c r="V60" s="282">
        <f t="shared" si="12"/>
        <v>143.075</v>
      </c>
      <c r="W60" s="176">
        <f t="shared" ref="W60:X60" si="57">C60/100</f>
        <v>1</v>
      </c>
      <c r="X60" s="176">
        <f t="shared" si="57"/>
        <v>1.94</v>
      </c>
      <c r="Y60" s="176">
        <f t="shared" si="14"/>
        <v>5</v>
      </c>
      <c r="Z60" s="283">
        <f t="shared" si="15"/>
        <v>9.7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42.0</v>
      </c>
      <c r="B61" s="191" t="s">
        <v>56</v>
      </c>
      <c r="C61" s="191">
        <v>102.0</v>
      </c>
      <c r="D61" s="191">
        <v>194.0</v>
      </c>
      <c r="E61" s="191">
        <v>251.0</v>
      </c>
      <c r="F61" s="191">
        <f t="shared" si="5"/>
        <v>0</v>
      </c>
      <c r="G61" s="191">
        <f t="shared" si="6"/>
        <v>146.520246</v>
      </c>
      <c r="H61" s="192">
        <f t="shared" si="7"/>
        <v>146.520246</v>
      </c>
      <c r="I61" s="191">
        <v>1.0</v>
      </c>
      <c r="J61" s="194">
        <f t="shared" si="8"/>
        <v>146.520246</v>
      </c>
      <c r="K61" s="139"/>
      <c r="L61" s="197"/>
      <c r="M61" s="198">
        <f t="shared" si="18"/>
        <v>1</v>
      </c>
      <c r="N61" s="198"/>
      <c r="O61" s="139"/>
      <c r="P61" s="139"/>
      <c r="Q61" s="176"/>
      <c r="R61" s="281">
        <v>29.5</v>
      </c>
      <c r="S61" s="176">
        <f t="shared" si="9"/>
        <v>2.51</v>
      </c>
      <c r="T61" s="160">
        <f t="shared" si="10"/>
        <v>1</v>
      </c>
      <c r="U61" s="160">
        <f t="shared" si="11"/>
        <v>2.51</v>
      </c>
      <c r="V61" s="282">
        <f t="shared" si="12"/>
        <v>146.520246</v>
      </c>
      <c r="W61" s="176">
        <f t="shared" ref="W61:X61" si="58">C61/100</f>
        <v>1.02</v>
      </c>
      <c r="X61" s="176">
        <f t="shared" si="58"/>
        <v>1.94</v>
      </c>
      <c r="Y61" s="176">
        <f t="shared" si="14"/>
        <v>2.51</v>
      </c>
      <c r="Z61" s="283">
        <f t="shared" si="15"/>
        <v>4.966788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43.0</v>
      </c>
      <c r="B62" s="191" t="s">
        <v>56</v>
      </c>
      <c r="C62" s="191">
        <v>103.0</v>
      </c>
      <c r="D62" s="191">
        <v>194.0</v>
      </c>
      <c r="E62" s="191">
        <v>251.0</v>
      </c>
      <c r="F62" s="191">
        <f t="shared" si="5"/>
        <v>0</v>
      </c>
      <c r="G62" s="191">
        <f t="shared" si="6"/>
        <v>147.956719</v>
      </c>
      <c r="H62" s="192">
        <f t="shared" si="7"/>
        <v>147.956719</v>
      </c>
      <c r="I62" s="191">
        <v>1.0</v>
      </c>
      <c r="J62" s="194">
        <f t="shared" si="8"/>
        <v>147.956719</v>
      </c>
      <c r="K62" s="139"/>
      <c r="L62" s="197"/>
      <c r="M62" s="198">
        <f t="shared" si="18"/>
        <v>1</v>
      </c>
      <c r="N62" s="198"/>
      <c r="O62" s="139"/>
      <c r="P62" s="139"/>
      <c r="Q62" s="176"/>
      <c r="R62" s="281">
        <v>29.5</v>
      </c>
      <c r="S62" s="176">
        <f t="shared" si="9"/>
        <v>2.51</v>
      </c>
      <c r="T62" s="160">
        <f t="shared" si="10"/>
        <v>1</v>
      </c>
      <c r="U62" s="160">
        <f t="shared" si="11"/>
        <v>2.51</v>
      </c>
      <c r="V62" s="282">
        <f t="shared" si="12"/>
        <v>147.956719</v>
      </c>
      <c r="W62" s="176">
        <f t="shared" ref="W62:X62" si="59">C62/100</f>
        <v>1.03</v>
      </c>
      <c r="X62" s="176">
        <f t="shared" si="59"/>
        <v>1.94</v>
      </c>
      <c r="Y62" s="176">
        <f t="shared" si="14"/>
        <v>2.51</v>
      </c>
      <c r="Z62" s="283">
        <f t="shared" si="15"/>
        <v>5.015482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44.0</v>
      </c>
      <c r="B63" s="191" t="s">
        <v>56</v>
      </c>
      <c r="C63" s="191">
        <v>97.0</v>
      </c>
      <c r="D63" s="191">
        <v>194.0</v>
      </c>
      <c r="E63" s="191">
        <v>251.0</v>
      </c>
      <c r="F63" s="191">
        <f t="shared" si="5"/>
        <v>0</v>
      </c>
      <c r="G63" s="191">
        <f t="shared" si="6"/>
        <v>139.337881</v>
      </c>
      <c r="H63" s="192">
        <f t="shared" si="7"/>
        <v>139.337881</v>
      </c>
      <c r="I63" s="191">
        <v>1.0</v>
      </c>
      <c r="J63" s="194">
        <f t="shared" si="8"/>
        <v>139.337881</v>
      </c>
      <c r="K63" s="139"/>
      <c r="L63" s="197"/>
      <c r="M63" s="198">
        <f t="shared" si="18"/>
        <v>1</v>
      </c>
      <c r="N63" s="198"/>
      <c r="O63" s="139"/>
      <c r="P63" s="139"/>
      <c r="Q63" s="176"/>
      <c r="R63" s="281">
        <v>29.5</v>
      </c>
      <c r="S63" s="176">
        <f t="shared" si="9"/>
        <v>2.51</v>
      </c>
      <c r="T63" s="160">
        <f t="shared" si="10"/>
        <v>1</v>
      </c>
      <c r="U63" s="160">
        <f t="shared" si="11"/>
        <v>2.51</v>
      </c>
      <c r="V63" s="282">
        <f t="shared" si="12"/>
        <v>139.337881</v>
      </c>
      <c r="W63" s="176">
        <f t="shared" ref="W63:X63" si="60">C63/100</f>
        <v>0.97</v>
      </c>
      <c r="X63" s="176">
        <f t="shared" si="60"/>
        <v>1.94</v>
      </c>
      <c r="Y63" s="176">
        <f t="shared" si="14"/>
        <v>2.51</v>
      </c>
      <c r="Z63" s="283">
        <f t="shared" si="15"/>
        <v>4.723318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45.0</v>
      </c>
      <c r="B64" s="191" t="s">
        <v>56</v>
      </c>
      <c r="C64" s="191">
        <v>100.0</v>
      </c>
      <c r="D64" s="191">
        <v>194.0</v>
      </c>
      <c r="E64" s="191">
        <v>244.0</v>
      </c>
      <c r="F64" s="191">
        <f t="shared" si="5"/>
        <v>0</v>
      </c>
      <c r="G64" s="191">
        <f t="shared" si="6"/>
        <v>139.6412</v>
      </c>
      <c r="H64" s="192">
        <f t="shared" si="7"/>
        <v>139.6412</v>
      </c>
      <c r="I64" s="191">
        <v>3.0</v>
      </c>
      <c r="J64" s="194">
        <f t="shared" si="8"/>
        <v>418.9236</v>
      </c>
      <c r="K64" s="139"/>
      <c r="L64" s="197"/>
      <c r="M64" s="198">
        <f t="shared" si="18"/>
        <v>3</v>
      </c>
      <c r="N64" s="198"/>
      <c r="O64" s="139"/>
      <c r="P64" s="139"/>
      <c r="Q64" s="176"/>
      <c r="R64" s="281">
        <v>29.5</v>
      </c>
      <c r="S64" s="176">
        <f t="shared" si="9"/>
        <v>2.44</v>
      </c>
      <c r="T64" s="160">
        <f t="shared" si="10"/>
        <v>3</v>
      </c>
      <c r="U64" s="160">
        <f t="shared" si="11"/>
        <v>7.32</v>
      </c>
      <c r="V64" s="282">
        <f t="shared" si="12"/>
        <v>139.6412</v>
      </c>
      <c r="W64" s="176">
        <f t="shared" ref="W64:X64" si="61">C64/100</f>
        <v>1</v>
      </c>
      <c r="X64" s="176">
        <f t="shared" si="61"/>
        <v>1.94</v>
      </c>
      <c r="Y64" s="176">
        <f t="shared" si="14"/>
        <v>7.32</v>
      </c>
      <c r="Z64" s="283">
        <f t="shared" si="15"/>
        <v>14.2008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0">
        <v>46.0</v>
      </c>
      <c r="B65" s="191" t="s">
        <v>56</v>
      </c>
      <c r="C65" s="191">
        <v>101.0</v>
      </c>
      <c r="D65" s="191">
        <v>194.0</v>
      </c>
      <c r="E65" s="191">
        <v>243.0</v>
      </c>
      <c r="F65" s="191">
        <f t="shared" si="5"/>
        <v>0</v>
      </c>
      <c r="G65" s="191">
        <f t="shared" si="6"/>
        <v>140.459589</v>
      </c>
      <c r="H65" s="192">
        <f t="shared" si="7"/>
        <v>140.459589</v>
      </c>
      <c r="I65" s="191">
        <v>3.0</v>
      </c>
      <c r="J65" s="194">
        <f t="shared" si="8"/>
        <v>421.378767</v>
      </c>
      <c r="K65" s="139"/>
      <c r="L65" s="197"/>
      <c r="M65" s="198">
        <f t="shared" si="18"/>
        <v>3</v>
      </c>
      <c r="N65" s="198"/>
      <c r="O65" s="139"/>
      <c r="P65" s="139"/>
      <c r="Q65" s="176"/>
      <c r="R65" s="281">
        <v>29.5</v>
      </c>
      <c r="S65" s="176">
        <f t="shared" si="9"/>
        <v>2.43</v>
      </c>
      <c r="T65" s="160">
        <f t="shared" si="10"/>
        <v>3</v>
      </c>
      <c r="U65" s="160">
        <f t="shared" si="11"/>
        <v>7.29</v>
      </c>
      <c r="V65" s="282">
        <f t="shared" si="12"/>
        <v>140.459589</v>
      </c>
      <c r="W65" s="176">
        <f t="shared" ref="W65:X65" si="62">C65/100</f>
        <v>1.01</v>
      </c>
      <c r="X65" s="176">
        <f t="shared" si="62"/>
        <v>1.94</v>
      </c>
      <c r="Y65" s="176">
        <f t="shared" si="14"/>
        <v>7.29</v>
      </c>
      <c r="Z65" s="283">
        <f t="shared" si="15"/>
        <v>14.284026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0">
        <v>47.0</v>
      </c>
      <c r="B66" s="191" t="s">
        <v>56</v>
      </c>
      <c r="C66" s="191">
        <v>101.0</v>
      </c>
      <c r="D66" s="191">
        <v>194.0</v>
      </c>
      <c r="E66" s="191">
        <v>244.0</v>
      </c>
      <c r="F66" s="191">
        <f t="shared" si="5"/>
        <v>0</v>
      </c>
      <c r="G66" s="191">
        <f t="shared" si="6"/>
        <v>141.037612</v>
      </c>
      <c r="H66" s="192">
        <f t="shared" si="7"/>
        <v>141.037612</v>
      </c>
      <c r="I66" s="191">
        <v>5.0</v>
      </c>
      <c r="J66" s="194">
        <f t="shared" si="8"/>
        <v>705.18806</v>
      </c>
      <c r="K66" s="139"/>
      <c r="L66" s="197"/>
      <c r="M66" s="198">
        <f t="shared" si="18"/>
        <v>5</v>
      </c>
      <c r="N66" s="198"/>
      <c r="O66" s="139"/>
      <c r="P66" s="139"/>
      <c r="Q66" s="176"/>
      <c r="R66" s="281">
        <v>29.5</v>
      </c>
      <c r="S66" s="176">
        <f t="shared" si="9"/>
        <v>2.44</v>
      </c>
      <c r="T66" s="160">
        <f t="shared" si="10"/>
        <v>5</v>
      </c>
      <c r="U66" s="160">
        <f t="shared" si="11"/>
        <v>12.2</v>
      </c>
      <c r="V66" s="282">
        <f t="shared" si="12"/>
        <v>141.037612</v>
      </c>
      <c r="W66" s="176">
        <f t="shared" ref="W66:X66" si="63">C66/100</f>
        <v>1.01</v>
      </c>
      <c r="X66" s="176">
        <f t="shared" si="63"/>
        <v>1.94</v>
      </c>
      <c r="Y66" s="176">
        <f t="shared" si="14"/>
        <v>12.2</v>
      </c>
      <c r="Z66" s="283">
        <f t="shared" si="15"/>
        <v>23.90468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0">
        <v>48.0</v>
      </c>
      <c r="B67" s="191" t="s">
        <v>56</v>
      </c>
      <c r="C67" s="191">
        <v>102.0</v>
      </c>
      <c r="D67" s="191">
        <v>194.0</v>
      </c>
      <c r="E67" s="191">
        <v>244.0</v>
      </c>
      <c r="F67" s="191">
        <f t="shared" si="5"/>
        <v>0</v>
      </c>
      <c r="G67" s="191">
        <f t="shared" si="6"/>
        <v>142.434024</v>
      </c>
      <c r="H67" s="192">
        <f t="shared" si="7"/>
        <v>142.434024</v>
      </c>
      <c r="I67" s="191">
        <v>1.0</v>
      </c>
      <c r="J67" s="194">
        <f t="shared" si="8"/>
        <v>142.434024</v>
      </c>
      <c r="K67" s="139"/>
      <c r="L67" s="197"/>
      <c r="M67" s="198">
        <f t="shared" si="18"/>
        <v>1</v>
      </c>
      <c r="N67" s="198"/>
      <c r="O67" s="139"/>
      <c r="P67" s="139"/>
      <c r="Q67" s="176"/>
      <c r="R67" s="281">
        <v>29.5</v>
      </c>
      <c r="S67" s="176">
        <f t="shared" si="9"/>
        <v>2.44</v>
      </c>
      <c r="T67" s="160">
        <f t="shared" si="10"/>
        <v>1</v>
      </c>
      <c r="U67" s="160">
        <f t="shared" si="11"/>
        <v>2.44</v>
      </c>
      <c r="V67" s="282">
        <f t="shared" si="12"/>
        <v>142.434024</v>
      </c>
      <c r="W67" s="176">
        <f t="shared" ref="W67:X67" si="64">C67/100</f>
        <v>1.02</v>
      </c>
      <c r="X67" s="176">
        <f t="shared" si="64"/>
        <v>1.94</v>
      </c>
      <c r="Y67" s="176">
        <f t="shared" si="14"/>
        <v>2.44</v>
      </c>
      <c r="Z67" s="283">
        <f t="shared" si="15"/>
        <v>4.828272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0">
        <v>49.0</v>
      </c>
      <c r="B68" s="191" t="s">
        <v>56</v>
      </c>
      <c r="C68" s="191">
        <v>101.0</v>
      </c>
      <c r="D68" s="191">
        <v>194.0</v>
      </c>
      <c r="E68" s="191">
        <v>245.0</v>
      </c>
      <c r="F68" s="191">
        <f t="shared" si="5"/>
        <v>0</v>
      </c>
      <c r="G68" s="191">
        <f t="shared" si="6"/>
        <v>141.615635</v>
      </c>
      <c r="H68" s="192">
        <f t="shared" si="7"/>
        <v>141.615635</v>
      </c>
      <c r="I68" s="191">
        <v>1.0</v>
      </c>
      <c r="J68" s="194">
        <f t="shared" si="8"/>
        <v>141.615635</v>
      </c>
      <c r="K68" s="139"/>
      <c r="L68" s="197"/>
      <c r="M68" s="198">
        <f t="shared" si="18"/>
        <v>1</v>
      </c>
      <c r="N68" s="198"/>
      <c r="O68" s="139"/>
      <c r="P68" s="139"/>
      <c r="Q68" s="176"/>
      <c r="R68" s="281">
        <v>29.5</v>
      </c>
      <c r="S68" s="176">
        <f t="shared" si="9"/>
        <v>2.45</v>
      </c>
      <c r="T68" s="160">
        <f t="shared" si="10"/>
        <v>1</v>
      </c>
      <c r="U68" s="160">
        <f t="shared" si="11"/>
        <v>2.45</v>
      </c>
      <c r="V68" s="282">
        <f t="shared" si="12"/>
        <v>141.615635</v>
      </c>
      <c r="W68" s="176">
        <f t="shared" ref="W68:X68" si="65">C68/100</f>
        <v>1.01</v>
      </c>
      <c r="X68" s="176">
        <f t="shared" si="65"/>
        <v>1.94</v>
      </c>
      <c r="Y68" s="176">
        <f t="shared" si="14"/>
        <v>2.45</v>
      </c>
      <c r="Z68" s="283">
        <f t="shared" si="15"/>
        <v>4.80053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60">
        <v>50.0</v>
      </c>
      <c r="B69" s="191" t="s">
        <v>56</v>
      </c>
      <c r="C69" s="191">
        <v>95.0</v>
      </c>
      <c r="D69" s="191">
        <v>194.0</v>
      </c>
      <c r="E69" s="191">
        <v>244.0</v>
      </c>
      <c r="F69" s="191">
        <f t="shared" si="5"/>
        <v>0</v>
      </c>
      <c r="G69" s="191">
        <f t="shared" si="6"/>
        <v>132.65914</v>
      </c>
      <c r="H69" s="192">
        <f t="shared" si="7"/>
        <v>132.65914</v>
      </c>
      <c r="I69" s="191">
        <v>1.0</v>
      </c>
      <c r="J69" s="194">
        <f t="shared" si="8"/>
        <v>132.65914</v>
      </c>
      <c r="K69" s="139"/>
      <c r="L69" s="197"/>
      <c r="M69" s="198">
        <f t="shared" si="18"/>
        <v>1</v>
      </c>
      <c r="N69" s="198"/>
      <c r="O69" s="139"/>
      <c r="P69" s="139"/>
      <c r="Q69" s="176"/>
      <c r="R69" s="281">
        <v>29.5</v>
      </c>
      <c r="S69" s="176">
        <f t="shared" si="9"/>
        <v>2.44</v>
      </c>
      <c r="T69" s="160">
        <f t="shared" si="10"/>
        <v>1</v>
      </c>
      <c r="U69" s="160">
        <f t="shared" si="11"/>
        <v>2.44</v>
      </c>
      <c r="V69" s="282">
        <f t="shared" si="12"/>
        <v>132.65914</v>
      </c>
      <c r="W69" s="176">
        <f t="shared" ref="W69:X69" si="66">C69/100</f>
        <v>0.95</v>
      </c>
      <c r="X69" s="176">
        <f t="shared" si="66"/>
        <v>1.94</v>
      </c>
      <c r="Y69" s="176">
        <f t="shared" si="14"/>
        <v>2.44</v>
      </c>
      <c r="Z69" s="283">
        <f t="shared" si="15"/>
        <v>4.49692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60">
        <v>51.0</v>
      </c>
      <c r="B70" s="191" t="s">
        <v>56</v>
      </c>
      <c r="C70" s="191">
        <v>86.0</v>
      </c>
      <c r="D70" s="191">
        <v>194.0</v>
      </c>
      <c r="E70" s="191">
        <v>122.0</v>
      </c>
      <c r="F70" s="191">
        <f t="shared" si="5"/>
        <v>0</v>
      </c>
      <c r="G70" s="191">
        <f t="shared" si="6"/>
        <v>60.045716</v>
      </c>
      <c r="H70" s="192">
        <f t="shared" si="7"/>
        <v>60.045716</v>
      </c>
      <c r="I70" s="191">
        <v>1.0</v>
      </c>
      <c r="J70" s="194">
        <f t="shared" si="8"/>
        <v>60.045716</v>
      </c>
      <c r="K70" s="139"/>
      <c r="L70" s="197"/>
      <c r="M70" s="198">
        <f t="shared" si="18"/>
        <v>1</v>
      </c>
      <c r="N70" s="198"/>
      <c r="O70" s="139"/>
      <c r="P70" s="139"/>
      <c r="Q70" s="176"/>
      <c r="R70" s="281">
        <v>29.5</v>
      </c>
      <c r="S70" s="176">
        <f t="shared" si="9"/>
        <v>1.22</v>
      </c>
      <c r="T70" s="160">
        <f t="shared" si="10"/>
        <v>1</v>
      </c>
      <c r="U70" s="160">
        <f t="shared" si="11"/>
        <v>1.22</v>
      </c>
      <c r="V70" s="282">
        <f t="shared" si="12"/>
        <v>60.045716</v>
      </c>
      <c r="W70" s="176">
        <f t="shared" ref="W70:X70" si="67">C70/100</f>
        <v>0.86</v>
      </c>
      <c r="X70" s="176">
        <f t="shared" si="67"/>
        <v>1.94</v>
      </c>
      <c r="Y70" s="176">
        <f t="shared" si="14"/>
        <v>1.22</v>
      </c>
      <c r="Z70" s="283">
        <f t="shared" si="15"/>
        <v>2.035448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60">
        <v>52.0</v>
      </c>
      <c r="B71" s="182" t="s">
        <v>68</v>
      </c>
      <c r="C71" s="183">
        <v>80.0</v>
      </c>
      <c r="D71" s="183">
        <v>168.0</v>
      </c>
      <c r="E71" s="183">
        <v>180.0</v>
      </c>
      <c r="F71" s="183">
        <f t="shared" si="5"/>
        <v>0.8</v>
      </c>
      <c r="G71" s="183">
        <f t="shared" si="6"/>
        <v>71.3664</v>
      </c>
      <c r="H71" s="184">
        <f t="shared" si="7"/>
        <v>57.09312</v>
      </c>
      <c r="I71" s="183">
        <v>1.0</v>
      </c>
      <c r="J71" s="185">
        <f t="shared" si="8"/>
        <v>57.09312</v>
      </c>
      <c r="K71" s="139"/>
      <c r="L71" s="197"/>
      <c r="M71" s="198">
        <f t="shared" si="18"/>
        <v>1</v>
      </c>
      <c r="N71" s="198"/>
      <c r="O71" s="139"/>
      <c r="P71" s="139"/>
      <c r="Q71" s="176"/>
      <c r="R71" s="281">
        <v>29.5</v>
      </c>
      <c r="S71" s="176">
        <f t="shared" si="9"/>
        <v>1.8</v>
      </c>
      <c r="T71" s="160">
        <f t="shared" si="10"/>
        <v>1</v>
      </c>
      <c r="U71" s="160">
        <f t="shared" si="11"/>
        <v>1.8</v>
      </c>
      <c r="V71" s="282">
        <f t="shared" si="12"/>
        <v>71.3664</v>
      </c>
      <c r="W71" s="176">
        <f t="shared" ref="W71:X71" si="68">C71/100</f>
        <v>0.8</v>
      </c>
      <c r="X71" s="176">
        <f t="shared" si="68"/>
        <v>1.68</v>
      </c>
      <c r="Y71" s="176">
        <f t="shared" si="14"/>
        <v>1.8</v>
      </c>
      <c r="Z71" s="283">
        <f t="shared" si="15"/>
        <v>2.4192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60">
        <v>53.0</v>
      </c>
      <c r="B72" s="191" t="s">
        <v>58</v>
      </c>
      <c r="C72" s="191">
        <v>89.0</v>
      </c>
      <c r="D72" s="191">
        <v>168.0</v>
      </c>
      <c r="E72" s="191">
        <v>179.0</v>
      </c>
      <c r="F72" s="191">
        <f t="shared" si="5"/>
        <v>0</v>
      </c>
      <c r="G72" s="191">
        <f t="shared" si="6"/>
        <v>78.954036</v>
      </c>
      <c r="H72" s="192">
        <f t="shared" si="7"/>
        <v>78.954036</v>
      </c>
      <c r="I72" s="191">
        <v>1.0</v>
      </c>
      <c r="J72" s="194">
        <f t="shared" si="8"/>
        <v>78.954036</v>
      </c>
      <c r="K72" s="139"/>
      <c r="L72" s="197"/>
      <c r="M72" s="198">
        <f t="shared" si="18"/>
        <v>1</v>
      </c>
      <c r="N72" s="198"/>
      <c r="O72" s="139"/>
      <c r="P72" s="139"/>
      <c r="Q72" s="176"/>
      <c r="R72" s="281">
        <v>29.5</v>
      </c>
      <c r="S72" s="176">
        <f t="shared" si="9"/>
        <v>1.79</v>
      </c>
      <c r="T72" s="160">
        <f t="shared" si="10"/>
        <v>1</v>
      </c>
      <c r="U72" s="160">
        <f t="shared" si="11"/>
        <v>1.79</v>
      </c>
      <c r="V72" s="282">
        <f t="shared" si="12"/>
        <v>78.954036</v>
      </c>
      <c r="W72" s="176">
        <f t="shared" ref="W72:X72" si="69">C72/100</f>
        <v>0.89</v>
      </c>
      <c r="X72" s="176">
        <f t="shared" si="69"/>
        <v>1.68</v>
      </c>
      <c r="Y72" s="176">
        <f t="shared" si="14"/>
        <v>1.79</v>
      </c>
      <c r="Z72" s="283">
        <f t="shared" si="15"/>
        <v>2.676408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customHeight="1">
      <c r="A73" s="160">
        <v>54.0</v>
      </c>
      <c r="B73" s="191" t="s">
        <v>58</v>
      </c>
      <c r="C73" s="191">
        <v>55.0</v>
      </c>
      <c r="D73" s="191">
        <v>168.0</v>
      </c>
      <c r="E73" s="191">
        <v>118.0</v>
      </c>
      <c r="F73" s="191">
        <f t="shared" si="5"/>
        <v>0</v>
      </c>
      <c r="G73" s="191">
        <f t="shared" si="6"/>
        <v>32.16444</v>
      </c>
      <c r="H73" s="192">
        <f t="shared" si="7"/>
        <v>32.16444</v>
      </c>
      <c r="I73" s="191">
        <v>1.0</v>
      </c>
      <c r="J73" s="194">
        <f t="shared" si="8"/>
        <v>32.16444</v>
      </c>
      <c r="K73" s="139"/>
      <c r="L73" s="197"/>
      <c r="M73" s="198">
        <f t="shared" si="18"/>
        <v>1</v>
      </c>
      <c r="N73" s="198"/>
      <c r="O73" s="139"/>
      <c r="P73" s="139"/>
      <c r="Q73" s="176"/>
      <c r="R73" s="281">
        <v>29.5</v>
      </c>
      <c r="S73" s="176">
        <f t="shared" si="9"/>
        <v>1.18</v>
      </c>
      <c r="T73" s="160">
        <f t="shared" si="10"/>
        <v>1</v>
      </c>
      <c r="U73" s="160">
        <f t="shared" si="11"/>
        <v>1.18</v>
      </c>
      <c r="V73" s="282">
        <f t="shared" si="12"/>
        <v>32.16444</v>
      </c>
      <c r="W73" s="176">
        <f t="shared" ref="W73:X73" si="70">C73/100</f>
        <v>0.55</v>
      </c>
      <c r="X73" s="176">
        <f t="shared" si="70"/>
        <v>1.68</v>
      </c>
      <c r="Y73" s="176">
        <f t="shared" si="14"/>
        <v>1.18</v>
      </c>
      <c r="Z73" s="283">
        <f t="shared" si="15"/>
        <v>1.09032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customHeight="1">
      <c r="A74" s="160">
        <v>55.0</v>
      </c>
      <c r="B74" s="191" t="s">
        <v>58</v>
      </c>
      <c r="C74" s="191">
        <v>93.0</v>
      </c>
      <c r="D74" s="191">
        <v>168.0</v>
      </c>
      <c r="E74" s="191">
        <v>168.0</v>
      </c>
      <c r="F74" s="191">
        <f t="shared" si="5"/>
        <v>0</v>
      </c>
      <c r="G74" s="191">
        <f t="shared" si="6"/>
        <v>77.432544</v>
      </c>
      <c r="H74" s="192">
        <f t="shared" si="7"/>
        <v>77.432544</v>
      </c>
      <c r="I74" s="191">
        <v>9.0</v>
      </c>
      <c r="J74" s="194">
        <f t="shared" si="8"/>
        <v>696.892896</v>
      </c>
      <c r="K74" s="139"/>
      <c r="L74" s="197"/>
      <c r="M74" s="198">
        <f t="shared" si="18"/>
        <v>9</v>
      </c>
      <c r="N74" s="198"/>
      <c r="O74" s="139"/>
      <c r="P74" s="139"/>
      <c r="Q74" s="176"/>
      <c r="R74" s="281">
        <v>29.5</v>
      </c>
      <c r="S74" s="176">
        <f t="shared" si="9"/>
        <v>1.68</v>
      </c>
      <c r="T74" s="160">
        <f t="shared" si="10"/>
        <v>9</v>
      </c>
      <c r="U74" s="160">
        <f t="shared" si="11"/>
        <v>15.12</v>
      </c>
      <c r="V74" s="282">
        <f t="shared" si="12"/>
        <v>77.432544</v>
      </c>
      <c r="W74" s="176">
        <f t="shared" ref="W74:X74" si="71">C74/100</f>
        <v>0.93</v>
      </c>
      <c r="X74" s="176">
        <f t="shared" si="71"/>
        <v>1.68</v>
      </c>
      <c r="Y74" s="176">
        <f t="shared" si="14"/>
        <v>15.12</v>
      </c>
      <c r="Z74" s="283">
        <f t="shared" si="15"/>
        <v>23.623488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customHeight="1">
      <c r="A75" s="160">
        <v>56.0</v>
      </c>
      <c r="B75" s="191" t="s">
        <v>58</v>
      </c>
      <c r="C75" s="191">
        <v>95.0</v>
      </c>
      <c r="D75" s="191">
        <v>168.0</v>
      </c>
      <c r="E75" s="191">
        <v>168.0</v>
      </c>
      <c r="F75" s="191">
        <f t="shared" si="5"/>
        <v>0</v>
      </c>
      <c r="G75" s="191">
        <f t="shared" si="6"/>
        <v>79.09776</v>
      </c>
      <c r="H75" s="192">
        <f t="shared" si="7"/>
        <v>79.09776</v>
      </c>
      <c r="I75" s="191">
        <v>5.0</v>
      </c>
      <c r="J75" s="194">
        <f t="shared" si="8"/>
        <v>395.4888</v>
      </c>
      <c r="K75" s="139"/>
      <c r="L75" s="197"/>
      <c r="M75" s="198">
        <f t="shared" si="18"/>
        <v>5</v>
      </c>
      <c r="N75" s="198"/>
      <c r="O75" s="139"/>
      <c r="P75" s="139"/>
      <c r="Q75" s="176"/>
      <c r="R75" s="281">
        <v>29.5</v>
      </c>
      <c r="S75" s="176">
        <f t="shared" si="9"/>
        <v>1.68</v>
      </c>
      <c r="T75" s="160">
        <f t="shared" si="10"/>
        <v>5</v>
      </c>
      <c r="U75" s="160">
        <f t="shared" si="11"/>
        <v>8.4</v>
      </c>
      <c r="V75" s="282">
        <f t="shared" si="12"/>
        <v>79.09776</v>
      </c>
      <c r="W75" s="176">
        <f t="shared" ref="W75:X75" si="72">C75/100</f>
        <v>0.95</v>
      </c>
      <c r="X75" s="176">
        <f t="shared" si="72"/>
        <v>1.68</v>
      </c>
      <c r="Y75" s="176">
        <f t="shared" si="14"/>
        <v>8.4</v>
      </c>
      <c r="Z75" s="283">
        <f t="shared" si="15"/>
        <v>13.4064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customHeight="1">
      <c r="A76" s="160">
        <v>57.0</v>
      </c>
      <c r="B76" s="191" t="s">
        <v>58</v>
      </c>
      <c r="C76" s="191">
        <v>93.0</v>
      </c>
      <c r="D76" s="191">
        <v>168.0</v>
      </c>
      <c r="E76" s="191">
        <v>158.0</v>
      </c>
      <c r="F76" s="191">
        <f t="shared" si="5"/>
        <v>0</v>
      </c>
      <c r="G76" s="191">
        <f t="shared" si="6"/>
        <v>72.823464</v>
      </c>
      <c r="H76" s="192">
        <f t="shared" si="7"/>
        <v>72.823464</v>
      </c>
      <c r="I76" s="191">
        <v>10.0</v>
      </c>
      <c r="J76" s="194">
        <f t="shared" si="8"/>
        <v>728.23464</v>
      </c>
      <c r="K76" s="139"/>
      <c r="L76" s="197"/>
      <c r="M76" s="198">
        <f t="shared" si="18"/>
        <v>10</v>
      </c>
      <c r="N76" s="198"/>
      <c r="O76" s="139"/>
      <c r="P76" s="139"/>
      <c r="Q76" s="176"/>
      <c r="R76" s="281">
        <v>29.5</v>
      </c>
      <c r="S76" s="176">
        <f t="shared" si="9"/>
        <v>1.58</v>
      </c>
      <c r="T76" s="160">
        <f t="shared" si="10"/>
        <v>10</v>
      </c>
      <c r="U76" s="160">
        <f t="shared" si="11"/>
        <v>15.8</v>
      </c>
      <c r="V76" s="282">
        <f t="shared" si="12"/>
        <v>72.823464</v>
      </c>
      <c r="W76" s="176">
        <f t="shared" ref="W76:X76" si="73">C76/100</f>
        <v>0.93</v>
      </c>
      <c r="X76" s="176">
        <f t="shared" si="73"/>
        <v>1.68</v>
      </c>
      <c r="Y76" s="176">
        <f t="shared" si="14"/>
        <v>15.8</v>
      </c>
      <c r="Z76" s="283">
        <f t="shared" si="15"/>
        <v>24.68592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customHeight="1">
      <c r="A77" s="160">
        <v>58.0</v>
      </c>
      <c r="B77" s="191" t="s">
        <v>58</v>
      </c>
      <c r="C77" s="191">
        <v>92.0</v>
      </c>
      <c r="D77" s="191">
        <v>168.0</v>
      </c>
      <c r="E77" s="191">
        <v>157.0</v>
      </c>
      <c r="F77" s="191">
        <f t="shared" si="5"/>
        <v>0</v>
      </c>
      <c r="G77" s="191">
        <f t="shared" si="6"/>
        <v>71.584464</v>
      </c>
      <c r="H77" s="192">
        <f t="shared" si="7"/>
        <v>71.584464</v>
      </c>
      <c r="I77" s="191">
        <v>1.0</v>
      </c>
      <c r="J77" s="194">
        <f t="shared" si="8"/>
        <v>71.584464</v>
      </c>
      <c r="K77" s="139"/>
      <c r="L77" s="197"/>
      <c r="M77" s="198">
        <f t="shared" si="18"/>
        <v>1</v>
      </c>
      <c r="N77" s="198"/>
      <c r="O77" s="139"/>
      <c r="P77" s="139"/>
      <c r="Q77" s="176"/>
      <c r="R77" s="281">
        <v>29.5</v>
      </c>
      <c r="S77" s="176">
        <f t="shared" si="9"/>
        <v>1.57</v>
      </c>
      <c r="T77" s="160">
        <f t="shared" si="10"/>
        <v>1</v>
      </c>
      <c r="U77" s="160">
        <f t="shared" si="11"/>
        <v>1.57</v>
      </c>
      <c r="V77" s="282">
        <f t="shared" si="12"/>
        <v>71.584464</v>
      </c>
      <c r="W77" s="176">
        <f t="shared" ref="W77:X77" si="74">C77/100</f>
        <v>0.92</v>
      </c>
      <c r="X77" s="176">
        <f t="shared" si="74"/>
        <v>1.68</v>
      </c>
      <c r="Y77" s="176">
        <f t="shared" si="14"/>
        <v>1.57</v>
      </c>
      <c r="Z77" s="283">
        <f t="shared" si="15"/>
        <v>2.426592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customHeight="1">
      <c r="A78" s="160">
        <v>59.0</v>
      </c>
      <c r="B78" s="191" t="s">
        <v>58</v>
      </c>
      <c r="C78" s="191">
        <v>93.0</v>
      </c>
      <c r="D78" s="191">
        <v>168.0</v>
      </c>
      <c r="E78" s="191">
        <v>151.0</v>
      </c>
      <c r="F78" s="191">
        <f t="shared" si="5"/>
        <v>0</v>
      </c>
      <c r="G78" s="191">
        <f t="shared" si="6"/>
        <v>69.597108</v>
      </c>
      <c r="H78" s="192">
        <f t="shared" si="7"/>
        <v>69.597108</v>
      </c>
      <c r="I78" s="191">
        <v>7.0</v>
      </c>
      <c r="J78" s="194">
        <f t="shared" si="8"/>
        <v>487.179756</v>
      </c>
      <c r="K78" s="139"/>
      <c r="L78" s="197"/>
      <c r="M78" s="198">
        <f t="shared" si="18"/>
        <v>7</v>
      </c>
      <c r="N78" s="198"/>
      <c r="O78" s="139"/>
      <c r="P78" s="139"/>
      <c r="Q78" s="176"/>
      <c r="R78" s="281">
        <v>29.5</v>
      </c>
      <c r="S78" s="176">
        <f t="shared" si="9"/>
        <v>1.51</v>
      </c>
      <c r="T78" s="160">
        <f t="shared" si="10"/>
        <v>7</v>
      </c>
      <c r="U78" s="160">
        <f t="shared" si="11"/>
        <v>10.57</v>
      </c>
      <c r="V78" s="282">
        <f t="shared" si="12"/>
        <v>69.597108</v>
      </c>
      <c r="W78" s="176">
        <f t="shared" ref="W78:X78" si="75">C78/100</f>
        <v>0.93</v>
      </c>
      <c r="X78" s="176">
        <f t="shared" si="75"/>
        <v>1.68</v>
      </c>
      <c r="Y78" s="176">
        <f t="shared" si="14"/>
        <v>10.57</v>
      </c>
      <c r="Z78" s="283">
        <f t="shared" si="15"/>
        <v>16.514568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customHeight="1">
      <c r="A79" s="160">
        <v>60.0</v>
      </c>
      <c r="B79" s="191" t="s">
        <v>58</v>
      </c>
      <c r="C79" s="191">
        <v>93.0</v>
      </c>
      <c r="D79" s="191">
        <v>168.0</v>
      </c>
      <c r="E79" s="191">
        <v>180.0</v>
      </c>
      <c r="F79" s="191">
        <f t="shared" si="5"/>
        <v>0</v>
      </c>
      <c r="G79" s="191">
        <f t="shared" si="6"/>
        <v>82.96344</v>
      </c>
      <c r="H79" s="192">
        <f t="shared" si="7"/>
        <v>82.96344</v>
      </c>
      <c r="I79" s="191">
        <v>1.0</v>
      </c>
      <c r="J79" s="194">
        <f t="shared" si="8"/>
        <v>82.96344</v>
      </c>
      <c r="K79" s="139"/>
      <c r="L79" s="176">
        <f t="shared" ref="L79:L80" si="77">D79*25.4/1000</f>
        <v>4.2672</v>
      </c>
      <c r="M79" s="160">
        <f t="shared" si="18"/>
        <v>1</v>
      </c>
      <c r="N79" s="160">
        <f t="shared" ref="N79:N80" si="78">M79*L79</f>
        <v>4.2672</v>
      </c>
      <c r="O79" s="139"/>
      <c r="P79" s="139"/>
      <c r="Q79" s="176"/>
      <c r="R79" s="281">
        <v>29.5</v>
      </c>
      <c r="S79" s="176">
        <f t="shared" si="9"/>
        <v>1.8</v>
      </c>
      <c r="T79" s="160">
        <f t="shared" si="10"/>
        <v>1</v>
      </c>
      <c r="U79" s="160">
        <f t="shared" si="11"/>
        <v>1.8</v>
      </c>
      <c r="V79" s="282">
        <f t="shared" si="12"/>
        <v>82.96344</v>
      </c>
      <c r="W79" s="176">
        <f t="shared" ref="W79:X79" si="76">C79/100</f>
        <v>0.93</v>
      </c>
      <c r="X79" s="176">
        <f t="shared" si="76"/>
        <v>1.68</v>
      </c>
      <c r="Y79" s="176">
        <f t="shared" si="14"/>
        <v>1.8</v>
      </c>
      <c r="Z79" s="283">
        <f t="shared" si="15"/>
        <v>2.81232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customHeight="1">
      <c r="A80" s="160">
        <v>61.0</v>
      </c>
      <c r="B80" s="191" t="s">
        <v>58</v>
      </c>
      <c r="C80" s="191">
        <v>83.0</v>
      </c>
      <c r="D80" s="191">
        <v>168.0</v>
      </c>
      <c r="E80" s="191">
        <v>164.0</v>
      </c>
      <c r="F80" s="191">
        <f t="shared" si="5"/>
        <v>0</v>
      </c>
      <c r="G80" s="191">
        <f t="shared" si="6"/>
        <v>67.461072</v>
      </c>
      <c r="H80" s="192">
        <f t="shared" si="7"/>
        <v>67.461072</v>
      </c>
      <c r="I80" s="191">
        <v>1.0</v>
      </c>
      <c r="J80" s="194">
        <f t="shared" si="8"/>
        <v>67.461072</v>
      </c>
      <c r="K80" s="139"/>
      <c r="L80" s="197">
        <f t="shared" si="77"/>
        <v>4.2672</v>
      </c>
      <c r="M80" s="198">
        <f t="shared" si="18"/>
        <v>1</v>
      </c>
      <c r="N80" s="198">
        <f t="shared" si="78"/>
        <v>4.2672</v>
      </c>
      <c r="O80" s="139"/>
      <c r="P80" s="139"/>
      <c r="Q80" s="176"/>
      <c r="R80" s="281">
        <v>29.5</v>
      </c>
      <c r="S80" s="176">
        <f t="shared" si="9"/>
        <v>1.64</v>
      </c>
      <c r="T80" s="160">
        <f t="shared" si="10"/>
        <v>1</v>
      </c>
      <c r="U80" s="160">
        <f t="shared" si="11"/>
        <v>1.64</v>
      </c>
      <c r="V80" s="282">
        <f t="shared" si="12"/>
        <v>67.461072</v>
      </c>
      <c r="W80" s="176">
        <f t="shared" ref="W80:X80" si="79">C80/100</f>
        <v>0.83</v>
      </c>
      <c r="X80" s="176">
        <f t="shared" si="79"/>
        <v>1.68</v>
      </c>
      <c r="Y80" s="176">
        <f t="shared" si="14"/>
        <v>1.64</v>
      </c>
      <c r="Z80" s="283">
        <f t="shared" si="15"/>
        <v>2.286816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customHeight="1">
      <c r="A81" s="160">
        <v>62.0</v>
      </c>
      <c r="B81" s="191" t="s">
        <v>58</v>
      </c>
      <c r="C81" s="191">
        <v>93.0</v>
      </c>
      <c r="D81" s="191">
        <v>168.0</v>
      </c>
      <c r="E81" s="191">
        <v>180.0</v>
      </c>
      <c r="F81" s="191">
        <f t="shared" si="5"/>
        <v>0</v>
      </c>
      <c r="G81" s="191">
        <f t="shared" si="6"/>
        <v>82.96344</v>
      </c>
      <c r="H81" s="192">
        <f t="shared" si="7"/>
        <v>82.96344</v>
      </c>
      <c r="I81" s="191">
        <v>3.0</v>
      </c>
      <c r="J81" s="194">
        <f t="shared" si="8"/>
        <v>248.89032</v>
      </c>
      <c r="K81" s="139"/>
      <c r="L81" s="197"/>
      <c r="M81" s="198">
        <f t="shared" si="18"/>
        <v>3</v>
      </c>
      <c r="N81" s="198"/>
      <c r="O81" s="139"/>
      <c r="P81" s="139"/>
      <c r="Q81" s="176"/>
      <c r="R81" s="281">
        <v>29.5</v>
      </c>
      <c r="S81" s="176">
        <f t="shared" si="9"/>
        <v>1.8</v>
      </c>
      <c r="T81" s="160">
        <f t="shared" si="10"/>
        <v>3</v>
      </c>
      <c r="U81" s="160">
        <f t="shared" si="11"/>
        <v>5.4</v>
      </c>
      <c r="V81" s="282">
        <f t="shared" si="12"/>
        <v>82.96344</v>
      </c>
      <c r="W81" s="176">
        <f t="shared" ref="W81:X81" si="80">C81/100</f>
        <v>0.93</v>
      </c>
      <c r="X81" s="176">
        <f t="shared" si="80"/>
        <v>1.68</v>
      </c>
      <c r="Y81" s="176">
        <f t="shared" si="14"/>
        <v>5.4</v>
      </c>
      <c r="Z81" s="283">
        <f t="shared" si="15"/>
        <v>8.43696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customHeight="1">
      <c r="A82" s="160">
        <v>63.0</v>
      </c>
      <c r="B82" s="191" t="s">
        <v>58</v>
      </c>
      <c r="C82" s="191">
        <v>94.0</v>
      </c>
      <c r="D82" s="191">
        <v>168.0</v>
      </c>
      <c r="E82" s="191">
        <v>168.0</v>
      </c>
      <c r="F82" s="191">
        <f t="shared" si="5"/>
        <v>0</v>
      </c>
      <c r="G82" s="191">
        <f t="shared" si="6"/>
        <v>78.265152</v>
      </c>
      <c r="H82" s="192">
        <f t="shared" si="7"/>
        <v>78.265152</v>
      </c>
      <c r="I82" s="191">
        <v>1.0</v>
      </c>
      <c r="J82" s="194">
        <f t="shared" si="8"/>
        <v>78.265152</v>
      </c>
      <c r="K82" s="139"/>
      <c r="L82" s="197"/>
      <c r="M82" s="198">
        <f t="shared" si="18"/>
        <v>1</v>
      </c>
      <c r="N82" s="198"/>
      <c r="O82" s="139"/>
      <c r="P82" s="139"/>
      <c r="Q82" s="176"/>
      <c r="R82" s="281">
        <v>29.5</v>
      </c>
      <c r="S82" s="176">
        <f t="shared" si="9"/>
        <v>1.68</v>
      </c>
      <c r="T82" s="160">
        <f t="shared" si="10"/>
        <v>1</v>
      </c>
      <c r="U82" s="160">
        <f t="shared" si="11"/>
        <v>1.68</v>
      </c>
      <c r="V82" s="282">
        <f t="shared" si="12"/>
        <v>78.265152</v>
      </c>
      <c r="W82" s="176">
        <f t="shared" ref="W82:X82" si="81">C82/100</f>
        <v>0.94</v>
      </c>
      <c r="X82" s="176">
        <f t="shared" si="81"/>
        <v>1.68</v>
      </c>
      <c r="Y82" s="176">
        <f t="shared" si="14"/>
        <v>1.68</v>
      </c>
      <c r="Z82" s="283">
        <f t="shared" si="15"/>
        <v>2.653056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customHeight="1">
      <c r="A83" s="160">
        <v>64.0</v>
      </c>
      <c r="B83" s="191" t="s">
        <v>58</v>
      </c>
      <c r="C83" s="191">
        <v>91.0</v>
      </c>
      <c r="D83" s="191">
        <v>168.0</v>
      </c>
      <c r="E83" s="191">
        <v>168.0</v>
      </c>
      <c r="F83" s="191">
        <f t="shared" si="5"/>
        <v>0</v>
      </c>
      <c r="G83" s="191">
        <f t="shared" si="6"/>
        <v>75.767328</v>
      </c>
      <c r="H83" s="192">
        <f t="shared" si="7"/>
        <v>75.767328</v>
      </c>
      <c r="I83" s="191">
        <v>1.0</v>
      </c>
      <c r="J83" s="194">
        <f t="shared" si="8"/>
        <v>75.767328</v>
      </c>
      <c r="K83" s="139"/>
      <c r="L83" s="197"/>
      <c r="M83" s="198">
        <f t="shared" si="18"/>
        <v>1</v>
      </c>
      <c r="N83" s="198"/>
      <c r="O83" s="139"/>
      <c r="P83" s="139"/>
      <c r="Q83" s="176"/>
      <c r="R83" s="281">
        <v>29.5</v>
      </c>
      <c r="S83" s="176">
        <f t="shared" si="9"/>
        <v>1.68</v>
      </c>
      <c r="T83" s="160">
        <f t="shared" si="10"/>
        <v>1</v>
      </c>
      <c r="U83" s="160">
        <f t="shared" si="11"/>
        <v>1.68</v>
      </c>
      <c r="V83" s="282">
        <f t="shared" si="12"/>
        <v>75.767328</v>
      </c>
      <c r="W83" s="176">
        <f t="shared" ref="W83:X83" si="82">C83/100</f>
        <v>0.91</v>
      </c>
      <c r="X83" s="176">
        <f t="shared" si="82"/>
        <v>1.68</v>
      </c>
      <c r="Y83" s="176">
        <f t="shared" si="14"/>
        <v>1.68</v>
      </c>
      <c r="Z83" s="283">
        <f t="shared" si="15"/>
        <v>2.568384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customHeight="1">
      <c r="A84" s="160">
        <v>65.0</v>
      </c>
      <c r="B84" s="191" t="s">
        <v>58</v>
      </c>
      <c r="C84" s="191">
        <v>86.0</v>
      </c>
      <c r="D84" s="191">
        <v>168.0</v>
      </c>
      <c r="E84" s="191">
        <v>127.0</v>
      </c>
      <c r="F84" s="191">
        <f t="shared" si="5"/>
        <v>0</v>
      </c>
      <c r="G84" s="191">
        <f t="shared" si="6"/>
        <v>54.129432</v>
      </c>
      <c r="H84" s="192">
        <f t="shared" si="7"/>
        <v>54.129432</v>
      </c>
      <c r="I84" s="191">
        <v>1.0</v>
      </c>
      <c r="J84" s="194">
        <f t="shared" si="8"/>
        <v>54.129432</v>
      </c>
      <c r="K84" s="139"/>
      <c r="L84" s="197"/>
      <c r="M84" s="198">
        <f t="shared" si="18"/>
        <v>1</v>
      </c>
      <c r="N84" s="198"/>
      <c r="O84" s="139"/>
      <c r="P84" s="139"/>
      <c r="Q84" s="176"/>
      <c r="R84" s="281">
        <v>29.5</v>
      </c>
      <c r="S84" s="176">
        <f t="shared" si="9"/>
        <v>1.27</v>
      </c>
      <c r="T84" s="160">
        <f t="shared" si="10"/>
        <v>1</v>
      </c>
      <c r="U84" s="160">
        <f t="shared" si="11"/>
        <v>1.27</v>
      </c>
      <c r="V84" s="282">
        <f t="shared" si="12"/>
        <v>54.129432</v>
      </c>
      <c r="W84" s="176">
        <f t="shared" ref="W84:X84" si="83">C84/100</f>
        <v>0.86</v>
      </c>
      <c r="X84" s="176">
        <f t="shared" si="83"/>
        <v>1.68</v>
      </c>
      <c r="Y84" s="176">
        <f t="shared" si="14"/>
        <v>1.27</v>
      </c>
      <c r="Z84" s="283">
        <f t="shared" si="15"/>
        <v>1.834896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customHeight="1">
      <c r="A85" s="160">
        <v>66.0</v>
      </c>
      <c r="B85" s="182" t="s">
        <v>65</v>
      </c>
      <c r="C85" s="183">
        <v>85.0</v>
      </c>
      <c r="D85" s="183">
        <v>202.0</v>
      </c>
      <c r="E85" s="183">
        <v>252.0</v>
      </c>
      <c r="F85" s="183">
        <f t="shared" si="5"/>
        <v>0.8</v>
      </c>
      <c r="G85" s="183">
        <f t="shared" si="6"/>
        <v>127.64178</v>
      </c>
      <c r="H85" s="184">
        <f t="shared" si="7"/>
        <v>102.113424</v>
      </c>
      <c r="I85" s="183">
        <v>1.0</v>
      </c>
      <c r="J85" s="185">
        <f t="shared" si="8"/>
        <v>102.113424</v>
      </c>
      <c r="K85" s="139"/>
      <c r="L85" s="197"/>
      <c r="M85" s="198">
        <f t="shared" si="18"/>
        <v>1</v>
      </c>
      <c r="N85" s="198"/>
      <c r="O85" s="139"/>
      <c r="P85" s="139"/>
      <c r="Q85" s="176"/>
      <c r="R85" s="281">
        <v>29.5</v>
      </c>
      <c r="S85" s="176">
        <f t="shared" si="9"/>
        <v>2.52</v>
      </c>
      <c r="T85" s="160">
        <f t="shared" si="10"/>
        <v>1</v>
      </c>
      <c r="U85" s="160">
        <f t="shared" si="11"/>
        <v>2.52</v>
      </c>
      <c r="V85" s="282">
        <f t="shared" si="12"/>
        <v>127.64178</v>
      </c>
      <c r="W85" s="176">
        <f t="shared" ref="W85:X85" si="84">C85/100</f>
        <v>0.85</v>
      </c>
      <c r="X85" s="176">
        <f t="shared" si="84"/>
        <v>2.02</v>
      </c>
      <c r="Y85" s="176">
        <f t="shared" si="14"/>
        <v>2.52</v>
      </c>
      <c r="Z85" s="283">
        <f t="shared" si="15"/>
        <v>4.32684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customHeight="1">
      <c r="A86" s="160">
        <v>67.0</v>
      </c>
      <c r="B86" s="191" t="s">
        <v>56</v>
      </c>
      <c r="C86" s="191">
        <v>100.0</v>
      </c>
      <c r="D86" s="191">
        <v>202.0</v>
      </c>
      <c r="E86" s="191">
        <v>252.0</v>
      </c>
      <c r="F86" s="191">
        <f t="shared" si="5"/>
        <v>0</v>
      </c>
      <c r="G86" s="191">
        <f t="shared" si="6"/>
        <v>150.1668</v>
      </c>
      <c r="H86" s="192">
        <f t="shared" si="7"/>
        <v>150.1668</v>
      </c>
      <c r="I86" s="191">
        <v>13.0</v>
      </c>
      <c r="J86" s="194">
        <f t="shared" si="8"/>
        <v>1952.1684</v>
      </c>
      <c r="K86" s="139"/>
      <c r="L86" s="197"/>
      <c r="M86" s="198">
        <f t="shared" si="18"/>
        <v>13</v>
      </c>
      <c r="N86" s="198"/>
      <c r="O86" s="139"/>
      <c r="P86" s="139"/>
      <c r="Q86" s="176"/>
      <c r="R86" s="281">
        <v>29.5</v>
      </c>
      <c r="S86" s="176">
        <f t="shared" si="9"/>
        <v>2.52</v>
      </c>
      <c r="T86" s="160">
        <f t="shared" si="10"/>
        <v>13</v>
      </c>
      <c r="U86" s="160">
        <f t="shared" si="11"/>
        <v>32.76</v>
      </c>
      <c r="V86" s="282">
        <f t="shared" si="12"/>
        <v>150.1668</v>
      </c>
      <c r="W86" s="176">
        <f t="shared" ref="W86:X86" si="85">C86/100</f>
        <v>1</v>
      </c>
      <c r="X86" s="176">
        <f t="shared" si="85"/>
        <v>2.02</v>
      </c>
      <c r="Y86" s="176">
        <f t="shared" si="14"/>
        <v>32.76</v>
      </c>
      <c r="Z86" s="283">
        <f t="shared" si="15"/>
        <v>66.1752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customHeight="1">
      <c r="A87" s="160">
        <v>68.0</v>
      </c>
      <c r="B87" s="191" t="s">
        <v>56</v>
      </c>
      <c r="C87" s="191">
        <v>100.0</v>
      </c>
      <c r="D87" s="191">
        <v>202.0</v>
      </c>
      <c r="E87" s="191">
        <v>202.0</v>
      </c>
      <c r="F87" s="191">
        <f t="shared" si="5"/>
        <v>0</v>
      </c>
      <c r="G87" s="191">
        <f t="shared" si="6"/>
        <v>120.3718</v>
      </c>
      <c r="H87" s="192">
        <f t="shared" si="7"/>
        <v>120.3718</v>
      </c>
      <c r="I87" s="191">
        <v>49.0</v>
      </c>
      <c r="J87" s="194">
        <f t="shared" si="8"/>
        <v>5898.2182</v>
      </c>
      <c r="K87" s="139"/>
      <c r="L87" s="197"/>
      <c r="M87" s="198">
        <f t="shared" si="18"/>
        <v>49</v>
      </c>
      <c r="N87" s="198"/>
      <c r="O87" s="139"/>
      <c r="P87" s="139"/>
      <c r="Q87" s="176"/>
      <c r="R87" s="281">
        <v>29.5</v>
      </c>
      <c r="S87" s="176">
        <f t="shared" si="9"/>
        <v>2.02</v>
      </c>
      <c r="T87" s="160">
        <f t="shared" si="10"/>
        <v>49</v>
      </c>
      <c r="U87" s="160">
        <f t="shared" si="11"/>
        <v>98.98</v>
      </c>
      <c r="V87" s="282">
        <f t="shared" si="12"/>
        <v>120.3718</v>
      </c>
      <c r="W87" s="176">
        <f t="shared" ref="W87:X87" si="86">C87/100</f>
        <v>1</v>
      </c>
      <c r="X87" s="176">
        <f t="shared" si="86"/>
        <v>2.02</v>
      </c>
      <c r="Y87" s="176">
        <f t="shared" si="14"/>
        <v>98.98</v>
      </c>
      <c r="Z87" s="283">
        <f t="shared" si="15"/>
        <v>199.9396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customHeight="1">
      <c r="A88" s="160">
        <v>69.0</v>
      </c>
      <c r="B88" s="191" t="s">
        <v>56</v>
      </c>
      <c r="C88" s="191">
        <v>99.0</v>
      </c>
      <c r="D88" s="191">
        <v>202.0</v>
      </c>
      <c r="E88" s="191">
        <v>202.0</v>
      </c>
      <c r="F88" s="191">
        <f t="shared" si="5"/>
        <v>0</v>
      </c>
      <c r="G88" s="191">
        <f t="shared" si="6"/>
        <v>119.168082</v>
      </c>
      <c r="H88" s="192">
        <f t="shared" si="7"/>
        <v>119.168082</v>
      </c>
      <c r="I88" s="191">
        <v>3.0</v>
      </c>
      <c r="J88" s="194">
        <f t="shared" si="8"/>
        <v>357.504246</v>
      </c>
      <c r="K88" s="139"/>
      <c r="L88" s="197"/>
      <c r="M88" s="198">
        <f t="shared" si="18"/>
        <v>3</v>
      </c>
      <c r="N88" s="198"/>
      <c r="O88" s="139"/>
      <c r="P88" s="139"/>
      <c r="Q88" s="176"/>
      <c r="R88" s="281">
        <v>29.5</v>
      </c>
      <c r="S88" s="176">
        <f t="shared" si="9"/>
        <v>2.02</v>
      </c>
      <c r="T88" s="160">
        <f t="shared" si="10"/>
        <v>3</v>
      </c>
      <c r="U88" s="160">
        <f t="shared" si="11"/>
        <v>6.06</v>
      </c>
      <c r="V88" s="282">
        <f t="shared" si="12"/>
        <v>119.168082</v>
      </c>
      <c r="W88" s="176">
        <f t="shared" ref="W88:X88" si="87">C88/100</f>
        <v>0.99</v>
      </c>
      <c r="X88" s="176">
        <f t="shared" si="87"/>
        <v>2.02</v>
      </c>
      <c r="Y88" s="176">
        <f t="shared" si="14"/>
        <v>6.06</v>
      </c>
      <c r="Z88" s="283">
        <f t="shared" si="15"/>
        <v>12.118788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customHeight="1">
      <c r="A89" s="160">
        <v>70.0</v>
      </c>
      <c r="B89" s="191" t="s">
        <v>56</v>
      </c>
      <c r="C89" s="191">
        <v>100.0</v>
      </c>
      <c r="D89" s="191">
        <v>202.0</v>
      </c>
      <c r="E89" s="191">
        <v>251.0</v>
      </c>
      <c r="F89" s="191">
        <f t="shared" si="5"/>
        <v>0</v>
      </c>
      <c r="G89" s="191">
        <f t="shared" si="6"/>
        <v>149.5709</v>
      </c>
      <c r="H89" s="192">
        <f t="shared" si="7"/>
        <v>149.5709</v>
      </c>
      <c r="I89" s="191">
        <v>2.0</v>
      </c>
      <c r="J89" s="194">
        <f t="shared" si="8"/>
        <v>299.1418</v>
      </c>
      <c r="K89" s="139"/>
      <c r="L89" s="197"/>
      <c r="M89" s="198">
        <f t="shared" si="18"/>
        <v>2</v>
      </c>
      <c r="N89" s="198"/>
      <c r="O89" s="139"/>
      <c r="P89" s="139"/>
      <c r="Q89" s="176"/>
      <c r="R89" s="281">
        <v>29.5</v>
      </c>
      <c r="S89" s="176">
        <f t="shared" si="9"/>
        <v>2.51</v>
      </c>
      <c r="T89" s="160">
        <f t="shared" si="10"/>
        <v>2</v>
      </c>
      <c r="U89" s="160">
        <f t="shared" si="11"/>
        <v>5.02</v>
      </c>
      <c r="V89" s="282">
        <f t="shared" si="12"/>
        <v>149.5709</v>
      </c>
      <c r="W89" s="176">
        <f t="shared" ref="W89:X89" si="88">C89/100</f>
        <v>1</v>
      </c>
      <c r="X89" s="176">
        <f t="shared" si="88"/>
        <v>2.02</v>
      </c>
      <c r="Y89" s="176">
        <f t="shared" si="14"/>
        <v>5.02</v>
      </c>
      <c r="Z89" s="283">
        <f t="shared" si="15"/>
        <v>10.1404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customHeight="1">
      <c r="A90" s="160">
        <v>71.0</v>
      </c>
      <c r="B90" s="191" t="s">
        <v>56</v>
      </c>
      <c r="C90" s="191">
        <v>99.0</v>
      </c>
      <c r="D90" s="191">
        <v>202.0</v>
      </c>
      <c r="E90" s="191">
        <v>252.0</v>
      </c>
      <c r="F90" s="191">
        <f t="shared" si="5"/>
        <v>0</v>
      </c>
      <c r="G90" s="191">
        <f t="shared" si="6"/>
        <v>148.665132</v>
      </c>
      <c r="H90" s="192">
        <f t="shared" si="7"/>
        <v>148.665132</v>
      </c>
      <c r="I90" s="191">
        <v>1.0</v>
      </c>
      <c r="J90" s="194">
        <f t="shared" si="8"/>
        <v>148.665132</v>
      </c>
      <c r="K90" s="139"/>
      <c r="L90" s="197"/>
      <c r="M90" s="198">
        <f t="shared" si="18"/>
        <v>1</v>
      </c>
      <c r="N90" s="198"/>
      <c r="O90" s="139"/>
      <c r="P90" s="139"/>
      <c r="Q90" s="176"/>
      <c r="R90" s="281">
        <v>29.5</v>
      </c>
      <c r="S90" s="176">
        <f t="shared" si="9"/>
        <v>2.52</v>
      </c>
      <c r="T90" s="160">
        <f t="shared" si="10"/>
        <v>1</v>
      </c>
      <c r="U90" s="160">
        <f t="shared" si="11"/>
        <v>2.52</v>
      </c>
      <c r="V90" s="282">
        <f t="shared" si="12"/>
        <v>148.665132</v>
      </c>
      <c r="W90" s="176">
        <f t="shared" ref="W90:X90" si="89">C90/100</f>
        <v>0.99</v>
      </c>
      <c r="X90" s="176">
        <f t="shared" si="89"/>
        <v>2.02</v>
      </c>
      <c r="Y90" s="176">
        <f t="shared" si="14"/>
        <v>2.52</v>
      </c>
      <c r="Z90" s="283">
        <f t="shared" si="15"/>
        <v>5.039496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customHeight="1">
      <c r="A91" s="160">
        <v>72.0</v>
      </c>
      <c r="B91" s="191" t="s">
        <v>56</v>
      </c>
      <c r="C91" s="191">
        <v>101.0</v>
      </c>
      <c r="D91" s="191">
        <v>202.0</v>
      </c>
      <c r="E91" s="191">
        <v>252.0</v>
      </c>
      <c r="F91" s="191">
        <f t="shared" si="5"/>
        <v>0</v>
      </c>
      <c r="G91" s="191">
        <f t="shared" si="6"/>
        <v>151.668468</v>
      </c>
      <c r="H91" s="192">
        <f t="shared" si="7"/>
        <v>151.668468</v>
      </c>
      <c r="I91" s="191">
        <v>3.0</v>
      </c>
      <c r="J91" s="194">
        <f t="shared" si="8"/>
        <v>455.005404</v>
      </c>
      <c r="K91" s="139"/>
      <c r="L91" s="197"/>
      <c r="M91" s="198">
        <f t="shared" si="18"/>
        <v>3</v>
      </c>
      <c r="N91" s="198"/>
      <c r="O91" s="139"/>
      <c r="P91" s="139"/>
      <c r="Q91" s="176"/>
      <c r="R91" s="281">
        <v>29.5</v>
      </c>
      <c r="S91" s="187">
        <f t="shared" si="9"/>
        <v>2.52</v>
      </c>
      <c r="T91" s="181">
        <f t="shared" si="10"/>
        <v>3</v>
      </c>
      <c r="U91" s="181">
        <f t="shared" si="11"/>
        <v>7.56</v>
      </c>
      <c r="V91" s="278">
        <f t="shared" si="12"/>
        <v>151.668468</v>
      </c>
      <c r="W91" s="187">
        <f t="shared" ref="W91:X91" si="90">C91/100</f>
        <v>1.01</v>
      </c>
      <c r="X91" s="187">
        <f t="shared" si="90"/>
        <v>2.02</v>
      </c>
      <c r="Y91" s="187">
        <f t="shared" si="14"/>
        <v>7.56</v>
      </c>
      <c r="Z91" s="189">
        <f t="shared" si="15"/>
        <v>15.423912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customHeight="1">
      <c r="A92" s="160">
        <v>73.0</v>
      </c>
      <c r="B92" s="191" t="s">
        <v>56</v>
      </c>
      <c r="C92" s="191">
        <v>102.0</v>
      </c>
      <c r="D92" s="191">
        <v>202.0</v>
      </c>
      <c r="E92" s="191">
        <v>252.0</v>
      </c>
      <c r="F92" s="191">
        <f t="shared" si="5"/>
        <v>0</v>
      </c>
      <c r="G92" s="191">
        <f t="shared" si="6"/>
        <v>153.170136</v>
      </c>
      <c r="H92" s="192">
        <f t="shared" si="7"/>
        <v>153.170136</v>
      </c>
      <c r="I92" s="191">
        <v>5.0</v>
      </c>
      <c r="J92" s="194">
        <f t="shared" si="8"/>
        <v>765.85068</v>
      </c>
      <c r="K92" s="139"/>
      <c r="L92" s="197"/>
      <c r="M92" s="198">
        <f t="shared" si="18"/>
        <v>5</v>
      </c>
      <c r="N92" s="198"/>
      <c r="O92" s="139"/>
      <c r="P92" s="139"/>
      <c r="Q92" s="176"/>
      <c r="R92" s="281">
        <v>29.5</v>
      </c>
      <c r="S92" s="187">
        <f t="shared" si="9"/>
        <v>2.52</v>
      </c>
      <c r="T92" s="181">
        <f t="shared" si="10"/>
        <v>5</v>
      </c>
      <c r="U92" s="181">
        <f t="shared" si="11"/>
        <v>12.6</v>
      </c>
      <c r="V92" s="278">
        <f t="shared" si="12"/>
        <v>153.170136</v>
      </c>
      <c r="W92" s="187">
        <f t="shared" ref="W92:X92" si="91">C92/100</f>
        <v>1.02</v>
      </c>
      <c r="X92" s="187">
        <f t="shared" si="91"/>
        <v>2.02</v>
      </c>
      <c r="Y92" s="187">
        <f t="shared" si="14"/>
        <v>12.6</v>
      </c>
      <c r="Z92" s="189">
        <f t="shared" si="15"/>
        <v>25.96104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customHeight="1">
      <c r="A93" s="160">
        <v>74.0</v>
      </c>
      <c r="B93" s="191" t="s">
        <v>56</v>
      </c>
      <c r="C93" s="191">
        <v>96.0</v>
      </c>
      <c r="D93" s="191">
        <v>202.0</v>
      </c>
      <c r="E93" s="191">
        <v>252.0</v>
      </c>
      <c r="F93" s="191">
        <f t="shared" si="5"/>
        <v>0</v>
      </c>
      <c r="G93" s="191">
        <f t="shared" si="6"/>
        <v>144.160128</v>
      </c>
      <c r="H93" s="192">
        <f t="shared" si="7"/>
        <v>144.160128</v>
      </c>
      <c r="I93" s="191">
        <v>1.0</v>
      </c>
      <c r="J93" s="194">
        <f t="shared" si="8"/>
        <v>144.160128</v>
      </c>
      <c r="K93" s="139"/>
      <c r="L93" s="197"/>
      <c r="M93" s="198">
        <f t="shared" si="18"/>
        <v>1</v>
      </c>
      <c r="N93" s="198"/>
      <c r="O93" s="139"/>
      <c r="P93" s="139"/>
      <c r="Q93" s="176"/>
      <c r="R93" s="281">
        <v>29.5</v>
      </c>
      <c r="S93" s="187">
        <f t="shared" si="9"/>
        <v>2.52</v>
      </c>
      <c r="T93" s="181">
        <f t="shared" si="10"/>
        <v>1</v>
      </c>
      <c r="U93" s="181">
        <f t="shared" si="11"/>
        <v>2.52</v>
      </c>
      <c r="V93" s="278">
        <f t="shared" si="12"/>
        <v>144.160128</v>
      </c>
      <c r="W93" s="187">
        <f t="shared" ref="W93:X93" si="92">C93/100</f>
        <v>0.96</v>
      </c>
      <c r="X93" s="187">
        <f t="shared" si="92"/>
        <v>2.02</v>
      </c>
      <c r="Y93" s="187">
        <f t="shared" si="14"/>
        <v>2.52</v>
      </c>
      <c r="Z93" s="189">
        <f t="shared" si="15"/>
        <v>4.886784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customHeight="1">
      <c r="A94" s="160">
        <v>75.0</v>
      </c>
      <c r="B94" s="191" t="s">
        <v>56</v>
      </c>
      <c r="C94" s="191">
        <v>103.0</v>
      </c>
      <c r="D94" s="191">
        <v>202.0</v>
      </c>
      <c r="E94" s="191">
        <v>252.0</v>
      </c>
      <c r="F94" s="191">
        <f t="shared" si="5"/>
        <v>0</v>
      </c>
      <c r="G94" s="191">
        <f t="shared" si="6"/>
        <v>154.671804</v>
      </c>
      <c r="H94" s="192">
        <f t="shared" si="7"/>
        <v>154.671804</v>
      </c>
      <c r="I94" s="191">
        <v>2.0</v>
      </c>
      <c r="J94" s="194">
        <f t="shared" si="8"/>
        <v>309.343608</v>
      </c>
      <c r="K94" s="139"/>
      <c r="L94" s="197"/>
      <c r="M94" s="198">
        <f t="shared" si="18"/>
        <v>2</v>
      </c>
      <c r="N94" s="198"/>
      <c r="O94" s="139"/>
      <c r="P94" s="139"/>
      <c r="Q94" s="176"/>
      <c r="R94" s="281">
        <v>29.5</v>
      </c>
      <c r="S94" s="187">
        <f t="shared" si="9"/>
        <v>2.52</v>
      </c>
      <c r="T94" s="181">
        <f t="shared" si="10"/>
        <v>2</v>
      </c>
      <c r="U94" s="181">
        <f t="shared" si="11"/>
        <v>5.04</v>
      </c>
      <c r="V94" s="278">
        <f t="shared" si="12"/>
        <v>154.671804</v>
      </c>
      <c r="W94" s="187">
        <f t="shared" ref="W94:X94" si="93">C94/100</f>
        <v>1.03</v>
      </c>
      <c r="X94" s="187">
        <f t="shared" si="93"/>
        <v>2.02</v>
      </c>
      <c r="Y94" s="187">
        <f t="shared" si="14"/>
        <v>5.04</v>
      </c>
      <c r="Z94" s="189">
        <f t="shared" si="15"/>
        <v>10.486224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customHeight="1">
      <c r="A95" s="160">
        <v>76.0</v>
      </c>
      <c r="B95" s="191" t="s">
        <v>56</v>
      </c>
      <c r="C95" s="191">
        <v>100.0</v>
      </c>
      <c r="D95" s="191">
        <v>202.0</v>
      </c>
      <c r="E95" s="191">
        <v>201.0</v>
      </c>
      <c r="F95" s="191">
        <f t="shared" si="5"/>
        <v>0</v>
      </c>
      <c r="G95" s="191">
        <f t="shared" si="6"/>
        <v>119.7759</v>
      </c>
      <c r="H95" s="192">
        <f t="shared" si="7"/>
        <v>119.7759</v>
      </c>
      <c r="I95" s="191">
        <v>11.0</v>
      </c>
      <c r="J95" s="194">
        <f t="shared" si="8"/>
        <v>1317.5349</v>
      </c>
      <c r="K95" s="139"/>
      <c r="L95" s="197"/>
      <c r="M95" s="198">
        <f t="shared" si="18"/>
        <v>11</v>
      </c>
      <c r="N95" s="198"/>
      <c r="O95" s="139"/>
      <c r="P95" s="139"/>
      <c r="Q95" s="194"/>
      <c r="R95" s="281">
        <v>29.5</v>
      </c>
      <c r="S95" s="187">
        <f t="shared" si="9"/>
        <v>2.01</v>
      </c>
      <c r="T95" s="181">
        <f t="shared" si="10"/>
        <v>11</v>
      </c>
      <c r="U95" s="181">
        <f t="shared" si="11"/>
        <v>22.11</v>
      </c>
      <c r="V95" s="186">
        <f t="shared" si="12"/>
        <v>119.7759</v>
      </c>
      <c r="W95" s="187">
        <f t="shared" ref="W95:X95" si="94">C95/100</f>
        <v>1</v>
      </c>
      <c r="X95" s="187">
        <f t="shared" si="94"/>
        <v>2.02</v>
      </c>
      <c r="Y95" s="187">
        <f t="shared" si="14"/>
        <v>22.11</v>
      </c>
      <c r="Z95" s="189">
        <f t="shared" si="15"/>
        <v>44.6622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customHeight="1">
      <c r="A96" s="160">
        <v>77.0</v>
      </c>
      <c r="B96" s="191" t="s">
        <v>56</v>
      </c>
      <c r="C96" s="191">
        <v>99.0</v>
      </c>
      <c r="D96" s="191">
        <v>202.0</v>
      </c>
      <c r="E96" s="191">
        <v>210.0</v>
      </c>
      <c r="F96" s="191">
        <f t="shared" si="5"/>
        <v>0</v>
      </c>
      <c r="G96" s="191">
        <f t="shared" si="6"/>
        <v>123.88761</v>
      </c>
      <c r="H96" s="192">
        <f t="shared" si="7"/>
        <v>123.88761</v>
      </c>
      <c r="I96" s="191">
        <v>1.0</v>
      </c>
      <c r="J96" s="194">
        <f t="shared" si="8"/>
        <v>123.88761</v>
      </c>
      <c r="K96" s="139"/>
      <c r="L96" s="197"/>
      <c r="M96" s="198">
        <f t="shared" si="18"/>
        <v>1</v>
      </c>
      <c r="N96" s="198"/>
      <c r="O96" s="139"/>
      <c r="P96" s="139"/>
      <c r="Q96" s="194"/>
      <c r="R96" s="281">
        <v>29.5</v>
      </c>
      <c r="S96" s="187">
        <f t="shared" si="9"/>
        <v>2.1</v>
      </c>
      <c r="T96" s="181">
        <f t="shared" si="10"/>
        <v>1</v>
      </c>
      <c r="U96" s="181">
        <f t="shared" si="11"/>
        <v>2.1</v>
      </c>
      <c r="V96" s="186">
        <f t="shared" si="12"/>
        <v>123.88761</v>
      </c>
      <c r="W96" s="187">
        <f t="shared" ref="W96:X96" si="95">C96/100</f>
        <v>0.99</v>
      </c>
      <c r="X96" s="187">
        <f t="shared" si="95"/>
        <v>2.02</v>
      </c>
      <c r="Y96" s="187">
        <f t="shared" si="14"/>
        <v>2.1</v>
      </c>
      <c r="Z96" s="189">
        <f t="shared" si="15"/>
        <v>4.19958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customHeight="1">
      <c r="A97" s="160">
        <v>78.0</v>
      </c>
      <c r="B97" s="191" t="s">
        <v>56</v>
      </c>
      <c r="C97" s="191">
        <v>86.0</v>
      </c>
      <c r="D97" s="191">
        <v>202.0</v>
      </c>
      <c r="E97" s="191">
        <v>254.0</v>
      </c>
      <c r="F97" s="191">
        <f t="shared" si="5"/>
        <v>0</v>
      </c>
      <c r="G97" s="191">
        <f t="shared" si="6"/>
        <v>130.168396</v>
      </c>
      <c r="H97" s="192">
        <f t="shared" si="7"/>
        <v>130.168396</v>
      </c>
      <c r="I97" s="191">
        <v>1.0</v>
      </c>
      <c r="J97" s="194">
        <f t="shared" si="8"/>
        <v>130.168396</v>
      </c>
      <c r="K97" s="139"/>
      <c r="L97" s="197"/>
      <c r="M97" s="198">
        <f t="shared" si="18"/>
        <v>1</v>
      </c>
      <c r="N97" s="198"/>
      <c r="O97" s="139"/>
      <c r="P97" s="139"/>
      <c r="Q97" s="194"/>
      <c r="R97" s="281">
        <v>29.5</v>
      </c>
      <c r="S97" s="187">
        <f t="shared" si="9"/>
        <v>2.54</v>
      </c>
      <c r="T97" s="181">
        <f t="shared" si="10"/>
        <v>1</v>
      </c>
      <c r="U97" s="181">
        <f t="shared" si="11"/>
        <v>2.54</v>
      </c>
      <c r="V97" s="186">
        <f t="shared" si="12"/>
        <v>130.168396</v>
      </c>
      <c r="W97" s="187">
        <f t="shared" ref="W97:X97" si="96">C97/100</f>
        <v>0.86</v>
      </c>
      <c r="X97" s="187">
        <f t="shared" si="96"/>
        <v>2.02</v>
      </c>
      <c r="Y97" s="187">
        <f t="shared" si="14"/>
        <v>2.54</v>
      </c>
      <c r="Z97" s="189">
        <f t="shared" si="15"/>
        <v>4.412488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customHeight="1">
      <c r="A98" s="160"/>
      <c r="B98" s="176"/>
      <c r="C98" s="176"/>
      <c r="D98" s="176"/>
      <c r="E98" s="176"/>
      <c r="F98" s="176"/>
      <c r="G98" s="176"/>
      <c r="H98" s="179"/>
      <c r="I98" s="160"/>
      <c r="J98" s="203">
        <f>+Q129</f>
        <v>149.2</v>
      </c>
      <c r="K98" s="139"/>
      <c r="L98" s="139"/>
      <c r="M98" s="139"/>
      <c r="N98" s="139"/>
      <c r="O98" s="139"/>
      <c r="P98" s="139"/>
      <c r="Q98" s="139"/>
      <c r="R98" s="204"/>
      <c r="S98" s="187">
        <f t="shared" si="9"/>
        <v>0</v>
      </c>
      <c r="T98" s="181" t="str">
        <f t="shared" si="10"/>
        <v/>
      </c>
      <c r="U98" s="181">
        <f t="shared" si="11"/>
        <v>0</v>
      </c>
      <c r="V98" s="186"/>
      <c r="W98" s="187">
        <f t="shared" ref="W98:X98" si="97">C98/100</f>
        <v>0</v>
      </c>
      <c r="X98" s="187">
        <f t="shared" si="97"/>
        <v>0</v>
      </c>
      <c r="Y98" s="187">
        <f t="shared" si="14"/>
        <v>0</v>
      </c>
      <c r="Z98" s="18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customHeight="1">
      <c r="A99" s="160"/>
      <c r="B99" s="205"/>
      <c r="C99" s="205"/>
      <c r="D99" s="205"/>
      <c r="E99" s="205"/>
      <c r="F99" s="205"/>
      <c r="G99" s="205"/>
      <c r="H99" s="206"/>
      <c r="I99" s="207">
        <f>SUM(I20:I97)</f>
        <v>283</v>
      </c>
      <c r="J99" s="208">
        <f>SUM(J20:J98)</f>
        <v>35214.0553</v>
      </c>
      <c r="K99" s="209"/>
      <c r="L99" s="209"/>
      <c r="M99" s="209"/>
      <c r="N99" s="209"/>
      <c r="O99" s="209"/>
      <c r="P99" s="209"/>
      <c r="Q99" s="209"/>
      <c r="R99" s="141"/>
      <c r="S99" s="209">
        <f>SUMIFS($T$20:$T$97,$S$20:$S$97,"&gt;=3")</f>
        <v>0</v>
      </c>
      <c r="T99" s="209">
        <f t="shared" ref="T99:U99" si="98">SUM(T20:T97)</f>
        <v>283</v>
      </c>
      <c r="U99" s="209">
        <f t="shared" si="98"/>
        <v>606.56</v>
      </c>
      <c r="V99" s="209"/>
      <c r="W99" s="209"/>
      <c r="X99" s="209"/>
      <c r="Y99" s="209"/>
      <c r="Z99" s="210">
        <f>SUM(Z20:Z98)</f>
        <v>1192.441444</v>
      </c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</row>
    <row r="100" ht="29.25" customHeight="1">
      <c r="A100" s="139"/>
      <c r="B100" s="139"/>
      <c r="C100" s="139"/>
      <c r="D100" s="139"/>
      <c r="E100" s="139"/>
      <c r="F100" s="139"/>
      <c r="G100" s="139"/>
      <c r="H100" s="140"/>
      <c r="I100" s="139"/>
      <c r="J100" s="139"/>
      <c r="K100" s="139"/>
      <c r="L100" s="139"/>
      <c r="M100" s="139"/>
      <c r="N100" s="139"/>
      <c r="O100" s="139"/>
      <c r="P100" s="139"/>
      <c r="Q100" s="139"/>
      <c r="R100" s="141"/>
      <c r="S100" s="186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9.25" customHeight="1">
      <c r="A101" s="139"/>
      <c r="B101" s="139"/>
      <c r="C101" s="139"/>
      <c r="D101" s="139"/>
      <c r="E101" s="139"/>
      <c r="F101" s="139"/>
      <c r="G101" s="139"/>
      <c r="H101" s="140"/>
      <c r="I101" s="139"/>
      <c r="J101" s="139"/>
      <c r="K101" s="139"/>
      <c r="L101" s="139"/>
      <c r="M101" s="139"/>
      <c r="N101" s="139"/>
      <c r="O101" s="139"/>
      <c r="P101" s="139"/>
      <c r="Q101" s="139"/>
      <c r="R101" s="204"/>
      <c r="S101" s="139"/>
      <c r="T101" s="139" t="s">
        <v>48</v>
      </c>
      <c r="U101" s="139" t="s">
        <v>72</v>
      </c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9.25" customHeight="1">
      <c r="A102" s="139"/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141"/>
      <c r="S102" s="139" t="s">
        <v>31</v>
      </c>
      <c r="T102" s="211">
        <f>SUMIFS($J$20:$J$97,$S$20:$S$97,"&gt;=3")</f>
        <v>0</v>
      </c>
      <c r="U102" s="212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9.25" customHeight="1">
      <c r="A103" s="139" t="s">
        <v>32</v>
      </c>
      <c r="B103" s="139"/>
      <c r="C103" s="139"/>
      <c r="D103" s="139" t="s">
        <v>33</v>
      </c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139" t="s">
        <v>34</v>
      </c>
      <c r="T103" s="213">
        <f>J99-T102</f>
        <v>35214.0553</v>
      </c>
      <c r="U103" s="212">
        <f>+SUMIFS($U$20:$U$97,$S$20:$S$97,"&gt;=3")</f>
        <v>0</v>
      </c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9.2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204"/>
      <c r="S104" s="139"/>
      <c r="T104" s="214">
        <f>+I99</f>
        <v>283</v>
      </c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39.0" customHeight="1">
      <c r="A105" s="176"/>
      <c r="B105" s="160" t="s">
        <v>12</v>
      </c>
      <c r="C105" s="177" t="s">
        <v>73</v>
      </c>
      <c r="D105" s="52"/>
      <c r="E105" s="53"/>
      <c r="F105" s="178"/>
      <c r="G105" s="178"/>
      <c r="H105" s="179" t="s">
        <v>14</v>
      </c>
      <c r="I105" s="160" t="s">
        <v>15</v>
      </c>
      <c r="J105" s="160" t="s">
        <v>16</v>
      </c>
      <c r="K105" s="139"/>
      <c r="L105" s="139"/>
      <c r="M105" s="139"/>
      <c r="N105" s="139"/>
      <c r="O105" s="139"/>
      <c r="P105" s="139"/>
      <c r="Q105" s="139"/>
      <c r="R105" s="141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customHeight="1">
      <c r="A106" s="154">
        <v>1.0</v>
      </c>
      <c r="B106" s="215" t="s">
        <v>64</v>
      </c>
      <c r="C106" s="215">
        <v>80.0</v>
      </c>
      <c r="D106" s="215">
        <v>215.0</v>
      </c>
      <c r="E106" s="215">
        <v>215.0</v>
      </c>
      <c r="F106" s="215">
        <f t="shared" ref="F106:F110" si="99">1-VALUE(IF(RIGHT(B106, 1)="%", RIGHT(B106, 3), 0))</f>
        <v>0.2</v>
      </c>
      <c r="G106" s="215">
        <f t="shared" ref="G106:G110" si="100">+Q106*C106/100*D106/100*E106/100</f>
        <v>0</v>
      </c>
      <c r="H106" s="216">
        <f t="shared" ref="H106:H110" si="101">IF(F106=0, G106, F106*G106)</f>
        <v>0</v>
      </c>
      <c r="I106" s="215">
        <v>1.0</v>
      </c>
      <c r="J106" s="217">
        <f t="shared" ref="J106:J110" si="102">+I106*H106</f>
        <v>0</v>
      </c>
      <c r="K106" s="139"/>
      <c r="L106" s="176">
        <f t="shared" ref="L106:L110" si="103">D106*25.4/1000</f>
        <v>5.461</v>
      </c>
      <c r="M106" s="160">
        <f t="shared" ref="M106:M110" si="104">+I106</f>
        <v>1</v>
      </c>
      <c r="N106" s="160">
        <f t="shared" ref="N106:N110" si="105">M106*L106</f>
        <v>5.461</v>
      </c>
      <c r="O106" s="139"/>
      <c r="P106" s="139"/>
      <c r="Q106" s="139"/>
      <c r="R106" s="141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customHeight="1">
      <c r="A107" s="154">
        <v>2.0</v>
      </c>
      <c r="B107" s="215" t="s">
        <v>65</v>
      </c>
      <c r="C107" s="215">
        <v>84.0</v>
      </c>
      <c r="D107" s="215">
        <v>210.0</v>
      </c>
      <c r="E107" s="215">
        <v>240.0</v>
      </c>
      <c r="F107" s="215">
        <f t="shared" si="99"/>
        <v>0.2</v>
      </c>
      <c r="G107" s="215">
        <f t="shared" si="100"/>
        <v>0</v>
      </c>
      <c r="H107" s="216">
        <f t="shared" si="101"/>
        <v>0</v>
      </c>
      <c r="I107" s="215">
        <v>1.0</v>
      </c>
      <c r="J107" s="217">
        <f t="shared" si="102"/>
        <v>0</v>
      </c>
      <c r="K107" s="139"/>
      <c r="L107" s="176">
        <f t="shared" si="103"/>
        <v>5.334</v>
      </c>
      <c r="M107" s="160">
        <f t="shared" si="104"/>
        <v>1</v>
      </c>
      <c r="N107" s="160">
        <f t="shared" si="105"/>
        <v>5.334</v>
      </c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customHeight="1">
      <c r="A108" s="154">
        <v>3.0</v>
      </c>
      <c r="B108" s="218" t="s">
        <v>65</v>
      </c>
      <c r="C108" s="218">
        <v>89.0</v>
      </c>
      <c r="D108" s="218">
        <v>194.0</v>
      </c>
      <c r="E108" s="218">
        <v>251.0</v>
      </c>
      <c r="F108" s="218">
        <f t="shared" si="99"/>
        <v>0.2</v>
      </c>
      <c r="G108" s="218">
        <f t="shared" si="100"/>
        <v>0</v>
      </c>
      <c r="H108" s="219">
        <f t="shared" si="101"/>
        <v>0</v>
      </c>
      <c r="I108" s="215">
        <v>1.0</v>
      </c>
      <c r="J108" s="194">
        <f t="shared" si="102"/>
        <v>0</v>
      </c>
      <c r="K108" s="139"/>
      <c r="L108" s="176">
        <f t="shared" si="103"/>
        <v>4.9276</v>
      </c>
      <c r="M108" s="160">
        <f t="shared" si="104"/>
        <v>1</v>
      </c>
      <c r="N108" s="160">
        <f t="shared" si="105"/>
        <v>4.9276</v>
      </c>
      <c r="O108" s="139"/>
      <c r="P108" s="139"/>
      <c r="Q108" s="139"/>
      <c r="R108" s="139"/>
      <c r="S108" s="220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customHeight="1">
      <c r="A109" s="154">
        <v>4.0</v>
      </c>
      <c r="B109" s="218" t="s">
        <v>68</v>
      </c>
      <c r="C109" s="218">
        <v>80.0</v>
      </c>
      <c r="D109" s="218">
        <v>168.0</v>
      </c>
      <c r="E109" s="218">
        <v>180.0</v>
      </c>
      <c r="F109" s="218">
        <f t="shared" si="99"/>
        <v>0.2</v>
      </c>
      <c r="G109" s="218">
        <f t="shared" si="100"/>
        <v>0</v>
      </c>
      <c r="H109" s="219">
        <f t="shared" si="101"/>
        <v>0</v>
      </c>
      <c r="I109" s="215">
        <v>1.0</v>
      </c>
      <c r="J109" s="194">
        <f t="shared" si="102"/>
        <v>0</v>
      </c>
      <c r="K109" s="139"/>
      <c r="L109" s="176">
        <f t="shared" si="103"/>
        <v>4.2672</v>
      </c>
      <c r="M109" s="160">
        <f t="shared" si="104"/>
        <v>1</v>
      </c>
      <c r="N109" s="160">
        <f t="shared" si="105"/>
        <v>4.2672</v>
      </c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customHeight="1">
      <c r="A110" s="154">
        <v>5.0</v>
      </c>
      <c r="B110" s="218" t="s">
        <v>65</v>
      </c>
      <c r="C110" s="218">
        <v>85.0</v>
      </c>
      <c r="D110" s="218">
        <v>202.0</v>
      </c>
      <c r="E110" s="218">
        <v>252.0</v>
      </c>
      <c r="F110" s="218">
        <f t="shared" si="99"/>
        <v>0.2</v>
      </c>
      <c r="G110" s="218">
        <f t="shared" si="100"/>
        <v>0</v>
      </c>
      <c r="H110" s="219">
        <f t="shared" si="101"/>
        <v>0</v>
      </c>
      <c r="I110" s="215">
        <v>1.0</v>
      </c>
      <c r="J110" s="194">
        <f t="shared" si="102"/>
        <v>0</v>
      </c>
      <c r="K110" s="139"/>
      <c r="L110" s="176">
        <f t="shared" si="103"/>
        <v>5.1308</v>
      </c>
      <c r="M110" s="160">
        <f t="shared" si="104"/>
        <v>1</v>
      </c>
      <c r="N110" s="160">
        <f t="shared" si="105"/>
        <v>5.1308</v>
      </c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4.75" customHeight="1">
      <c r="A111" s="160"/>
      <c r="B111" s="197"/>
      <c r="C111" s="197"/>
      <c r="D111" s="197"/>
      <c r="E111" s="197"/>
      <c r="F111" s="197"/>
      <c r="G111" s="197"/>
      <c r="H111" s="269" t="s">
        <v>38</v>
      </c>
      <c r="I111" s="197"/>
      <c r="J111" s="226">
        <f>SUM(J106:J110)</f>
        <v>0</v>
      </c>
      <c r="K111" s="139"/>
      <c r="L111" s="139"/>
      <c r="M111" s="139"/>
      <c r="N111" s="139"/>
      <c r="O111" s="139"/>
      <c r="P111" s="139"/>
      <c r="Q111" s="139"/>
      <c r="R111" s="141"/>
      <c r="S111" s="227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18.75" customHeight="1">
      <c r="A112" s="174"/>
      <c r="B112" s="144"/>
      <c r="C112" s="144"/>
      <c r="D112" s="144"/>
      <c r="E112" s="144"/>
      <c r="F112" s="144"/>
      <c r="G112" s="144"/>
      <c r="H112" s="145"/>
      <c r="I112" s="144"/>
      <c r="J112" s="175"/>
      <c r="K112" s="139"/>
      <c r="L112" s="139"/>
      <c r="M112" s="139"/>
      <c r="N112" s="139"/>
      <c r="O112" s="139"/>
      <c r="P112" s="139"/>
      <c r="Q112" s="139"/>
      <c r="R112" s="141"/>
      <c r="S112" s="227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18.75" customHeight="1">
      <c r="A113" s="139"/>
      <c r="B113" s="139"/>
      <c r="C113" s="139"/>
      <c r="D113" s="139"/>
      <c r="E113" s="139"/>
      <c r="F113" s="139"/>
      <c r="G113" s="139"/>
      <c r="H113" s="140"/>
      <c r="I113" s="139"/>
      <c r="J113" s="139"/>
      <c r="K113" s="139"/>
      <c r="L113" s="139"/>
      <c r="M113" s="139"/>
      <c r="N113" s="139"/>
      <c r="O113" s="139"/>
      <c r="P113" s="139"/>
      <c r="Q113" s="139"/>
      <c r="R113" s="141"/>
      <c r="S113" s="227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18.75" customHeight="1">
      <c r="A114" s="139"/>
      <c r="B114" s="139"/>
      <c r="C114" s="139"/>
      <c r="D114" s="139"/>
      <c r="E114" s="139"/>
      <c r="F114" s="139"/>
      <c r="G114" s="139"/>
      <c r="H114" s="140"/>
      <c r="I114" s="139"/>
      <c r="J114" s="139"/>
      <c r="K114" s="139"/>
      <c r="L114" s="139"/>
      <c r="M114" s="139"/>
      <c r="N114" s="139"/>
      <c r="O114" s="139"/>
      <c r="P114" s="139"/>
      <c r="Q114" s="139"/>
      <c r="R114" s="227"/>
      <c r="S114" s="227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18.75" customHeight="1">
      <c r="A115" s="139" t="s">
        <v>39</v>
      </c>
      <c r="B115" s="139"/>
      <c r="C115" s="139"/>
      <c r="D115" s="139"/>
      <c r="E115" s="139"/>
      <c r="F115" s="139"/>
      <c r="G115" s="139"/>
      <c r="H115" s="140"/>
      <c r="I115" s="139"/>
      <c r="J115" s="139"/>
      <c r="K115" s="139"/>
      <c r="L115" s="139"/>
      <c r="M115" s="139"/>
      <c r="N115" s="139"/>
      <c r="O115" s="139"/>
      <c r="P115" s="139"/>
      <c r="Q115" s="139"/>
      <c r="R115" s="227"/>
      <c r="S115" s="227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18.75" customHeight="1">
      <c r="A116" s="139"/>
      <c r="B116" s="139"/>
      <c r="C116" s="139"/>
      <c r="D116" s="139"/>
      <c r="E116" s="139"/>
      <c r="F116" s="139"/>
      <c r="G116" s="139"/>
      <c r="H116" s="140"/>
      <c r="I116" s="139"/>
      <c r="J116" s="139"/>
      <c r="K116" s="139"/>
      <c r="L116" s="139"/>
      <c r="M116" s="139"/>
      <c r="N116" s="139"/>
      <c r="O116" s="139"/>
      <c r="P116" s="139"/>
      <c r="Q116" s="139"/>
      <c r="R116" s="227"/>
      <c r="S116" s="227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42.0" customHeight="1">
      <c r="A117" s="176"/>
      <c r="B117" s="160" t="s">
        <v>12</v>
      </c>
      <c r="C117" s="177" t="s">
        <v>74</v>
      </c>
      <c r="D117" s="52"/>
      <c r="E117" s="53"/>
      <c r="F117" s="228"/>
      <c r="G117" s="228"/>
      <c r="H117" s="179" t="s">
        <v>14</v>
      </c>
      <c r="I117" s="224" t="s">
        <v>15</v>
      </c>
      <c r="J117" s="160" t="s">
        <v>16</v>
      </c>
      <c r="K117" s="139"/>
      <c r="L117" s="139"/>
      <c r="M117" s="139"/>
      <c r="N117" s="139"/>
      <c r="O117" s="139"/>
      <c r="P117" s="139"/>
      <c r="Q117" s="139"/>
      <c r="R117" s="227"/>
      <c r="S117" s="227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4.75" customHeight="1">
      <c r="A118" s="160">
        <v>1.0</v>
      </c>
      <c r="B118" s="182" t="s">
        <v>55</v>
      </c>
      <c r="C118" s="181"/>
      <c r="D118" s="181"/>
      <c r="E118" s="181"/>
      <c r="F118" s="181"/>
      <c r="G118" s="181"/>
      <c r="H118" s="232">
        <v>40.0</v>
      </c>
      <c r="I118" s="181">
        <v>1.0</v>
      </c>
      <c r="J118" s="194">
        <f t="shared" ref="J118:J127" si="106">+I118*H118</f>
        <v>40</v>
      </c>
      <c r="K118" s="176"/>
      <c r="L118" s="176"/>
      <c r="M118" s="176"/>
      <c r="N118" s="176"/>
      <c r="O118" s="176"/>
      <c r="P118" s="176"/>
      <c r="Q118" s="284"/>
      <c r="R118" s="227"/>
      <c r="S118" s="227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4.75" customHeight="1">
      <c r="A119" s="160">
        <v>2.0</v>
      </c>
      <c r="B119" s="191" t="s">
        <v>55</v>
      </c>
      <c r="C119" s="181"/>
      <c r="D119" s="181"/>
      <c r="E119" s="181"/>
      <c r="F119" s="181"/>
      <c r="G119" s="181"/>
      <c r="H119" s="232">
        <v>18.0</v>
      </c>
      <c r="I119" s="181">
        <v>1.0</v>
      </c>
      <c r="J119" s="194">
        <f t="shared" si="106"/>
        <v>18</v>
      </c>
      <c r="K119" s="176"/>
      <c r="L119" s="176"/>
      <c r="M119" s="176"/>
      <c r="N119" s="176"/>
      <c r="O119" s="176"/>
      <c r="P119" s="176"/>
      <c r="Q119" s="284"/>
      <c r="R119" s="227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4.75" customHeight="1">
      <c r="A120" s="160">
        <v>3.0</v>
      </c>
      <c r="B120" s="182" t="s">
        <v>56</v>
      </c>
      <c r="C120" s="181"/>
      <c r="D120" s="181"/>
      <c r="E120" s="181"/>
      <c r="F120" s="181"/>
      <c r="G120" s="181"/>
      <c r="H120" s="232">
        <v>63.0</v>
      </c>
      <c r="I120" s="181">
        <v>1.0</v>
      </c>
      <c r="J120" s="194">
        <f t="shared" si="106"/>
        <v>63</v>
      </c>
      <c r="K120" s="176"/>
      <c r="L120" s="176"/>
      <c r="M120" s="176"/>
      <c r="N120" s="176"/>
      <c r="O120" s="176"/>
      <c r="P120" s="176"/>
      <c r="Q120" s="284"/>
      <c r="R120" s="227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4.75" customHeight="1">
      <c r="A121" s="160">
        <v>4.0</v>
      </c>
      <c r="B121" s="191" t="s">
        <v>56</v>
      </c>
      <c r="C121" s="181"/>
      <c r="D121" s="181"/>
      <c r="E121" s="181"/>
      <c r="F121" s="181"/>
      <c r="G121" s="181"/>
      <c r="H121" s="232">
        <v>21.0</v>
      </c>
      <c r="I121" s="181">
        <v>1.0</v>
      </c>
      <c r="J121" s="194">
        <f t="shared" si="106"/>
        <v>21</v>
      </c>
      <c r="K121" s="176"/>
      <c r="L121" s="176"/>
      <c r="M121" s="176"/>
      <c r="N121" s="176"/>
      <c r="O121" s="176"/>
      <c r="P121" s="176"/>
      <c r="Q121" s="284"/>
      <c r="R121" s="227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4.75" customHeight="1">
      <c r="A122" s="160">
        <v>5.0</v>
      </c>
      <c r="B122" s="182" t="s">
        <v>56</v>
      </c>
      <c r="C122" s="181"/>
      <c r="D122" s="181"/>
      <c r="E122" s="181"/>
      <c r="F122" s="181"/>
      <c r="G122" s="181"/>
      <c r="H122" s="232">
        <v>50.0</v>
      </c>
      <c r="I122" s="181">
        <v>1.0</v>
      </c>
      <c r="J122" s="194">
        <f t="shared" si="106"/>
        <v>50</v>
      </c>
      <c r="K122" s="176"/>
      <c r="L122" s="176"/>
      <c r="M122" s="176"/>
      <c r="N122" s="176"/>
      <c r="O122" s="176"/>
      <c r="P122" s="176"/>
      <c r="Q122" s="284"/>
      <c r="R122" s="227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4.75" customHeight="1">
      <c r="A123" s="160">
        <v>6.0</v>
      </c>
      <c r="B123" s="191" t="s">
        <v>56</v>
      </c>
      <c r="C123" s="181"/>
      <c r="D123" s="181"/>
      <c r="E123" s="181"/>
      <c r="F123" s="181"/>
      <c r="G123" s="181"/>
      <c r="H123" s="232">
        <v>25.0</v>
      </c>
      <c r="I123" s="181">
        <v>1.0</v>
      </c>
      <c r="J123" s="194">
        <f t="shared" si="106"/>
        <v>25</v>
      </c>
      <c r="K123" s="176"/>
      <c r="L123" s="176"/>
      <c r="M123" s="176"/>
      <c r="N123" s="176"/>
      <c r="O123" s="176"/>
      <c r="P123" s="176"/>
      <c r="Q123" s="284"/>
      <c r="R123" s="227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4.75" customHeight="1">
      <c r="A124" s="160">
        <v>7.0</v>
      </c>
      <c r="B124" s="182" t="s">
        <v>58</v>
      </c>
      <c r="C124" s="181"/>
      <c r="D124" s="181"/>
      <c r="E124" s="181"/>
      <c r="F124" s="181"/>
      <c r="G124" s="181"/>
      <c r="H124" s="232">
        <v>45.0</v>
      </c>
      <c r="I124" s="181">
        <v>1.0</v>
      </c>
      <c r="J124" s="194">
        <f t="shared" si="106"/>
        <v>45</v>
      </c>
      <c r="K124" s="176"/>
      <c r="L124" s="176"/>
      <c r="M124" s="176"/>
      <c r="N124" s="176"/>
      <c r="O124" s="176"/>
      <c r="P124" s="176"/>
      <c r="Q124" s="284"/>
      <c r="R124" s="227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4.75" customHeight="1">
      <c r="A125" s="160">
        <v>8.0</v>
      </c>
      <c r="B125" s="191" t="s">
        <v>58</v>
      </c>
      <c r="C125" s="181"/>
      <c r="D125" s="181"/>
      <c r="E125" s="181"/>
      <c r="F125" s="181"/>
      <c r="G125" s="181"/>
      <c r="H125" s="232">
        <v>20.0</v>
      </c>
      <c r="I125" s="181">
        <v>1.0</v>
      </c>
      <c r="J125" s="194">
        <f t="shared" si="106"/>
        <v>20</v>
      </c>
      <c r="K125" s="176"/>
      <c r="L125" s="176"/>
      <c r="M125" s="176"/>
      <c r="N125" s="176"/>
      <c r="O125" s="176"/>
      <c r="P125" s="176"/>
      <c r="Q125" s="284"/>
      <c r="R125" s="227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4.75" customHeight="1">
      <c r="A126" s="160">
        <v>9.0</v>
      </c>
      <c r="B126" s="182" t="s">
        <v>56</v>
      </c>
      <c r="C126" s="181"/>
      <c r="D126" s="181"/>
      <c r="E126" s="181"/>
      <c r="F126" s="181"/>
      <c r="G126" s="181"/>
      <c r="H126" s="232">
        <v>78.0</v>
      </c>
      <c r="I126" s="181">
        <v>1.0</v>
      </c>
      <c r="J126" s="194">
        <f t="shared" si="106"/>
        <v>78</v>
      </c>
      <c r="K126" s="176"/>
      <c r="L126" s="176"/>
      <c r="M126" s="176"/>
      <c r="N126" s="176"/>
      <c r="O126" s="176"/>
      <c r="P126" s="176"/>
      <c r="Q126" s="284"/>
      <c r="R126" s="227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4.75" customHeight="1">
      <c r="A127" s="160">
        <v>10.0</v>
      </c>
      <c r="B127" s="191" t="s">
        <v>56</v>
      </c>
      <c r="C127" s="181"/>
      <c r="D127" s="181"/>
      <c r="E127" s="181"/>
      <c r="F127" s="181"/>
      <c r="G127" s="181"/>
      <c r="H127" s="232">
        <v>13.0</v>
      </c>
      <c r="I127" s="181">
        <v>1.0</v>
      </c>
      <c r="J127" s="194">
        <f t="shared" si="106"/>
        <v>13</v>
      </c>
      <c r="K127" s="176"/>
      <c r="L127" s="176"/>
      <c r="M127" s="176"/>
      <c r="N127" s="176"/>
      <c r="O127" s="176"/>
      <c r="P127" s="176"/>
      <c r="Q127" s="284"/>
      <c r="R127" s="227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18.75" customHeight="1">
      <c r="A128" s="139"/>
      <c r="B128" s="139"/>
      <c r="C128" s="139"/>
      <c r="D128" s="139"/>
      <c r="E128" s="139"/>
      <c r="F128" s="139"/>
      <c r="G128" s="139"/>
      <c r="H128" s="140" t="s">
        <v>38</v>
      </c>
      <c r="I128" s="139"/>
      <c r="J128" s="235">
        <f>SUM(J118:J127)</f>
        <v>373</v>
      </c>
      <c r="K128" s="236"/>
      <c r="L128" s="236"/>
      <c r="M128" s="236"/>
      <c r="N128" s="236"/>
      <c r="O128" s="236"/>
      <c r="P128" s="236"/>
      <c r="Q128" s="236"/>
      <c r="R128" s="139"/>
      <c r="S128" s="227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18.75" customHeight="1">
      <c r="A129" s="144"/>
      <c r="B129" s="144"/>
      <c r="C129" s="144"/>
      <c r="D129" s="144"/>
      <c r="E129" s="144"/>
      <c r="F129" s="144"/>
      <c r="G129" s="144"/>
      <c r="H129" s="145"/>
      <c r="I129" s="173"/>
      <c r="J129" s="205">
        <f>+J128*60%</f>
        <v>223.8</v>
      </c>
      <c r="K129" s="205"/>
      <c r="L129" s="205"/>
      <c r="M129" s="205"/>
      <c r="N129" s="205"/>
      <c r="O129" s="205"/>
      <c r="P129" s="205"/>
      <c r="Q129" s="205">
        <f>+J128*40%</f>
        <v>149.2</v>
      </c>
      <c r="R129" s="139"/>
      <c r="S129" s="227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18.75" customHeight="1">
      <c r="A130" s="139"/>
      <c r="B130" s="139"/>
      <c r="C130" s="139"/>
      <c r="D130" s="139"/>
      <c r="E130" s="139"/>
      <c r="F130" s="139"/>
      <c r="G130" s="139"/>
      <c r="H130" s="140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227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18.75" customHeight="1">
      <c r="A131" s="139"/>
      <c r="B131" s="139"/>
      <c r="C131" s="139"/>
      <c r="D131" s="139"/>
      <c r="E131" s="139"/>
      <c r="F131" s="139"/>
      <c r="G131" s="139"/>
      <c r="H131" s="140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227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19.5" customHeight="1">
      <c r="A132" s="238" t="s">
        <v>41</v>
      </c>
      <c r="B132" s="139"/>
      <c r="C132" s="139"/>
      <c r="D132" s="139"/>
      <c r="E132" s="139"/>
      <c r="F132" s="139"/>
      <c r="G132" s="139"/>
      <c r="H132" s="140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227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57.0" customHeight="1">
      <c r="A133" s="239"/>
      <c r="B133" s="240" t="s">
        <v>42</v>
      </c>
      <c r="C133" s="240" t="s">
        <v>43</v>
      </c>
      <c r="D133" s="240" t="s">
        <v>44</v>
      </c>
      <c r="E133" s="240" t="s">
        <v>45</v>
      </c>
      <c r="F133" s="240"/>
      <c r="G133" s="240"/>
      <c r="H133" s="241" t="s">
        <v>46</v>
      </c>
      <c r="I133" s="242" t="s">
        <v>47</v>
      </c>
      <c r="J133" s="139"/>
      <c r="K133" s="139"/>
      <c r="L133" s="139"/>
      <c r="M133" s="139"/>
      <c r="N133" s="139"/>
      <c r="O133" s="139"/>
      <c r="P133" s="139"/>
      <c r="Q133" s="139"/>
      <c r="R133" s="141"/>
      <c r="S133" s="227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18.75" customHeight="1">
      <c r="A134" s="243" t="s">
        <v>48</v>
      </c>
      <c r="B134" s="244">
        <f>+E13</f>
        <v>38694.12</v>
      </c>
      <c r="C134" s="245">
        <f>+J99</f>
        <v>35214.0553</v>
      </c>
      <c r="D134" s="245">
        <f>+J111</f>
        <v>0</v>
      </c>
      <c r="E134" s="246">
        <f>J129</f>
        <v>223.8</v>
      </c>
      <c r="F134" s="246"/>
      <c r="G134" s="246"/>
      <c r="H134" s="247">
        <f>+I13</f>
        <v>831.647566</v>
      </c>
      <c r="I134" s="248">
        <f>+B134-C134-D134-E134-H134</f>
        <v>2424.617131</v>
      </c>
      <c r="J134" s="139"/>
      <c r="K134" s="139"/>
      <c r="L134" s="139"/>
      <c r="M134" s="139"/>
      <c r="N134" s="139"/>
      <c r="O134" s="139"/>
      <c r="P134" s="139"/>
      <c r="Q134" s="139"/>
      <c r="R134" s="141"/>
      <c r="S134" s="227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19.5" customHeight="1">
      <c r="A135" s="249" t="s">
        <v>49</v>
      </c>
      <c r="B135" s="250"/>
      <c r="C135" s="251">
        <f>+C134/B134</f>
        <v>0.9100621826</v>
      </c>
      <c r="D135" s="251">
        <f>+D134/B134</f>
        <v>0</v>
      </c>
      <c r="E135" s="251">
        <f>+E134/B134</f>
        <v>0.005783824519</v>
      </c>
      <c r="F135" s="251"/>
      <c r="G135" s="251"/>
      <c r="H135" s="252">
        <f>+H134/B134</f>
        <v>0.02149286677</v>
      </c>
      <c r="I135" s="253">
        <f>+I134/B134</f>
        <v>0.06266112607</v>
      </c>
      <c r="J135" s="139"/>
      <c r="K135" s="139"/>
      <c r="L135" s="139"/>
      <c r="M135" s="139"/>
      <c r="N135" s="139"/>
      <c r="O135" s="139"/>
      <c r="P135" s="139"/>
      <c r="Q135" s="139"/>
      <c r="R135" s="141"/>
      <c r="S135" s="227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19.5" customHeight="1">
      <c r="A136" s="163"/>
      <c r="B136" s="221"/>
      <c r="C136" s="254"/>
      <c r="D136" s="254"/>
      <c r="E136" s="254"/>
      <c r="F136" s="254"/>
      <c r="G136" s="254"/>
      <c r="H136" s="255"/>
      <c r="I136" s="256"/>
      <c r="J136" s="139"/>
      <c r="K136" s="139"/>
      <c r="L136" s="139"/>
      <c r="M136" s="139"/>
      <c r="N136" s="139"/>
      <c r="O136" s="139"/>
      <c r="P136" s="139"/>
      <c r="Q136" s="139"/>
      <c r="R136" s="141"/>
      <c r="S136" s="227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18.75" customHeight="1">
      <c r="A137" s="257"/>
      <c r="B137" s="258"/>
      <c r="C137" s="258"/>
      <c r="D137" s="258" t="s">
        <v>50</v>
      </c>
      <c r="E137" s="258" t="s">
        <v>48</v>
      </c>
      <c r="F137" s="258"/>
      <c r="G137" s="258"/>
      <c r="H137" s="259">
        <f>+D134+E134+H134+I134</f>
        <v>3480.064697</v>
      </c>
      <c r="I137" s="260"/>
      <c r="J137" s="139"/>
      <c r="K137" s="139"/>
      <c r="L137" s="139"/>
      <c r="M137" s="139"/>
      <c r="N137" s="139"/>
      <c r="O137" s="139"/>
      <c r="P137" s="139"/>
      <c r="Q137" s="139"/>
      <c r="R137" s="141"/>
      <c r="S137" s="140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18.75" customHeight="1">
      <c r="A138" s="261"/>
      <c r="B138" s="139"/>
      <c r="C138" s="139"/>
      <c r="D138" s="139"/>
      <c r="E138" s="139" t="s">
        <v>49</v>
      </c>
      <c r="F138" s="139"/>
      <c r="G138" s="139"/>
      <c r="H138" s="255">
        <f>+H137/B134</f>
        <v>0.08993781736</v>
      </c>
      <c r="I138" s="262"/>
      <c r="J138" s="139"/>
      <c r="K138" s="139"/>
      <c r="L138" s="139"/>
      <c r="M138" s="139"/>
      <c r="N138" s="139"/>
      <c r="O138" s="139"/>
      <c r="P138" s="139"/>
      <c r="Q138" s="139"/>
      <c r="R138" s="141"/>
      <c r="S138" s="140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18.75" customHeight="1">
      <c r="A139" s="261"/>
      <c r="B139" s="139"/>
      <c r="C139" s="139" t="s">
        <v>51</v>
      </c>
      <c r="D139" s="139"/>
      <c r="E139" s="139"/>
      <c r="F139" s="139"/>
      <c r="G139" s="139"/>
      <c r="H139" s="140"/>
      <c r="I139" s="262"/>
      <c r="J139" s="139"/>
      <c r="K139" s="139"/>
      <c r="L139" s="139"/>
      <c r="M139" s="139"/>
      <c r="N139" s="139"/>
      <c r="O139" s="139"/>
      <c r="P139" s="139"/>
      <c r="Q139" s="139"/>
      <c r="R139" s="141"/>
      <c r="S139" s="140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18.75" customHeight="1">
      <c r="A140" s="261"/>
      <c r="B140" s="139"/>
      <c r="C140" s="139"/>
      <c r="D140" s="139" t="s">
        <v>52</v>
      </c>
      <c r="E140" s="139"/>
      <c r="F140" s="139"/>
      <c r="G140" s="139"/>
      <c r="H140" s="140">
        <f>+H139*(H137-H134)</f>
        <v>0</v>
      </c>
      <c r="I140" s="262"/>
      <c r="J140" s="139"/>
      <c r="K140" s="139"/>
      <c r="L140" s="139"/>
      <c r="M140" s="139"/>
      <c r="N140" s="139"/>
      <c r="O140" s="139"/>
      <c r="P140" s="139"/>
      <c r="Q140" s="139"/>
      <c r="R140" s="141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19.5" customHeight="1">
      <c r="A141" s="263"/>
      <c r="B141" s="264"/>
      <c r="C141" s="264"/>
      <c r="D141" s="264"/>
      <c r="E141" s="264"/>
      <c r="F141" s="264"/>
      <c r="G141" s="264"/>
      <c r="H141" s="265"/>
      <c r="I141" s="266"/>
      <c r="J141" s="139"/>
      <c r="K141" s="139"/>
      <c r="L141" s="139"/>
      <c r="M141" s="139"/>
      <c r="N141" s="139"/>
      <c r="O141" s="139"/>
      <c r="P141" s="139"/>
      <c r="Q141" s="139"/>
      <c r="R141" s="141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18.75" customHeight="1">
      <c r="A142" s="139"/>
      <c r="B142" s="139"/>
      <c r="C142" s="139"/>
      <c r="D142" s="139"/>
      <c r="E142" s="139"/>
      <c r="F142" s="139"/>
      <c r="G142" s="139"/>
      <c r="H142" s="140"/>
      <c r="I142" s="139"/>
      <c r="J142" s="139"/>
      <c r="K142" s="139"/>
      <c r="L142" s="139"/>
      <c r="M142" s="139"/>
      <c r="N142" s="139"/>
      <c r="O142" s="139"/>
      <c r="P142" s="139"/>
      <c r="Q142" s="139"/>
      <c r="R142" s="141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18.75" customHeight="1">
      <c r="A143" s="139"/>
      <c r="B143" s="139"/>
      <c r="C143" s="139"/>
      <c r="D143" s="139"/>
      <c r="E143" s="139"/>
      <c r="F143" s="139"/>
      <c r="G143" s="139"/>
      <c r="H143" s="140"/>
      <c r="I143" s="139"/>
      <c r="J143" s="139"/>
      <c r="K143" s="139"/>
      <c r="L143" s="139"/>
      <c r="M143" s="139"/>
      <c r="N143" s="139"/>
      <c r="O143" s="139"/>
      <c r="P143" s="139"/>
      <c r="Q143" s="139"/>
      <c r="R143" s="141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18.75" customHeight="1">
      <c r="A144" s="139"/>
      <c r="B144" s="139"/>
      <c r="C144" s="139"/>
      <c r="D144" s="139"/>
      <c r="E144" s="139"/>
      <c r="F144" s="139"/>
      <c r="G144" s="139"/>
      <c r="H144" s="140"/>
      <c r="I144" s="139"/>
      <c r="J144" s="139"/>
      <c r="K144" s="139"/>
      <c r="L144" s="139"/>
      <c r="M144" s="139"/>
      <c r="N144" s="139"/>
      <c r="O144" s="139"/>
      <c r="P144" s="139"/>
      <c r="Q144" s="139"/>
      <c r="R144" s="141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7"/>
      <c r="R145" s="268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7"/>
      <c r="R146" s="268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7"/>
      <c r="R147" s="268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7"/>
      <c r="R148" s="268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7"/>
      <c r="R149" s="268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7"/>
      <c r="R150" s="268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7"/>
      <c r="R151" s="268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7"/>
      <c r="R152" s="268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7"/>
      <c r="R153" s="268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7"/>
      <c r="R154" s="268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7"/>
      <c r="R155" s="268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7"/>
      <c r="R156" s="268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7"/>
      <c r="R157" s="268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7"/>
      <c r="R158" s="26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7"/>
      <c r="R159" s="26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7"/>
      <c r="R160" s="26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7"/>
      <c r="R161" s="26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7"/>
      <c r="R162" s="26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7"/>
      <c r="R163" s="26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7"/>
      <c r="R164" s="26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7"/>
      <c r="R165" s="26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7"/>
      <c r="R166" s="26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7"/>
      <c r="R167" s="26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7"/>
      <c r="R168" s="26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7"/>
      <c r="R169" s="26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7"/>
      <c r="R170" s="26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7"/>
      <c r="R171" s="26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7"/>
      <c r="R172" s="26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7"/>
      <c r="R173" s="26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7"/>
      <c r="R174" s="26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7"/>
      <c r="R175" s="26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7"/>
      <c r="R176" s="26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7"/>
      <c r="R177" s="26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7"/>
      <c r="R178" s="26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7"/>
      <c r="R179" s="26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7"/>
      <c r="R180" s="26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7"/>
      <c r="R181" s="26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7"/>
      <c r="R182" s="26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7"/>
      <c r="R183" s="26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7"/>
      <c r="R184" s="26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7"/>
      <c r="R185" s="26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7"/>
      <c r="R186" s="26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7"/>
      <c r="R187" s="26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7"/>
      <c r="R188" s="26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7"/>
      <c r="R189" s="26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7"/>
      <c r="R190" s="26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7"/>
      <c r="R191" s="26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7"/>
      <c r="R192" s="26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7"/>
      <c r="R193" s="26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7"/>
      <c r="R194" s="26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7"/>
      <c r="R252" s="26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7"/>
      <c r="R253" s="26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7"/>
      <c r="R254" s="26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7"/>
      <c r="R255" s="26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7"/>
      <c r="R256" s="26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7"/>
      <c r="R257" s="26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7"/>
      <c r="R258" s="26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7"/>
      <c r="R259" s="26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7"/>
      <c r="R260" s="26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7"/>
      <c r="R261" s="26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7"/>
      <c r="R262" s="26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7"/>
      <c r="R263" s="26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7"/>
      <c r="R264" s="26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7"/>
      <c r="R265" s="26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7"/>
      <c r="R266" s="26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7"/>
      <c r="R267" s="26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7"/>
      <c r="R268" s="26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7"/>
      <c r="R269" s="26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7"/>
      <c r="R270" s="26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7"/>
      <c r="R271" s="26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7"/>
      <c r="R272" s="26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7"/>
      <c r="R273" s="26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7"/>
      <c r="R274" s="26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7"/>
      <c r="R275" s="26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7"/>
      <c r="R276" s="26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7"/>
      <c r="R277" s="26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7"/>
      <c r="R278" s="26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7"/>
      <c r="R279" s="26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7"/>
      <c r="R280" s="26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7"/>
      <c r="R281" s="26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7"/>
      <c r="R282" s="26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7"/>
      <c r="R283" s="26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7"/>
      <c r="R284" s="26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7"/>
      <c r="R285" s="26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7"/>
      <c r="R286" s="26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7"/>
      <c r="R287" s="26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7"/>
      <c r="R288" s="26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7"/>
      <c r="R289" s="26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7"/>
      <c r="R290" s="26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7"/>
      <c r="R291" s="26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7"/>
      <c r="R292" s="26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7"/>
      <c r="R293" s="26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7"/>
      <c r="R294" s="26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7"/>
      <c r="R295" s="26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7"/>
      <c r="R296" s="26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7"/>
      <c r="R297" s="26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7"/>
      <c r="R298" s="26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7"/>
      <c r="R299" s="26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7"/>
      <c r="R300" s="26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7"/>
      <c r="R301" s="26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7"/>
      <c r="R302" s="26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7"/>
      <c r="R303" s="268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7"/>
      <c r="R304" s="268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7"/>
      <c r="R305" s="268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7"/>
      <c r="R306" s="268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7"/>
      <c r="R307" s="268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7"/>
      <c r="R308" s="268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7"/>
      <c r="R309" s="268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7"/>
      <c r="R310" s="268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7"/>
      <c r="R311" s="268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7"/>
      <c r="R312" s="268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7"/>
      <c r="R313" s="268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7"/>
      <c r="R314" s="268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7"/>
      <c r="R315" s="268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7"/>
      <c r="R316" s="268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7"/>
      <c r="R317" s="268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7"/>
      <c r="R318" s="268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7"/>
      <c r="R319" s="268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7"/>
      <c r="R320" s="268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7"/>
      <c r="R321" s="268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7"/>
      <c r="R322" s="268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7"/>
      <c r="R323" s="268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7"/>
      <c r="R324" s="268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7"/>
      <c r="R325" s="268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7"/>
      <c r="R326" s="268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7"/>
      <c r="R327" s="268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7"/>
      <c r="R328" s="268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7"/>
      <c r="R329" s="268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7"/>
      <c r="R330" s="268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7"/>
      <c r="R331" s="268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7"/>
      <c r="R332" s="268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7"/>
      <c r="R333" s="268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7"/>
      <c r="R334" s="268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7"/>
      <c r="R335" s="268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7"/>
      <c r="R336" s="268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7"/>
      <c r="R337" s="268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7"/>
      <c r="R338" s="268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7"/>
      <c r="R339" s="268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7"/>
      <c r="R340" s="268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3:D13"/>
    <mergeCell ref="E14:H14"/>
    <mergeCell ref="C19:E19"/>
    <mergeCell ref="C105:E105"/>
    <mergeCell ref="C117:E117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44370.0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212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138</v>
      </c>
      <c r="C8" s="154">
        <v>18.5</v>
      </c>
      <c r="D8" s="155">
        <v>0.0919</v>
      </c>
      <c r="E8" s="156">
        <f>194.978*2.481</f>
        <v>483.740418</v>
      </c>
      <c r="F8" s="156"/>
      <c r="G8" s="156"/>
      <c r="H8" s="157">
        <v>2.481</v>
      </c>
      <c r="I8" s="158">
        <f t="shared" ref="I8:I12" si="1">+D8*E8</f>
        <v>44.45574441</v>
      </c>
      <c r="J8" s="159">
        <f t="shared" ref="J8:J12" si="2">E8-I8</f>
        <v>439.2846736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55</v>
      </c>
      <c r="C9" s="154">
        <v>29.5</v>
      </c>
      <c r="D9" s="155">
        <v>0.0155</v>
      </c>
      <c r="E9" s="156">
        <f>253.135*12.3</f>
        <v>3113.5605</v>
      </c>
      <c r="F9" s="156"/>
      <c r="G9" s="156"/>
      <c r="H9" s="157">
        <v>12.3</v>
      </c>
      <c r="I9" s="158">
        <f t="shared" si="1"/>
        <v>48.26018775</v>
      </c>
      <c r="J9" s="159">
        <f t="shared" si="2"/>
        <v>3065.300312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0.0155</v>
      </c>
      <c r="E10" s="156">
        <f>253.135*70.4</f>
        <v>17820.704</v>
      </c>
      <c r="F10" s="156"/>
      <c r="G10" s="156"/>
      <c r="H10" s="157">
        <v>70.4</v>
      </c>
      <c r="I10" s="158">
        <f t="shared" si="1"/>
        <v>276.220912</v>
      </c>
      <c r="J10" s="159">
        <f t="shared" si="2"/>
        <v>17544.48309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56</v>
      </c>
      <c r="C11" s="154">
        <v>29.5</v>
      </c>
      <c r="D11" s="161">
        <v>0.0146</v>
      </c>
      <c r="E11" s="162">
        <f>253.43*50.7</f>
        <v>12848.901</v>
      </c>
      <c r="F11" s="162"/>
      <c r="G11" s="162"/>
      <c r="H11" s="157">
        <v>50.7</v>
      </c>
      <c r="I11" s="158">
        <f t="shared" si="1"/>
        <v>187.5939546</v>
      </c>
      <c r="J11" s="159">
        <f t="shared" si="2"/>
        <v>12661.30705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82</v>
      </c>
      <c r="C12" s="160">
        <v>26.5</v>
      </c>
      <c r="D12" s="161">
        <v>0.0547</v>
      </c>
      <c r="E12" s="162">
        <f>209.953*1.7</f>
        <v>356.9201</v>
      </c>
      <c r="F12" s="162"/>
      <c r="G12" s="162"/>
      <c r="H12" s="157">
        <v>1.7</v>
      </c>
      <c r="I12" s="158">
        <f t="shared" si="1"/>
        <v>19.52352947</v>
      </c>
      <c r="J12" s="159">
        <f t="shared" si="2"/>
        <v>337.3965705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18.75" customHeight="1">
      <c r="A13" s="163"/>
      <c r="B13" s="164"/>
      <c r="C13" s="165"/>
      <c r="D13" s="166"/>
      <c r="E13" s="167">
        <f>SUM(E8:E12)</f>
        <v>34623.82602</v>
      </c>
      <c r="F13" s="168"/>
      <c r="G13" s="168"/>
      <c r="H13" s="169"/>
      <c r="I13" s="170">
        <f t="shared" ref="I13:J13" si="3">SUM(I8:I12)</f>
        <v>576.0543282</v>
      </c>
      <c r="J13" s="171">
        <f t="shared" si="3"/>
        <v>34047.77169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72"/>
      <c r="B14" s="144"/>
      <c r="C14" s="144"/>
      <c r="D14" s="173"/>
      <c r="E14" s="174"/>
      <c r="F14" s="151"/>
      <c r="G14" s="151"/>
      <c r="H14" s="147"/>
      <c r="I14" s="175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39"/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 t="s">
        <v>11</v>
      </c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40.5" customHeight="1">
      <c r="A19" s="176"/>
      <c r="B19" s="160" t="s">
        <v>12</v>
      </c>
      <c r="C19" s="177" t="s">
        <v>62</v>
      </c>
      <c r="D19" s="52"/>
      <c r="E19" s="53"/>
      <c r="F19" s="178"/>
      <c r="G19" s="178"/>
      <c r="H19" s="179" t="s">
        <v>14</v>
      </c>
      <c r="I19" s="160" t="s">
        <v>15</v>
      </c>
      <c r="J19" s="160" t="s">
        <v>16</v>
      </c>
      <c r="K19" s="139"/>
      <c r="L19" s="160" t="s">
        <v>17</v>
      </c>
      <c r="M19" s="160" t="s">
        <v>15</v>
      </c>
      <c r="N19" s="176" t="s">
        <v>18</v>
      </c>
      <c r="O19" s="139"/>
      <c r="P19" s="139"/>
      <c r="Q19" s="176" t="s">
        <v>129</v>
      </c>
      <c r="R19" s="180"/>
      <c r="S19" s="160" t="s">
        <v>17</v>
      </c>
      <c r="T19" s="160" t="s">
        <v>15</v>
      </c>
      <c r="U19" s="176" t="s">
        <v>18</v>
      </c>
      <c r="V19" s="139"/>
      <c r="W19" s="176" t="s">
        <v>19</v>
      </c>
      <c r="X19" s="176" t="s">
        <v>20</v>
      </c>
      <c r="Y19" s="176" t="s">
        <v>21</v>
      </c>
      <c r="Z19" s="176" t="s">
        <v>213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27.0" customHeight="1">
      <c r="A20" s="160">
        <v>1.0</v>
      </c>
      <c r="B20" s="182" t="s">
        <v>64</v>
      </c>
      <c r="C20" s="183">
        <v>74.0</v>
      </c>
      <c r="D20" s="183">
        <v>202.0</v>
      </c>
      <c r="E20" s="183">
        <v>200.0</v>
      </c>
      <c r="F20" s="183">
        <f t="shared" ref="F20:F59" si="5">VALUE(IF(RIGHT(B20, 1)="%", RIGHT(B20, 3), 0))</f>
        <v>0.8</v>
      </c>
      <c r="G20" s="183">
        <f t="shared" ref="G20:G59" si="6">+R20*C20/100*D20/100*E20/100</f>
        <v>88.1932</v>
      </c>
      <c r="H20" s="184">
        <f t="shared" ref="H20:H59" si="7">IF(F20=0, G20, F20*G20)</f>
        <v>70.55456</v>
      </c>
      <c r="I20" s="183">
        <v>1.0</v>
      </c>
      <c r="J20" s="194">
        <f t="shared" ref="J20:J59" si="8">+I20*H20</f>
        <v>70.55456</v>
      </c>
      <c r="K20" s="139"/>
      <c r="L20" s="176">
        <f>D20*25.4/1000</f>
        <v>5.1308</v>
      </c>
      <c r="M20" s="160">
        <f>+I20</f>
        <v>1</v>
      </c>
      <c r="N20" s="160">
        <f>M20*L20</f>
        <v>5.1308</v>
      </c>
      <c r="O20" s="139"/>
      <c r="P20" s="139"/>
      <c r="Q20" s="176"/>
      <c r="R20" s="281">
        <v>29.5</v>
      </c>
      <c r="S20" s="176">
        <f t="shared" ref="S20:S60" si="9">E20/100</f>
        <v>2</v>
      </c>
      <c r="T20" s="160">
        <f t="shared" ref="T20:T60" si="10">I20</f>
        <v>1</v>
      </c>
      <c r="U20" s="160">
        <f t="shared" ref="U20:U60" si="11">T20*S20</f>
        <v>2</v>
      </c>
      <c r="V20" s="282">
        <f t="shared" ref="V20:V59" si="12">R20*C20/100*D20/100*E20/100</f>
        <v>88.1932</v>
      </c>
      <c r="W20" s="176">
        <f t="shared" ref="W20:X20" si="4">C20/100</f>
        <v>0.74</v>
      </c>
      <c r="X20" s="176">
        <f t="shared" si="4"/>
        <v>2.02</v>
      </c>
      <c r="Y20" s="176">
        <f t="shared" ref="Y20:Y60" si="14">U20</f>
        <v>2</v>
      </c>
      <c r="Z20" s="283">
        <f t="shared" ref="Z20:Z60" si="15">W20*X20*Y20</f>
        <v>2.9896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2.0</v>
      </c>
      <c r="B21" s="191" t="s">
        <v>55</v>
      </c>
      <c r="C21" s="191">
        <v>80.0</v>
      </c>
      <c r="D21" s="191">
        <v>202.0</v>
      </c>
      <c r="E21" s="191">
        <v>204.0</v>
      </c>
      <c r="F21" s="191">
        <f t="shared" si="5"/>
        <v>0</v>
      </c>
      <c r="G21" s="191">
        <f t="shared" si="6"/>
        <v>97.25088</v>
      </c>
      <c r="H21" s="192">
        <f t="shared" si="7"/>
        <v>97.25088</v>
      </c>
      <c r="I21" s="191">
        <v>1.0</v>
      </c>
      <c r="J21" s="194">
        <f t="shared" si="8"/>
        <v>97.25088</v>
      </c>
      <c r="K21" s="139"/>
      <c r="L21" s="176"/>
      <c r="M21" s="160"/>
      <c r="N21" s="160"/>
      <c r="O21" s="139"/>
      <c r="P21" s="139"/>
      <c r="Q21" s="176"/>
      <c r="R21" s="281">
        <v>29.5</v>
      </c>
      <c r="S21" s="176">
        <f t="shared" si="9"/>
        <v>2.04</v>
      </c>
      <c r="T21" s="160">
        <f t="shared" si="10"/>
        <v>1</v>
      </c>
      <c r="U21" s="160">
        <f t="shared" si="11"/>
        <v>2.04</v>
      </c>
      <c r="V21" s="282">
        <f t="shared" si="12"/>
        <v>97.25088</v>
      </c>
      <c r="W21" s="176">
        <f t="shared" ref="W21:X21" si="13">C21/100</f>
        <v>0.8</v>
      </c>
      <c r="X21" s="176">
        <f t="shared" si="13"/>
        <v>2.02</v>
      </c>
      <c r="Y21" s="176">
        <f t="shared" si="14"/>
        <v>2.04</v>
      </c>
      <c r="Z21" s="283">
        <f t="shared" si="15"/>
        <v>3.29664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3.0</v>
      </c>
      <c r="B22" s="191" t="s">
        <v>55</v>
      </c>
      <c r="C22" s="191">
        <v>92.0</v>
      </c>
      <c r="D22" s="191">
        <v>202.0</v>
      </c>
      <c r="E22" s="191">
        <v>202.0</v>
      </c>
      <c r="F22" s="191">
        <f t="shared" si="5"/>
        <v>0</v>
      </c>
      <c r="G22" s="191">
        <f t="shared" si="6"/>
        <v>110.742056</v>
      </c>
      <c r="H22" s="192">
        <f t="shared" si="7"/>
        <v>110.742056</v>
      </c>
      <c r="I22" s="191">
        <v>6.0</v>
      </c>
      <c r="J22" s="194">
        <f t="shared" si="8"/>
        <v>664.452336</v>
      </c>
      <c r="K22" s="139"/>
      <c r="L22" s="176">
        <f t="shared" ref="L22:L44" si="17">D22*25.4/1000</f>
        <v>5.1308</v>
      </c>
      <c r="M22" s="160">
        <f t="shared" ref="M22:M59" si="18">+I22</f>
        <v>6</v>
      </c>
      <c r="N22" s="160">
        <f t="shared" ref="N22:N44" si="19">M22*L22</f>
        <v>30.7848</v>
      </c>
      <c r="O22" s="139"/>
      <c r="P22" s="139"/>
      <c r="Q22" s="176"/>
      <c r="R22" s="281">
        <v>29.5</v>
      </c>
      <c r="S22" s="176">
        <f t="shared" si="9"/>
        <v>2.02</v>
      </c>
      <c r="T22" s="160">
        <f t="shared" si="10"/>
        <v>6</v>
      </c>
      <c r="U22" s="160">
        <f t="shared" si="11"/>
        <v>12.12</v>
      </c>
      <c r="V22" s="282">
        <f t="shared" si="12"/>
        <v>110.742056</v>
      </c>
      <c r="W22" s="176">
        <f t="shared" ref="W22:X22" si="16">C22/100</f>
        <v>0.92</v>
      </c>
      <c r="X22" s="176">
        <f t="shared" si="16"/>
        <v>2.02</v>
      </c>
      <c r="Y22" s="176">
        <f t="shared" si="14"/>
        <v>12.12</v>
      </c>
      <c r="Z22" s="283">
        <f t="shared" si="15"/>
        <v>22.523808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4.0</v>
      </c>
      <c r="B23" s="191" t="s">
        <v>55</v>
      </c>
      <c r="C23" s="191">
        <v>94.0</v>
      </c>
      <c r="D23" s="191">
        <v>202.0</v>
      </c>
      <c r="E23" s="191">
        <v>201.0</v>
      </c>
      <c r="F23" s="191">
        <f t="shared" si="5"/>
        <v>0</v>
      </c>
      <c r="G23" s="191">
        <f t="shared" si="6"/>
        <v>112.589346</v>
      </c>
      <c r="H23" s="192">
        <f t="shared" si="7"/>
        <v>112.589346</v>
      </c>
      <c r="I23" s="191">
        <v>2.0</v>
      </c>
      <c r="J23" s="194">
        <f t="shared" si="8"/>
        <v>225.178692</v>
      </c>
      <c r="K23" s="139"/>
      <c r="L23" s="176">
        <f t="shared" si="17"/>
        <v>5.1308</v>
      </c>
      <c r="M23" s="160">
        <f t="shared" si="18"/>
        <v>2</v>
      </c>
      <c r="N23" s="160">
        <f t="shared" si="19"/>
        <v>10.2616</v>
      </c>
      <c r="O23" s="139"/>
      <c r="P23" s="139"/>
      <c r="Q23" s="176"/>
      <c r="R23" s="281">
        <v>29.5</v>
      </c>
      <c r="S23" s="176">
        <f t="shared" si="9"/>
        <v>2.01</v>
      </c>
      <c r="T23" s="160">
        <f t="shared" si="10"/>
        <v>2</v>
      </c>
      <c r="U23" s="160">
        <f t="shared" si="11"/>
        <v>4.02</v>
      </c>
      <c r="V23" s="282">
        <f t="shared" si="12"/>
        <v>112.589346</v>
      </c>
      <c r="W23" s="176">
        <f t="shared" ref="W23:X23" si="20">C23/100</f>
        <v>0.94</v>
      </c>
      <c r="X23" s="176">
        <f t="shared" si="20"/>
        <v>2.02</v>
      </c>
      <c r="Y23" s="176">
        <f t="shared" si="14"/>
        <v>4.02</v>
      </c>
      <c r="Z23" s="283">
        <f t="shared" si="15"/>
        <v>7.633176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5.0</v>
      </c>
      <c r="B24" s="191" t="s">
        <v>55</v>
      </c>
      <c r="C24" s="191">
        <v>93.0</v>
      </c>
      <c r="D24" s="191">
        <v>202.0</v>
      </c>
      <c r="E24" s="191">
        <v>202.0</v>
      </c>
      <c r="F24" s="191">
        <f t="shared" si="5"/>
        <v>0</v>
      </c>
      <c r="G24" s="191">
        <f t="shared" si="6"/>
        <v>111.945774</v>
      </c>
      <c r="H24" s="192">
        <f t="shared" si="7"/>
        <v>111.945774</v>
      </c>
      <c r="I24" s="191">
        <v>1.0</v>
      </c>
      <c r="J24" s="194">
        <f t="shared" si="8"/>
        <v>111.945774</v>
      </c>
      <c r="K24" s="139"/>
      <c r="L24" s="176">
        <f t="shared" si="17"/>
        <v>5.1308</v>
      </c>
      <c r="M24" s="160">
        <f t="shared" si="18"/>
        <v>1</v>
      </c>
      <c r="N24" s="160">
        <f t="shared" si="19"/>
        <v>5.1308</v>
      </c>
      <c r="O24" s="139"/>
      <c r="P24" s="139"/>
      <c r="Q24" s="176"/>
      <c r="R24" s="281">
        <v>29.5</v>
      </c>
      <c r="S24" s="176">
        <f t="shared" si="9"/>
        <v>2.02</v>
      </c>
      <c r="T24" s="160">
        <f t="shared" si="10"/>
        <v>1</v>
      </c>
      <c r="U24" s="160">
        <f t="shared" si="11"/>
        <v>2.02</v>
      </c>
      <c r="V24" s="282">
        <f t="shared" si="12"/>
        <v>111.945774</v>
      </c>
      <c r="W24" s="176">
        <f t="shared" ref="W24:X24" si="21">C24/100</f>
        <v>0.93</v>
      </c>
      <c r="X24" s="176">
        <f t="shared" si="21"/>
        <v>2.02</v>
      </c>
      <c r="Y24" s="176">
        <f t="shared" si="14"/>
        <v>2.02</v>
      </c>
      <c r="Z24" s="283">
        <f t="shared" si="15"/>
        <v>3.794772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6.0</v>
      </c>
      <c r="B25" s="191" t="s">
        <v>55</v>
      </c>
      <c r="C25" s="191">
        <v>92.0</v>
      </c>
      <c r="D25" s="191">
        <v>202.0</v>
      </c>
      <c r="E25" s="191">
        <v>201.0</v>
      </c>
      <c r="F25" s="191">
        <f t="shared" si="5"/>
        <v>0</v>
      </c>
      <c r="G25" s="191">
        <f t="shared" si="6"/>
        <v>110.193828</v>
      </c>
      <c r="H25" s="192">
        <f t="shared" si="7"/>
        <v>110.193828</v>
      </c>
      <c r="I25" s="191">
        <v>8.0</v>
      </c>
      <c r="J25" s="194">
        <f t="shared" si="8"/>
        <v>881.550624</v>
      </c>
      <c r="K25" s="139"/>
      <c r="L25" s="176">
        <f t="shared" si="17"/>
        <v>5.1308</v>
      </c>
      <c r="M25" s="160">
        <f t="shared" si="18"/>
        <v>8</v>
      </c>
      <c r="N25" s="160">
        <f t="shared" si="19"/>
        <v>41.0464</v>
      </c>
      <c r="O25" s="139"/>
      <c r="P25" s="139"/>
      <c r="Q25" s="176"/>
      <c r="R25" s="281">
        <v>29.5</v>
      </c>
      <c r="S25" s="176">
        <f t="shared" si="9"/>
        <v>2.01</v>
      </c>
      <c r="T25" s="160">
        <f t="shared" si="10"/>
        <v>8</v>
      </c>
      <c r="U25" s="160">
        <f t="shared" si="11"/>
        <v>16.08</v>
      </c>
      <c r="V25" s="282">
        <f t="shared" si="12"/>
        <v>110.193828</v>
      </c>
      <c r="W25" s="176">
        <f t="shared" ref="W25:X25" si="22">C25/100</f>
        <v>0.92</v>
      </c>
      <c r="X25" s="176">
        <f t="shared" si="22"/>
        <v>2.02</v>
      </c>
      <c r="Y25" s="176">
        <f t="shared" si="14"/>
        <v>16.08</v>
      </c>
      <c r="Z25" s="283">
        <f t="shared" si="15"/>
        <v>29.883072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7.0</v>
      </c>
      <c r="B26" s="191" t="s">
        <v>55</v>
      </c>
      <c r="C26" s="191">
        <v>93.0</v>
      </c>
      <c r="D26" s="191">
        <v>202.0</v>
      </c>
      <c r="E26" s="191">
        <v>201.0</v>
      </c>
      <c r="F26" s="191">
        <f t="shared" si="5"/>
        <v>0</v>
      </c>
      <c r="G26" s="191">
        <f t="shared" si="6"/>
        <v>111.391587</v>
      </c>
      <c r="H26" s="192">
        <f t="shared" si="7"/>
        <v>111.391587</v>
      </c>
      <c r="I26" s="191">
        <v>3.0</v>
      </c>
      <c r="J26" s="194">
        <f t="shared" si="8"/>
        <v>334.174761</v>
      </c>
      <c r="K26" s="139"/>
      <c r="L26" s="176">
        <f t="shared" si="17"/>
        <v>5.1308</v>
      </c>
      <c r="M26" s="160">
        <f t="shared" si="18"/>
        <v>3</v>
      </c>
      <c r="N26" s="160">
        <f t="shared" si="19"/>
        <v>15.3924</v>
      </c>
      <c r="O26" s="139"/>
      <c r="P26" s="139"/>
      <c r="Q26" s="176"/>
      <c r="R26" s="281">
        <v>29.5</v>
      </c>
      <c r="S26" s="176">
        <f t="shared" si="9"/>
        <v>2.01</v>
      </c>
      <c r="T26" s="160">
        <f t="shared" si="10"/>
        <v>3</v>
      </c>
      <c r="U26" s="160">
        <f t="shared" si="11"/>
        <v>6.03</v>
      </c>
      <c r="V26" s="282">
        <f t="shared" si="12"/>
        <v>111.391587</v>
      </c>
      <c r="W26" s="176">
        <f t="shared" ref="W26:X26" si="23">C26/100</f>
        <v>0.93</v>
      </c>
      <c r="X26" s="176">
        <f t="shared" si="23"/>
        <v>2.02</v>
      </c>
      <c r="Y26" s="176">
        <f t="shared" si="14"/>
        <v>6.03</v>
      </c>
      <c r="Z26" s="283">
        <f t="shared" si="15"/>
        <v>11.327958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8.0</v>
      </c>
      <c r="B27" s="191" t="s">
        <v>55</v>
      </c>
      <c r="C27" s="191">
        <v>91.0</v>
      </c>
      <c r="D27" s="191">
        <v>202.0</v>
      </c>
      <c r="E27" s="191">
        <v>201.0</v>
      </c>
      <c r="F27" s="191">
        <f t="shared" si="5"/>
        <v>0</v>
      </c>
      <c r="G27" s="191">
        <f t="shared" si="6"/>
        <v>108.996069</v>
      </c>
      <c r="H27" s="192">
        <f t="shared" si="7"/>
        <v>108.996069</v>
      </c>
      <c r="I27" s="191">
        <v>2.0</v>
      </c>
      <c r="J27" s="194">
        <f t="shared" si="8"/>
        <v>217.992138</v>
      </c>
      <c r="K27" s="139"/>
      <c r="L27" s="176">
        <f t="shared" si="17"/>
        <v>5.1308</v>
      </c>
      <c r="M27" s="160">
        <f t="shared" si="18"/>
        <v>2</v>
      </c>
      <c r="N27" s="160">
        <f t="shared" si="19"/>
        <v>10.2616</v>
      </c>
      <c r="O27" s="139"/>
      <c r="P27" s="139"/>
      <c r="Q27" s="176"/>
      <c r="R27" s="281">
        <v>29.5</v>
      </c>
      <c r="S27" s="176">
        <f t="shared" si="9"/>
        <v>2.01</v>
      </c>
      <c r="T27" s="160">
        <f t="shared" si="10"/>
        <v>2</v>
      </c>
      <c r="U27" s="160">
        <f t="shared" si="11"/>
        <v>4.02</v>
      </c>
      <c r="V27" s="282">
        <f t="shared" si="12"/>
        <v>108.996069</v>
      </c>
      <c r="W27" s="176">
        <f t="shared" ref="W27:X27" si="24">C27/100</f>
        <v>0.91</v>
      </c>
      <c r="X27" s="176">
        <f t="shared" si="24"/>
        <v>2.02</v>
      </c>
      <c r="Y27" s="176">
        <f t="shared" si="14"/>
        <v>4.02</v>
      </c>
      <c r="Z27" s="283">
        <f t="shared" si="15"/>
        <v>7.389564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9.0</v>
      </c>
      <c r="B28" s="191" t="s">
        <v>55</v>
      </c>
      <c r="C28" s="191">
        <v>66.0</v>
      </c>
      <c r="D28" s="191">
        <v>202.0</v>
      </c>
      <c r="E28" s="191">
        <v>103.0</v>
      </c>
      <c r="F28" s="191">
        <f t="shared" si="5"/>
        <v>0</v>
      </c>
      <c r="G28" s="191">
        <f t="shared" si="6"/>
        <v>40.509282</v>
      </c>
      <c r="H28" s="192">
        <f t="shared" si="7"/>
        <v>40.509282</v>
      </c>
      <c r="I28" s="191">
        <v>1.0</v>
      </c>
      <c r="J28" s="194">
        <f t="shared" si="8"/>
        <v>40.509282</v>
      </c>
      <c r="K28" s="139"/>
      <c r="L28" s="176">
        <f t="shared" si="17"/>
        <v>5.1308</v>
      </c>
      <c r="M28" s="160">
        <f t="shared" si="18"/>
        <v>1</v>
      </c>
      <c r="N28" s="160">
        <f t="shared" si="19"/>
        <v>5.1308</v>
      </c>
      <c r="O28" s="139"/>
      <c r="P28" s="139"/>
      <c r="Q28" s="176"/>
      <c r="R28" s="281">
        <v>29.5</v>
      </c>
      <c r="S28" s="176">
        <f t="shared" si="9"/>
        <v>1.03</v>
      </c>
      <c r="T28" s="160">
        <f t="shared" si="10"/>
        <v>1</v>
      </c>
      <c r="U28" s="160">
        <f t="shared" si="11"/>
        <v>1.03</v>
      </c>
      <c r="V28" s="282">
        <f t="shared" si="12"/>
        <v>40.509282</v>
      </c>
      <c r="W28" s="176">
        <f t="shared" ref="W28:X28" si="25">C28/100</f>
        <v>0.66</v>
      </c>
      <c r="X28" s="176">
        <f t="shared" si="25"/>
        <v>2.02</v>
      </c>
      <c r="Y28" s="176">
        <f t="shared" si="14"/>
        <v>1.03</v>
      </c>
      <c r="Z28" s="283">
        <f t="shared" si="15"/>
        <v>1.373196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10.0</v>
      </c>
      <c r="B29" s="191" t="s">
        <v>55</v>
      </c>
      <c r="C29" s="191">
        <v>90.0</v>
      </c>
      <c r="D29" s="191">
        <v>202.0</v>
      </c>
      <c r="E29" s="191">
        <v>202.0</v>
      </c>
      <c r="F29" s="191">
        <f t="shared" si="5"/>
        <v>0</v>
      </c>
      <c r="G29" s="191">
        <f t="shared" si="6"/>
        <v>108.33462</v>
      </c>
      <c r="H29" s="192">
        <f t="shared" si="7"/>
        <v>108.33462</v>
      </c>
      <c r="I29" s="191">
        <v>1.0</v>
      </c>
      <c r="J29" s="194">
        <f t="shared" si="8"/>
        <v>108.33462</v>
      </c>
      <c r="K29" s="139"/>
      <c r="L29" s="176">
        <f t="shared" si="17"/>
        <v>5.1308</v>
      </c>
      <c r="M29" s="160">
        <f t="shared" si="18"/>
        <v>1</v>
      </c>
      <c r="N29" s="160">
        <f t="shared" si="19"/>
        <v>5.1308</v>
      </c>
      <c r="O29" s="139"/>
      <c r="P29" s="139"/>
      <c r="Q29" s="176"/>
      <c r="R29" s="281">
        <v>29.5</v>
      </c>
      <c r="S29" s="176">
        <f t="shared" si="9"/>
        <v>2.02</v>
      </c>
      <c r="T29" s="160">
        <f t="shared" si="10"/>
        <v>1</v>
      </c>
      <c r="U29" s="160">
        <f t="shared" si="11"/>
        <v>2.02</v>
      </c>
      <c r="V29" s="282">
        <f t="shared" si="12"/>
        <v>108.33462</v>
      </c>
      <c r="W29" s="176">
        <f t="shared" ref="W29:X29" si="26">C29/100</f>
        <v>0.9</v>
      </c>
      <c r="X29" s="176">
        <f t="shared" si="26"/>
        <v>2.02</v>
      </c>
      <c r="Y29" s="176">
        <f t="shared" si="14"/>
        <v>2.02</v>
      </c>
      <c r="Z29" s="283">
        <f t="shared" si="15"/>
        <v>3.67236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11.0</v>
      </c>
      <c r="B30" s="191" t="s">
        <v>55</v>
      </c>
      <c r="C30" s="191">
        <v>90.0</v>
      </c>
      <c r="D30" s="191">
        <v>202.0</v>
      </c>
      <c r="E30" s="191">
        <v>200.0</v>
      </c>
      <c r="F30" s="191">
        <f t="shared" si="5"/>
        <v>0</v>
      </c>
      <c r="G30" s="191">
        <f t="shared" si="6"/>
        <v>107.262</v>
      </c>
      <c r="H30" s="192">
        <f t="shared" si="7"/>
        <v>107.262</v>
      </c>
      <c r="I30" s="191">
        <v>1.0</v>
      </c>
      <c r="J30" s="194">
        <f t="shared" si="8"/>
        <v>107.262</v>
      </c>
      <c r="K30" s="139"/>
      <c r="L30" s="176">
        <f t="shared" si="17"/>
        <v>5.1308</v>
      </c>
      <c r="M30" s="160">
        <f t="shared" si="18"/>
        <v>1</v>
      </c>
      <c r="N30" s="160">
        <f t="shared" si="19"/>
        <v>5.1308</v>
      </c>
      <c r="O30" s="139"/>
      <c r="P30" s="139"/>
      <c r="Q30" s="176"/>
      <c r="R30" s="281">
        <v>29.5</v>
      </c>
      <c r="S30" s="176">
        <f t="shared" si="9"/>
        <v>2</v>
      </c>
      <c r="T30" s="160">
        <f t="shared" si="10"/>
        <v>1</v>
      </c>
      <c r="U30" s="160">
        <f t="shared" si="11"/>
        <v>2</v>
      </c>
      <c r="V30" s="282">
        <f t="shared" si="12"/>
        <v>107.262</v>
      </c>
      <c r="W30" s="176">
        <f t="shared" ref="W30:X30" si="27">C30/100</f>
        <v>0.9</v>
      </c>
      <c r="X30" s="176">
        <f t="shared" si="27"/>
        <v>2.02</v>
      </c>
      <c r="Y30" s="176">
        <f t="shared" si="14"/>
        <v>2</v>
      </c>
      <c r="Z30" s="283">
        <f t="shared" si="15"/>
        <v>3.636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12.0</v>
      </c>
      <c r="B31" s="182" t="s">
        <v>64</v>
      </c>
      <c r="C31" s="183">
        <v>90.0</v>
      </c>
      <c r="D31" s="183">
        <v>202.0</v>
      </c>
      <c r="E31" s="183">
        <v>198.0</v>
      </c>
      <c r="F31" s="183">
        <f t="shared" si="5"/>
        <v>0.8</v>
      </c>
      <c r="G31" s="183">
        <f t="shared" si="6"/>
        <v>106.18938</v>
      </c>
      <c r="H31" s="184">
        <f t="shared" si="7"/>
        <v>84.951504</v>
      </c>
      <c r="I31" s="183">
        <v>1.0</v>
      </c>
      <c r="J31" s="194">
        <f t="shared" si="8"/>
        <v>84.951504</v>
      </c>
      <c r="K31" s="139"/>
      <c r="L31" s="176">
        <f t="shared" si="17"/>
        <v>5.1308</v>
      </c>
      <c r="M31" s="160">
        <f t="shared" si="18"/>
        <v>1</v>
      </c>
      <c r="N31" s="160">
        <f t="shared" si="19"/>
        <v>5.1308</v>
      </c>
      <c r="O31" s="139"/>
      <c r="P31" s="139"/>
      <c r="Q31" s="176"/>
      <c r="R31" s="281">
        <v>29.5</v>
      </c>
      <c r="S31" s="176">
        <f t="shared" si="9"/>
        <v>1.98</v>
      </c>
      <c r="T31" s="160">
        <f t="shared" si="10"/>
        <v>1</v>
      </c>
      <c r="U31" s="160">
        <f t="shared" si="11"/>
        <v>1.98</v>
      </c>
      <c r="V31" s="282">
        <f t="shared" si="12"/>
        <v>106.18938</v>
      </c>
      <c r="W31" s="176">
        <f t="shared" ref="W31:X31" si="28">C31/100</f>
        <v>0.9</v>
      </c>
      <c r="X31" s="176">
        <f t="shared" si="28"/>
        <v>2.02</v>
      </c>
      <c r="Y31" s="176">
        <f t="shared" si="14"/>
        <v>1.98</v>
      </c>
      <c r="Z31" s="283">
        <f t="shared" si="15"/>
        <v>3.59964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13.0</v>
      </c>
      <c r="B32" s="191" t="s">
        <v>55</v>
      </c>
      <c r="C32" s="191">
        <v>94.0</v>
      </c>
      <c r="D32" s="191">
        <v>202.0</v>
      </c>
      <c r="E32" s="191">
        <v>201.0</v>
      </c>
      <c r="F32" s="191">
        <f t="shared" si="5"/>
        <v>0</v>
      </c>
      <c r="G32" s="191">
        <f t="shared" si="6"/>
        <v>112.589346</v>
      </c>
      <c r="H32" s="192">
        <f t="shared" si="7"/>
        <v>112.589346</v>
      </c>
      <c r="I32" s="191">
        <v>2.0</v>
      </c>
      <c r="J32" s="194">
        <f t="shared" si="8"/>
        <v>225.178692</v>
      </c>
      <c r="K32" s="139"/>
      <c r="L32" s="176">
        <f t="shared" si="17"/>
        <v>5.1308</v>
      </c>
      <c r="M32" s="160">
        <f t="shared" si="18"/>
        <v>2</v>
      </c>
      <c r="N32" s="160">
        <f t="shared" si="19"/>
        <v>10.2616</v>
      </c>
      <c r="O32" s="139"/>
      <c r="P32" s="139"/>
      <c r="Q32" s="176"/>
      <c r="R32" s="281">
        <v>29.5</v>
      </c>
      <c r="S32" s="176">
        <f t="shared" si="9"/>
        <v>2.01</v>
      </c>
      <c r="T32" s="160">
        <f t="shared" si="10"/>
        <v>2</v>
      </c>
      <c r="U32" s="160">
        <f t="shared" si="11"/>
        <v>4.02</v>
      </c>
      <c r="V32" s="282">
        <f t="shared" si="12"/>
        <v>112.589346</v>
      </c>
      <c r="W32" s="176">
        <f t="shared" ref="W32:X32" si="29">C32/100</f>
        <v>0.94</v>
      </c>
      <c r="X32" s="176">
        <f t="shared" si="29"/>
        <v>2.02</v>
      </c>
      <c r="Y32" s="176">
        <f t="shared" si="14"/>
        <v>4.02</v>
      </c>
      <c r="Z32" s="283">
        <f t="shared" si="15"/>
        <v>7.633176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14.0</v>
      </c>
      <c r="B33" s="191" t="s">
        <v>55</v>
      </c>
      <c r="C33" s="191">
        <v>94.0</v>
      </c>
      <c r="D33" s="191">
        <v>202.0</v>
      </c>
      <c r="E33" s="191">
        <v>202.0</v>
      </c>
      <c r="F33" s="191">
        <f t="shared" si="5"/>
        <v>0</v>
      </c>
      <c r="G33" s="191">
        <f t="shared" si="6"/>
        <v>113.149492</v>
      </c>
      <c r="H33" s="192">
        <f t="shared" si="7"/>
        <v>113.149492</v>
      </c>
      <c r="I33" s="191">
        <v>20.0</v>
      </c>
      <c r="J33" s="194">
        <f t="shared" si="8"/>
        <v>2262.98984</v>
      </c>
      <c r="K33" s="139"/>
      <c r="L33" s="176">
        <f t="shared" si="17"/>
        <v>5.1308</v>
      </c>
      <c r="M33" s="160">
        <f t="shared" si="18"/>
        <v>20</v>
      </c>
      <c r="N33" s="160">
        <f t="shared" si="19"/>
        <v>102.616</v>
      </c>
      <c r="O33" s="139"/>
      <c r="P33" s="139"/>
      <c r="Q33" s="176"/>
      <c r="R33" s="281">
        <v>29.5</v>
      </c>
      <c r="S33" s="176">
        <f t="shared" si="9"/>
        <v>2.02</v>
      </c>
      <c r="T33" s="160">
        <f t="shared" si="10"/>
        <v>20</v>
      </c>
      <c r="U33" s="160">
        <f t="shared" si="11"/>
        <v>40.4</v>
      </c>
      <c r="V33" s="282">
        <f t="shared" si="12"/>
        <v>113.149492</v>
      </c>
      <c r="W33" s="176">
        <f t="shared" ref="W33:X33" si="30">C33/100</f>
        <v>0.94</v>
      </c>
      <c r="X33" s="176">
        <f t="shared" si="30"/>
        <v>2.02</v>
      </c>
      <c r="Y33" s="176">
        <f t="shared" si="14"/>
        <v>40.4</v>
      </c>
      <c r="Z33" s="283">
        <f t="shared" si="15"/>
        <v>76.71152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15.0</v>
      </c>
      <c r="B34" s="191" t="s">
        <v>55</v>
      </c>
      <c r="C34" s="191">
        <v>94.0</v>
      </c>
      <c r="D34" s="191">
        <v>202.0</v>
      </c>
      <c r="E34" s="191">
        <v>232.0</v>
      </c>
      <c r="F34" s="191">
        <f t="shared" si="5"/>
        <v>0</v>
      </c>
      <c r="G34" s="191">
        <f t="shared" si="6"/>
        <v>129.953872</v>
      </c>
      <c r="H34" s="192">
        <f t="shared" si="7"/>
        <v>129.953872</v>
      </c>
      <c r="I34" s="191">
        <v>55.0</v>
      </c>
      <c r="J34" s="194">
        <f t="shared" si="8"/>
        <v>7147.46296</v>
      </c>
      <c r="K34" s="139"/>
      <c r="L34" s="176">
        <f t="shared" si="17"/>
        <v>5.1308</v>
      </c>
      <c r="M34" s="160">
        <f t="shared" si="18"/>
        <v>55</v>
      </c>
      <c r="N34" s="160">
        <f t="shared" si="19"/>
        <v>282.194</v>
      </c>
      <c r="O34" s="139"/>
      <c r="P34" s="139"/>
      <c r="Q34" s="176"/>
      <c r="R34" s="281">
        <v>29.5</v>
      </c>
      <c r="S34" s="176">
        <f t="shared" si="9"/>
        <v>2.32</v>
      </c>
      <c r="T34" s="160">
        <f t="shared" si="10"/>
        <v>55</v>
      </c>
      <c r="U34" s="160">
        <f t="shared" si="11"/>
        <v>127.6</v>
      </c>
      <c r="V34" s="282">
        <f t="shared" si="12"/>
        <v>129.953872</v>
      </c>
      <c r="W34" s="176">
        <f t="shared" ref="W34:X34" si="31">C34/100</f>
        <v>0.94</v>
      </c>
      <c r="X34" s="176">
        <f t="shared" si="31"/>
        <v>2.02</v>
      </c>
      <c r="Y34" s="176">
        <f t="shared" si="14"/>
        <v>127.6</v>
      </c>
      <c r="Z34" s="283">
        <f t="shared" si="15"/>
        <v>242.28688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16.0</v>
      </c>
      <c r="B35" s="191" t="s">
        <v>55</v>
      </c>
      <c r="C35" s="191">
        <v>92.0</v>
      </c>
      <c r="D35" s="191">
        <v>202.0</v>
      </c>
      <c r="E35" s="191">
        <v>232.0</v>
      </c>
      <c r="F35" s="191">
        <f t="shared" si="5"/>
        <v>0</v>
      </c>
      <c r="G35" s="191">
        <f t="shared" si="6"/>
        <v>127.188896</v>
      </c>
      <c r="H35" s="192">
        <f t="shared" si="7"/>
        <v>127.188896</v>
      </c>
      <c r="I35" s="191">
        <v>1.0</v>
      </c>
      <c r="J35" s="194">
        <f t="shared" si="8"/>
        <v>127.188896</v>
      </c>
      <c r="K35" s="139"/>
      <c r="L35" s="176">
        <f t="shared" si="17"/>
        <v>5.1308</v>
      </c>
      <c r="M35" s="160">
        <f t="shared" si="18"/>
        <v>1</v>
      </c>
      <c r="N35" s="160">
        <f t="shared" si="19"/>
        <v>5.1308</v>
      </c>
      <c r="O35" s="139"/>
      <c r="P35" s="139"/>
      <c r="Q35" s="176"/>
      <c r="R35" s="281">
        <v>29.5</v>
      </c>
      <c r="S35" s="176">
        <f t="shared" si="9"/>
        <v>2.32</v>
      </c>
      <c r="T35" s="160">
        <f t="shared" si="10"/>
        <v>1</v>
      </c>
      <c r="U35" s="160">
        <f t="shared" si="11"/>
        <v>2.32</v>
      </c>
      <c r="V35" s="282">
        <f t="shared" si="12"/>
        <v>127.188896</v>
      </c>
      <c r="W35" s="176">
        <f t="shared" ref="W35:X35" si="32">C35/100</f>
        <v>0.92</v>
      </c>
      <c r="X35" s="176">
        <f t="shared" si="32"/>
        <v>2.02</v>
      </c>
      <c r="Y35" s="176">
        <f t="shared" si="14"/>
        <v>2.32</v>
      </c>
      <c r="Z35" s="283">
        <f t="shared" si="15"/>
        <v>4.311488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17.0</v>
      </c>
      <c r="B36" s="191" t="s">
        <v>55</v>
      </c>
      <c r="C36" s="191">
        <v>93.0</v>
      </c>
      <c r="D36" s="191">
        <v>202.0</v>
      </c>
      <c r="E36" s="191">
        <v>232.0</v>
      </c>
      <c r="F36" s="191">
        <f t="shared" si="5"/>
        <v>0</v>
      </c>
      <c r="G36" s="191">
        <f t="shared" si="6"/>
        <v>128.571384</v>
      </c>
      <c r="H36" s="192">
        <f t="shared" si="7"/>
        <v>128.571384</v>
      </c>
      <c r="I36" s="191">
        <v>1.0</v>
      </c>
      <c r="J36" s="194">
        <f t="shared" si="8"/>
        <v>128.571384</v>
      </c>
      <c r="K36" s="139"/>
      <c r="L36" s="176">
        <f t="shared" si="17"/>
        <v>5.1308</v>
      </c>
      <c r="M36" s="160">
        <f t="shared" si="18"/>
        <v>1</v>
      </c>
      <c r="N36" s="160">
        <f t="shared" si="19"/>
        <v>5.1308</v>
      </c>
      <c r="O36" s="139"/>
      <c r="P36" s="139"/>
      <c r="Q36" s="176"/>
      <c r="R36" s="281">
        <v>29.5</v>
      </c>
      <c r="S36" s="176">
        <f t="shared" si="9"/>
        <v>2.32</v>
      </c>
      <c r="T36" s="160">
        <f t="shared" si="10"/>
        <v>1</v>
      </c>
      <c r="U36" s="160">
        <f t="shared" si="11"/>
        <v>2.32</v>
      </c>
      <c r="V36" s="282">
        <f t="shared" si="12"/>
        <v>128.571384</v>
      </c>
      <c r="W36" s="176">
        <f t="shared" ref="W36:X36" si="33">C36/100</f>
        <v>0.93</v>
      </c>
      <c r="X36" s="176">
        <f t="shared" si="33"/>
        <v>2.02</v>
      </c>
      <c r="Y36" s="176">
        <f t="shared" si="14"/>
        <v>2.32</v>
      </c>
      <c r="Z36" s="283">
        <f t="shared" si="15"/>
        <v>4.358352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18.0</v>
      </c>
      <c r="B37" s="191" t="s">
        <v>55</v>
      </c>
      <c r="C37" s="191">
        <v>95.0</v>
      </c>
      <c r="D37" s="191">
        <v>202.0</v>
      </c>
      <c r="E37" s="191">
        <v>232.0</v>
      </c>
      <c r="F37" s="191">
        <f t="shared" si="5"/>
        <v>0</v>
      </c>
      <c r="G37" s="191">
        <f t="shared" si="6"/>
        <v>131.33636</v>
      </c>
      <c r="H37" s="192">
        <f t="shared" si="7"/>
        <v>131.33636</v>
      </c>
      <c r="I37" s="191">
        <v>6.0</v>
      </c>
      <c r="J37" s="194">
        <f t="shared" si="8"/>
        <v>788.01816</v>
      </c>
      <c r="K37" s="139"/>
      <c r="L37" s="176">
        <f t="shared" si="17"/>
        <v>5.1308</v>
      </c>
      <c r="M37" s="160">
        <f t="shared" si="18"/>
        <v>6</v>
      </c>
      <c r="N37" s="160">
        <f t="shared" si="19"/>
        <v>30.7848</v>
      </c>
      <c r="O37" s="139"/>
      <c r="P37" s="139"/>
      <c r="Q37" s="176"/>
      <c r="R37" s="281">
        <v>29.5</v>
      </c>
      <c r="S37" s="176">
        <f t="shared" si="9"/>
        <v>2.32</v>
      </c>
      <c r="T37" s="160">
        <f t="shared" si="10"/>
        <v>6</v>
      </c>
      <c r="U37" s="160">
        <f t="shared" si="11"/>
        <v>13.92</v>
      </c>
      <c r="V37" s="282">
        <f t="shared" si="12"/>
        <v>131.33636</v>
      </c>
      <c r="W37" s="176">
        <f t="shared" ref="W37:X37" si="34">C37/100</f>
        <v>0.95</v>
      </c>
      <c r="X37" s="176">
        <f t="shared" si="34"/>
        <v>2.02</v>
      </c>
      <c r="Y37" s="176">
        <f t="shared" si="14"/>
        <v>13.92</v>
      </c>
      <c r="Z37" s="283">
        <f t="shared" si="15"/>
        <v>26.71248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19.0</v>
      </c>
      <c r="B38" s="191" t="s">
        <v>55</v>
      </c>
      <c r="C38" s="191">
        <v>79.0</v>
      </c>
      <c r="D38" s="191">
        <v>202.0</v>
      </c>
      <c r="E38" s="191">
        <v>277.0</v>
      </c>
      <c r="F38" s="191">
        <f t="shared" si="5"/>
        <v>0</v>
      </c>
      <c r="G38" s="191">
        <f t="shared" si="6"/>
        <v>130.400797</v>
      </c>
      <c r="H38" s="192">
        <f t="shared" si="7"/>
        <v>130.400797</v>
      </c>
      <c r="I38" s="191">
        <v>1.0</v>
      </c>
      <c r="J38" s="194">
        <f t="shared" si="8"/>
        <v>130.400797</v>
      </c>
      <c r="K38" s="139"/>
      <c r="L38" s="176">
        <f t="shared" si="17"/>
        <v>5.1308</v>
      </c>
      <c r="M38" s="160">
        <f t="shared" si="18"/>
        <v>1</v>
      </c>
      <c r="N38" s="160">
        <f t="shared" si="19"/>
        <v>5.1308</v>
      </c>
      <c r="O38" s="139"/>
      <c r="P38" s="139"/>
      <c r="Q38" s="176"/>
      <c r="R38" s="281">
        <v>29.5</v>
      </c>
      <c r="S38" s="176">
        <f t="shared" si="9"/>
        <v>2.77</v>
      </c>
      <c r="T38" s="160">
        <f t="shared" si="10"/>
        <v>1</v>
      </c>
      <c r="U38" s="160">
        <f t="shared" si="11"/>
        <v>2.77</v>
      </c>
      <c r="V38" s="282">
        <f t="shared" si="12"/>
        <v>130.400797</v>
      </c>
      <c r="W38" s="176">
        <f t="shared" ref="W38:X38" si="35">C38/100</f>
        <v>0.79</v>
      </c>
      <c r="X38" s="176">
        <f t="shared" si="35"/>
        <v>2.02</v>
      </c>
      <c r="Y38" s="176">
        <f t="shared" si="14"/>
        <v>2.77</v>
      </c>
      <c r="Z38" s="283">
        <f t="shared" si="15"/>
        <v>4.420366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20.0</v>
      </c>
      <c r="B39" s="191" t="s">
        <v>55</v>
      </c>
      <c r="C39" s="191">
        <v>93.0</v>
      </c>
      <c r="D39" s="191">
        <v>202.0</v>
      </c>
      <c r="E39" s="191">
        <v>202.0</v>
      </c>
      <c r="F39" s="191">
        <f t="shared" si="5"/>
        <v>0</v>
      </c>
      <c r="G39" s="191">
        <f t="shared" si="6"/>
        <v>111.945774</v>
      </c>
      <c r="H39" s="192">
        <f t="shared" si="7"/>
        <v>111.945774</v>
      </c>
      <c r="I39" s="191">
        <v>1.0</v>
      </c>
      <c r="J39" s="194">
        <f t="shared" si="8"/>
        <v>111.945774</v>
      </c>
      <c r="K39" s="139"/>
      <c r="L39" s="176">
        <f t="shared" si="17"/>
        <v>5.1308</v>
      </c>
      <c r="M39" s="160">
        <f t="shared" si="18"/>
        <v>1</v>
      </c>
      <c r="N39" s="160">
        <f t="shared" si="19"/>
        <v>5.1308</v>
      </c>
      <c r="O39" s="139"/>
      <c r="P39" s="139"/>
      <c r="Q39" s="176"/>
      <c r="R39" s="281">
        <v>29.5</v>
      </c>
      <c r="S39" s="176">
        <f t="shared" si="9"/>
        <v>2.02</v>
      </c>
      <c r="T39" s="160">
        <f t="shared" si="10"/>
        <v>1</v>
      </c>
      <c r="U39" s="160">
        <f t="shared" si="11"/>
        <v>2.02</v>
      </c>
      <c r="V39" s="282">
        <f t="shared" si="12"/>
        <v>111.945774</v>
      </c>
      <c r="W39" s="176">
        <f t="shared" ref="W39:X39" si="36">C39/100</f>
        <v>0.93</v>
      </c>
      <c r="X39" s="176">
        <f t="shared" si="36"/>
        <v>2.02</v>
      </c>
      <c r="Y39" s="176">
        <f t="shared" si="14"/>
        <v>2.02</v>
      </c>
      <c r="Z39" s="283">
        <f t="shared" si="15"/>
        <v>3.794772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21.0</v>
      </c>
      <c r="B40" s="191" t="s">
        <v>55</v>
      </c>
      <c r="C40" s="191">
        <v>95.0</v>
      </c>
      <c r="D40" s="191">
        <v>202.0</v>
      </c>
      <c r="E40" s="191">
        <v>202.0</v>
      </c>
      <c r="F40" s="191">
        <f t="shared" si="5"/>
        <v>0</v>
      </c>
      <c r="G40" s="191">
        <f t="shared" si="6"/>
        <v>114.35321</v>
      </c>
      <c r="H40" s="192">
        <f t="shared" si="7"/>
        <v>114.35321</v>
      </c>
      <c r="I40" s="191">
        <v>47.0</v>
      </c>
      <c r="J40" s="194">
        <f t="shared" si="8"/>
        <v>5374.60087</v>
      </c>
      <c r="K40" s="139"/>
      <c r="L40" s="176">
        <f t="shared" si="17"/>
        <v>5.1308</v>
      </c>
      <c r="M40" s="160">
        <f t="shared" si="18"/>
        <v>47</v>
      </c>
      <c r="N40" s="160">
        <f t="shared" si="19"/>
        <v>241.1476</v>
      </c>
      <c r="O40" s="139"/>
      <c r="P40" s="139"/>
      <c r="Q40" s="176"/>
      <c r="R40" s="281">
        <v>29.5</v>
      </c>
      <c r="S40" s="176">
        <f t="shared" si="9"/>
        <v>2.02</v>
      </c>
      <c r="T40" s="160">
        <f t="shared" si="10"/>
        <v>47</v>
      </c>
      <c r="U40" s="160">
        <f t="shared" si="11"/>
        <v>94.94</v>
      </c>
      <c r="V40" s="282">
        <f t="shared" si="12"/>
        <v>114.35321</v>
      </c>
      <c r="W40" s="176">
        <f t="shared" ref="W40:X40" si="37">C40/100</f>
        <v>0.95</v>
      </c>
      <c r="X40" s="176">
        <f t="shared" si="37"/>
        <v>2.02</v>
      </c>
      <c r="Y40" s="176">
        <f t="shared" si="14"/>
        <v>94.94</v>
      </c>
      <c r="Z40" s="283">
        <f t="shared" si="15"/>
        <v>182.18986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22.0</v>
      </c>
      <c r="B41" s="191" t="s">
        <v>55</v>
      </c>
      <c r="C41" s="191">
        <v>96.0</v>
      </c>
      <c r="D41" s="191">
        <v>202.0</v>
      </c>
      <c r="E41" s="191">
        <v>201.0</v>
      </c>
      <c r="F41" s="191">
        <f t="shared" si="5"/>
        <v>0</v>
      </c>
      <c r="G41" s="191">
        <f t="shared" si="6"/>
        <v>114.984864</v>
      </c>
      <c r="H41" s="192">
        <f t="shared" si="7"/>
        <v>114.984864</v>
      </c>
      <c r="I41" s="191">
        <v>2.0</v>
      </c>
      <c r="J41" s="194">
        <f t="shared" si="8"/>
        <v>229.969728</v>
      </c>
      <c r="K41" s="139"/>
      <c r="L41" s="176">
        <f t="shared" si="17"/>
        <v>5.1308</v>
      </c>
      <c r="M41" s="160">
        <f t="shared" si="18"/>
        <v>2</v>
      </c>
      <c r="N41" s="160">
        <f t="shared" si="19"/>
        <v>10.2616</v>
      </c>
      <c r="O41" s="139"/>
      <c r="P41" s="139"/>
      <c r="Q41" s="176"/>
      <c r="R41" s="281">
        <v>29.5</v>
      </c>
      <c r="S41" s="176">
        <f t="shared" si="9"/>
        <v>2.01</v>
      </c>
      <c r="T41" s="160">
        <f t="shared" si="10"/>
        <v>2</v>
      </c>
      <c r="U41" s="160">
        <f t="shared" si="11"/>
        <v>4.02</v>
      </c>
      <c r="V41" s="282">
        <f t="shared" si="12"/>
        <v>114.984864</v>
      </c>
      <c r="W41" s="176">
        <f t="shared" ref="W41:X41" si="38">C41/100</f>
        <v>0.96</v>
      </c>
      <c r="X41" s="176">
        <f t="shared" si="38"/>
        <v>2.02</v>
      </c>
      <c r="Y41" s="176">
        <f t="shared" si="14"/>
        <v>4.02</v>
      </c>
      <c r="Z41" s="283">
        <f t="shared" si="15"/>
        <v>7.795584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23.0</v>
      </c>
      <c r="B42" s="182" t="s">
        <v>65</v>
      </c>
      <c r="C42" s="183">
        <v>93.0</v>
      </c>
      <c r="D42" s="183">
        <v>202.0</v>
      </c>
      <c r="E42" s="183">
        <v>202.0</v>
      </c>
      <c r="F42" s="183">
        <f t="shared" si="5"/>
        <v>0.8</v>
      </c>
      <c r="G42" s="183">
        <f t="shared" si="6"/>
        <v>111.945774</v>
      </c>
      <c r="H42" s="184">
        <f t="shared" si="7"/>
        <v>89.5566192</v>
      </c>
      <c r="I42" s="183">
        <v>1.0</v>
      </c>
      <c r="J42" s="194">
        <f t="shared" si="8"/>
        <v>89.5566192</v>
      </c>
      <c r="K42" s="139"/>
      <c r="L42" s="176">
        <f t="shared" si="17"/>
        <v>5.1308</v>
      </c>
      <c r="M42" s="160">
        <f t="shared" si="18"/>
        <v>1</v>
      </c>
      <c r="N42" s="160">
        <f t="shared" si="19"/>
        <v>5.1308</v>
      </c>
      <c r="O42" s="139"/>
      <c r="P42" s="139"/>
      <c r="Q42" s="176"/>
      <c r="R42" s="281">
        <v>29.5</v>
      </c>
      <c r="S42" s="176">
        <f t="shared" si="9"/>
        <v>2.02</v>
      </c>
      <c r="T42" s="160">
        <f t="shared" si="10"/>
        <v>1</v>
      </c>
      <c r="U42" s="160">
        <f t="shared" si="11"/>
        <v>2.02</v>
      </c>
      <c r="V42" s="282">
        <f t="shared" si="12"/>
        <v>111.945774</v>
      </c>
      <c r="W42" s="176">
        <f t="shared" ref="W42:X42" si="39">C42/100</f>
        <v>0.93</v>
      </c>
      <c r="X42" s="176">
        <f t="shared" si="39"/>
        <v>2.02</v>
      </c>
      <c r="Y42" s="176">
        <f t="shared" si="14"/>
        <v>2.02</v>
      </c>
      <c r="Z42" s="283">
        <f t="shared" si="15"/>
        <v>3.794772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24.0</v>
      </c>
      <c r="B43" s="191" t="s">
        <v>56</v>
      </c>
      <c r="C43" s="191">
        <v>98.0</v>
      </c>
      <c r="D43" s="191">
        <v>202.0</v>
      </c>
      <c r="E43" s="191">
        <v>203.0</v>
      </c>
      <c r="F43" s="191">
        <f t="shared" si="5"/>
        <v>0</v>
      </c>
      <c r="G43" s="191">
        <f t="shared" si="6"/>
        <v>118.548346</v>
      </c>
      <c r="H43" s="192">
        <f t="shared" si="7"/>
        <v>118.548346</v>
      </c>
      <c r="I43" s="191">
        <v>1.0</v>
      </c>
      <c r="J43" s="194">
        <f t="shared" si="8"/>
        <v>118.548346</v>
      </c>
      <c r="K43" s="139"/>
      <c r="L43" s="176">
        <f t="shared" si="17"/>
        <v>5.1308</v>
      </c>
      <c r="M43" s="160">
        <f t="shared" si="18"/>
        <v>1</v>
      </c>
      <c r="N43" s="160">
        <f t="shared" si="19"/>
        <v>5.1308</v>
      </c>
      <c r="O43" s="139"/>
      <c r="P43" s="139"/>
      <c r="Q43" s="176"/>
      <c r="R43" s="281">
        <v>29.5</v>
      </c>
      <c r="S43" s="176">
        <f t="shared" si="9"/>
        <v>2.03</v>
      </c>
      <c r="T43" s="160">
        <f t="shared" si="10"/>
        <v>1</v>
      </c>
      <c r="U43" s="160">
        <f t="shared" si="11"/>
        <v>2.03</v>
      </c>
      <c r="V43" s="282">
        <f t="shared" si="12"/>
        <v>118.548346</v>
      </c>
      <c r="W43" s="176">
        <f t="shared" ref="W43:X43" si="40">C43/100</f>
        <v>0.98</v>
      </c>
      <c r="X43" s="176">
        <f t="shared" si="40"/>
        <v>2.02</v>
      </c>
      <c r="Y43" s="176">
        <f t="shared" si="14"/>
        <v>2.03</v>
      </c>
      <c r="Z43" s="283">
        <f t="shared" si="15"/>
        <v>4.018588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25.0</v>
      </c>
      <c r="B44" s="191" t="s">
        <v>56</v>
      </c>
      <c r="C44" s="191">
        <v>98.0</v>
      </c>
      <c r="D44" s="191">
        <v>202.0</v>
      </c>
      <c r="E44" s="191">
        <v>202.0</v>
      </c>
      <c r="F44" s="191">
        <f t="shared" si="5"/>
        <v>0</v>
      </c>
      <c r="G44" s="191">
        <f t="shared" si="6"/>
        <v>117.964364</v>
      </c>
      <c r="H44" s="192">
        <f t="shared" si="7"/>
        <v>117.964364</v>
      </c>
      <c r="I44" s="191">
        <v>46.0</v>
      </c>
      <c r="J44" s="194">
        <f t="shared" si="8"/>
        <v>5426.360744</v>
      </c>
      <c r="K44" s="139"/>
      <c r="L44" s="176">
        <f t="shared" si="17"/>
        <v>5.1308</v>
      </c>
      <c r="M44" s="160">
        <f t="shared" si="18"/>
        <v>46</v>
      </c>
      <c r="N44" s="160">
        <f t="shared" si="19"/>
        <v>236.0168</v>
      </c>
      <c r="O44" s="139"/>
      <c r="P44" s="139"/>
      <c r="Q44" s="176"/>
      <c r="R44" s="281">
        <v>29.5</v>
      </c>
      <c r="S44" s="176">
        <f t="shared" si="9"/>
        <v>2.02</v>
      </c>
      <c r="T44" s="160">
        <f t="shared" si="10"/>
        <v>46</v>
      </c>
      <c r="U44" s="160">
        <f t="shared" si="11"/>
        <v>92.92</v>
      </c>
      <c r="V44" s="282">
        <f t="shared" si="12"/>
        <v>117.964364</v>
      </c>
      <c r="W44" s="176">
        <f t="shared" ref="W44:X44" si="41">C44/100</f>
        <v>0.98</v>
      </c>
      <c r="X44" s="176">
        <f t="shared" si="41"/>
        <v>2.02</v>
      </c>
      <c r="Y44" s="176">
        <f t="shared" si="14"/>
        <v>92.92</v>
      </c>
      <c r="Z44" s="283">
        <f t="shared" si="15"/>
        <v>183.944432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26.0</v>
      </c>
      <c r="B45" s="191" t="s">
        <v>56</v>
      </c>
      <c r="C45" s="191">
        <v>96.0</v>
      </c>
      <c r="D45" s="191">
        <v>202.0</v>
      </c>
      <c r="E45" s="191">
        <v>201.0</v>
      </c>
      <c r="F45" s="191">
        <f t="shared" si="5"/>
        <v>0</v>
      </c>
      <c r="G45" s="191">
        <f t="shared" si="6"/>
        <v>114.984864</v>
      </c>
      <c r="H45" s="192">
        <f t="shared" si="7"/>
        <v>114.984864</v>
      </c>
      <c r="I45" s="191">
        <v>1.0</v>
      </c>
      <c r="J45" s="194">
        <f t="shared" si="8"/>
        <v>114.984864</v>
      </c>
      <c r="K45" s="139"/>
      <c r="L45" s="197"/>
      <c r="M45" s="198">
        <f t="shared" si="18"/>
        <v>1</v>
      </c>
      <c r="N45" s="198"/>
      <c r="O45" s="139"/>
      <c r="P45" s="139"/>
      <c r="Q45" s="176"/>
      <c r="R45" s="281">
        <v>29.5</v>
      </c>
      <c r="S45" s="176">
        <f t="shared" si="9"/>
        <v>2.01</v>
      </c>
      <c r="T45" s="160">
        <f t="shared" si="10"/>
        <v>1</v>
      </c>
      <c r="U45" s="160">
        <f t="shared" si="11"/>
        <v>2.01</v>
      </c>
      <c r="V45" s="282">
        <f t="shared" si="12"/>
        <v>114.984864</v>
      </c>
      <c r="W45" s="176">
        <f t="shared" ref="W45:X45" si="42">C45/100</f>
        <v>0.96</v>
      </c>
      <c r="X45" s="176">
        <f t="shared" si="42"/>
        <v>2.02</v>
      </c>
      <c r="Y45" s="176">
        <f t="shared" si="14"/>
        <v>2.01</v>
      </c>
      <c r="Z45" s="283">
        <f t="shared" si="15"/>
        <v>3.897792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27.0</v>
      </c>
      <c r="B46" s="191" t="s">
        <v>56</v>
      </c>
      <c r="C46" s="191">
        <v>98.0</v>
      </c>
      <c r="D46" s="191">
        <v>202.0</v>
      </c>
      <c r="E46" s="191">
        <v>252.0</v>
      </c>
      <c r="F46" s="191">
        <f t="shared" si="5"/>
        <v>0</v>
      </c>
      <c r="G46" s="191">
        <f t="shared" si="6"/>
        <v>147.163464</v>
      </c>
      <c r="H46" s="192">
        <f t="shared" si="7"/>
        <v>147.163464</v>
      </c>
      <c r="I46" s="191">
        <v>4.0</v>
      </c>
      <c r="J46" s="194">
        <f t="shared" si="8"/>
        <v>588.653856</v>
      </c>
      <c r="K46" s="139"/>
      <c r="L46" s="197"/>
      <c r="M46" s="198">
        <f t="shared" si="18"/>
        <v>4</v>
      </c>
      <c r="N46" s="198"/>
      <c r="O46" s="139"/>
      <c r="P46" s="139"/>
      <c r="Q46" s="176"/>
      <c r="R46" s="281">
        <v>29.5</v>
      </c>
      <c r="S46" s="176">
        <f t="shared" si="9"/>
        <v>2.52</v>
      </c>
      <c r="T46" s="160">
        <f t="shared" si="10"/>
        <v>4</v>
      </c>
      <c r="U46" s="160">
        <f t="shared" si="11"/>
        <v>10.08</v>
      </c>
      <c r="V46" s="282">
        <f t="shared" si="12"/>
        <v>147.163464</v>
      </c>
      <c r="W46" s="176">
        <f t="shared" ref="W46:X46" si="43">C46/100</f>
        <v>0.98</v>
      </c>
      <c r="X46" s="176">
        <f t="shared" si="43"/>
        <v>2.02</v>
      </c>
      <c r="Y46" s="176">
        <f t="shared" si="14"/>
        <v>10.08</v>
      </c>
      <c r="Z46" s="283">
        <f t="shared" si="15"/>
        <v>19.954368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28.0</v>
      </c>
      <c r="B47" s="191" t="s">
        <v>56</v>
      </c>
      <c r="C47" s="191">
        <v>98.0</v>
      </c>
      <c r="D47" s="191">
        <v>202.0</v>
      </c>
      <c r="E47" s="191">
        <v>251.0</v>
      </c>
      <c r="F47" s="191">
        <f t="shared" si="5"/>
        <v>0</v>
      </c>
      <c r="G47" s="191">
        <f t="shared" si="6"/>
        <v>146.579482</v>
      </c>
      <c r="H47" s="192">
        <f t="shared" si="7"/>
        <v>146.579482</v>
      </c>
      <c r="I47" s="191">
        <v>23.0</v>
      </c>
      <c r="J47" s="194">
        <f t="shared" si="8"/>
        <v>3371.328086</v>
      </c>
      <c r="K47" s="139"/>
      <c r="L47" s="197"/>
      <c r="M47" s="198">
        <f t="shared" si="18"/>
        <v>23</v>
      </c>
      <c r="N47" s="198"/>
      <c r="O47" s="139"/>
      <c r="P47" s="139"/>
      <c r="Q47" s="176"/>
      <c r="R47" s="281">
        <v>29.5</v>
      </c>
      <c r="S47" s="176">
        <f t="shared" si="9"/>
        <v>2.51</v>
      </c>
      <c r="T47" s="160">
        <f t="shared" si="10"/>
        <v>23</v>
      </c>
      <c r="U47" s="160">
        <f t="shared" si="11"/>
        <v>57.73</v>
      </c>
      <c r="V47" s="282">
        <f t="shared" si="12"/>
        <v>146.579482</v>
      </c>
      <c r="W47" s="176">
        <f t="shared" ref="W47:X47" si="44">C47/100</f>
        <v>0.98</v>
      </c>
      <c r="X47" s="176">
        <f t="shared" si="44"/>
        <v>2.02</v>
      </c>
      <c r="Y47" s="176">
        <f t="shared" si="14"/>
        <v>57.73</v>
      </c>
      <c r="Z47" s="283">
        <f t="shared" si="15"/>
        <v>114.282308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29.0</v>
      </c>
      <c r="B48" s="191" t="s">
        <v>56</v>
      </c>
      <c r="C48" s="191">
        <v>97.0</v>
      </c>
      <c r="D48" s="191">
        <v>202.0</v>
      </c>
      <c r="E48" s="191">
        <v>202.0</v>
      </c>
      <c r="F48" s="191">
        <f t="shared" si="5"/>
        <v>0</v>
      </c>
      <c r="G48" s="191">
        <f t="shared" si="6"/>
        <v>116.760646</v>
      </c>
      <c r="H48" s="192">
        <f t="shared" si="7"/>
        <v>116.760646</v>
      </c>
      <c r="I48" s="191">
        <v>12.0</v>
      </c>
      <c r="J48" s="194">
        <f t="shared" si="8"/>
        <v>1401.127752</v>
      </c>
      <c r="K48" s="139"/>
      <c r="L48" s="197"/>
      <c r="M48" s="198">
        <f t="shared" si="18"/>
        <v>12</v>
      </c>
      <c r="N48" s="198"/>
      <c r="O48" s="139"/>
      <c r="P48" s="139"/>
      <c r="Q48" s="176"/>
      <c r="R48" s="281">
        <v>29.5</v>
      </c>
      <c r="S48" s="176">
        <f t="shared" si="9"/>
        <v>2.02</v>
      </c>
      <c r="T48" s="160">
        <f t="shared" si="10"/>
        <v>12</v>
      </c>
      <c r="U48" s="160">
        <f t="shared" si="11"/>
        <v>24.24</v>
      </c>
      <c r="V48" s="282">
        <f t="shared" si="12"/>
        <v>116.760646</v>
      </c>
      <c r="W48" s="176">
        <f t="shared" ref="W48:X48" si="45">C48/100</f>
        <v>0.97</v>
      </c>
      <c r="X48" s="176">
        <f t="shared" si="45"/>
        <v>2.02</v>
      </c>
      <c r="Y48" s="176">
        <f t="shared" si="14"/>
        <v>24.24</v>
      </c>
      <c r="Z48" s="283">
        <f t="shared" si="15"/>
        <v>47.495856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30.0</v>
      </c>
      <c r="B49" s="191" t="s">
        <v>56</v>
      </c>
      <c r="C49" s="191">
        <v>99.0</v>
      </c>
      <c r="D49" s="191">
        <v>202.0</v>
      </c>
      <c r="E49" s="191">
        <v>202.0</v>
      </c>
      <c r="F49" s="191">
        <f t="shared" si="5"/>
        <v>0</v>
      </c>
      <c r="G49" s="191">
        <f t="shared" si="6"/>
        <v>119.168082</v>
      </c>
      <c r="H49" s="192">
        <f t="shared" si="7"/>
        <v>119.168082</v>
      </c>
      <c r="I49" s="191">
        <v>2.0</v>
      </c>
      <c r="J49" s="194">
        <f t="shared" si="8"/>
        <v>238.336164</v>
      </c>
      <c r="K49" s="139"/>
      <c r="L49" s="197"/>
      <c r="M49" s="198">
        <f t="shared" si="18"/>
        <v>2</v>
      </c>
      <c r="N49" s="198"/>
      <c r="O49" s="139"/>
      <c r="P49" s="139"/>
      <c r="Q49" s="176"/>
      <c r="R49" s="281">
        <v>29.5</v>
      </c>
      <c r="S49" s="176">
        <f t="shared" si="9"/>
        <v>2.02</v>
      </c>
      <c r="T49" s="160">
        <f t="shared" si="10"/>
        <v>2</v>
      </c>
      <c r="U49" s="160">
        <f t="shared" si="11"/>
        <v>4.04</v>
      </c>
      <c r="V49" s="282">
        <f t="shared" si="12"/>
        <v>119.168082</v>
      </c>
      <c r="W49" s="176">
        <f t="shared" ref="W49:X49" si="46">C49/100</f>
        <v>0.99</v>
      </c>
      <c r="X49" s="176">
        <f t="shared" si="46"/>
        <v>2.02</v>
      </c>
      <c r="Y49" s="176">
        <f t="shared" si="14"/>
        <v>4.04</v>
      </c>
      <c r="Z49" s="283">
        <f t="shared" si="15"/>
        <v>8.079192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31.0</v>
      </c>
      <c r="B50" s="191" t="s">
        <v>56</v>
      </c>
      <c r="C50" s="191">
        <v>96.0</v>
      </c>
      <c r="D50" s="191">
        <v>202.0</v>
      </c>
      <c r="E50" s="191">
        <v>202.0</v>
      </c>
      <c r="F50" s="191">
        <f t="shared" si="5"/>
        <v>0</v>
      </c>
      <c r="G50" s="191">
        <f t="shared" si="6"/>
        <v>115.556928</v>
      </c>
      <c r="H50" s="192">
        <f t="shared" si="7"/>
        <v>115.556928</v>
      </c>
      <c r="I50" s="191">
        <v>1.0</v>
      </c>
      <c r="J50" s="194">
        <f t="shared" si="8"/>
        <v>115.556928</v>
      </c>
      <c r="K50" s="139"/>
      <c r="L50" s="197"/>
      <c r="M50" s="198">
        <f t="shared" si="18"/>
        <v>1</v>
      </c>
      <c r="N50" s="198"/>
      <c r="O50" s="139"/>
      <c r="P50" s="139"/>
      <c r="Q50" s="176"/>
      <c r="R50" s="281">
        <v>29.5</v>
      </c>
      <c r="S50" s="176">
        <f t="shared" si="9"/>
        <v>2.02</v>
      </c>
      <c r="T50" s="160">
        <f t="shared" si="10"/>
        <v>1</v>
      </c>
      <c r="U50" s="160">
        <f t="shared" si="11"/>
        <v>2.02</v>
      </c>
      <c r="V50" s="282">
        <f t="shared" si="12"/>
        <v>115.556928</v>
      </c>
      <c r="W50" s="176">
        <f t="shared" ref="W50:X50" si="47">C50/100</f>
        <v>0.96</v>
      </c>
      <c r="X50" s="176">
        <f t="shared" si="47"/>
        <v>2.02</v>
      </c>
      <c r="Y50" s="176">
        <f t="shared" si="14"/>
        <v>2.02</v>
      </c>
      <c r="Z50" s="283">
        <f t="shared" si="15"/>
        <v>3.917184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32.0</v>
      </c>
      <c r="B51" s="191" t="s">
        <v>56</v>
      </c>
      <c r="C51" s="191">
        <v>89.0</v>
      </c>
      <c r="D51" s="191">
        <v>202.0</v>
      </c>
      <c r="E51" s="191">
        <v>208.0</v>
      </c>
      <c r="F51" s="191">
        <f t="shared" si="5"/>
        <v>0</v>
      </c>
      <c r="G51" s="191">
        <f t="shared" si="6"/>
        <v>110.313008</v>
      </c>
      <c r="H51" s="192">
        <f t="shared" si="7"/>
        <v>110.313008</v>
      </c>
      <c r="I51" s="191">
        <v>1.0</v>
      </c>
      <c r="J51" s="194">
        <f t="shared" si="8"/>
        <v>110.313008</v>
      </c>
      <c r="K51" s="139"/>
      <c r="L51" s="197"/>
      <c r="M51" s="198">
        <f t="shared" si="18"/>
        <v>1</v>
      </c>
      <c r="N51" s="198"/>
      <c r="O51" s="139"/>
      <c r="P51" s="139"/>
      <c r="Q51" s="176"/>
      <c r="R51" s="281">
        <v>29.5</v>
      </c>
      <c r="S51" s="176">
        <f t="shared" si="9"/>
        <v>2.08</v>
      </c>
      <c r="T51" s="160">
        <f t="shared" si="10"/>
        <v>1</v>
      </c>
      <c r="U51" s="160">
        <f t="shared" si="11"/>
        <v>2.08</v>
      </c>
      <c r="V51" s="282">
        <f t="shared" si="12"/>
        <v>110.313008</v>
      </c>
      <c r="W51" s="176">
        <f t="shared" ref="W51:X51" si="48">C51/100</f>
        <v>0.89</v>
      </c>
      <c r="X51" s="176">
        <f t="shared" si="48"/>
        <v>2.02</v>
      </c>
      <c r="Y51" s="176">
        <f t="shared" si="14"/>
        <v>2.08</v>
      </c>
      <c r="Z51" s="283">
        <f t="shared" si="15"/>
        <v>3.739424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33.0</v>
      </c>
      <c r="B52" s="191" t="s">
        <v>56</v>
      </c>
      <c r="C52" s="191">
        <v>97.0</v>
      </c>
      <c r="D52" s="191">
        <v>202.0</v>
      </c>
      <c r="E52" s="191">
        <v>251.0</v>
      </c>
      <c r="F52" s="191">
        <f t="shared" si="5"/>
        <v>0</v>
      </c>
      <c r="G52" s="191">
        <f t="shared" si="6"/>
        <v>145.083773</v>
      </c>
      <c r="H52" s="192">
        <f t="shared" si="7"/>
        <v>145.083773</v>
      </c>
      <c r="I52" s="191">
        <v>1.0</v>
      </c>
      <c r="J52" s="194">
        <f t="shared" si="8"/>
        <v>145.083773</v>
      </c>
      <c r="K52" s="139"/>
      <c r="L52" s="197"/>
      <c r="M52" s="198">
        <f t="shared" si="18"/>
        <v>1</v>
      </c>
      <c r="N52" s="198"/>
      <c r="O52" s="139"/>
      <c r="P52" s="139"/>
      <c r="Q52" s="176"/>
      <c r="R52" s="281">
        <v>29.5</v>
      </c>
      <c r="S52" s="176">
        <f t="shared" si="9"/>
        <v>2.51</v>
      </c>
      <c r="T52" s="160">
        <f t="shared" si="10"/>
        <v>1</v>
      </c>
      <c r="U52" s="160">
        <f t="shared" si="11"/>
        <v>2.51</v>
      </c>
      <c r="V52" s="282">
        <f t="shared" si="12"/>
        <v>145.083773</v>
      </c>
      <c r="W52" s="176">
        <f t="shared" ref="W52:X52" si="49">C52/100</f>
        <v>0.97</v>
      </c>
      <c r="X52" s="176">
        <f t="shared" si="49"/>
        <v>2.02</v>
      </c>
      <c r="Y52" s="176">
        <f t="shared" si="14"/>
        <v>2.51</v>
      </c>
      <c r="Z52" s="283">
        <f t="shared" si="15"/>
        <v>4.918094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34.0</v>
      </c>
      <c r="B53" s="182" t="s">
        <v>116</v>
      </c>
      <c r="C53" s="191">
        <v>108.0</v>
      </c>
      <c r="D53" s="191">
        <v>204.0</v>
      </c>
      <c r="E53" s="191">
        <v>155.0</v>
      </c>
      <c r="F53" s="191">
        <f t="shared" si="5"/>
        <v>0.8</v>
      </c>
      <c r="G53" s="191">
        <f t="shared" si="6"/>
        <v>70.00668</v>
      </c>
      <c r="H53" s="192">
        <f t="shared" si="7"/>
        <v>56.005344</v>
      </c>
      <c r="I53" s="191">
        <v>1.0</v>
      </c>
      <c r="J53" s="194">
        <f t="shared" si="8"/>
        <v>56.005344</v>
      </c>
      <c r="K53" s="139"/>
      <c r="L53" s="197"/>
      <c r="M53" s="198">
        <f t="shared" si="18"/>
        <v>1</v>
      </c>
      <c r="N53" s="198"/>
      <c r="O53" s="139"/>
      <c r="P53" s="139"/>
      <c r="Q53" s="176"/>
      <c r="R53" s="281">
        <v>20.5</v>
      </c>
      <c r="S53" s="176">
        <f t="shared" si="9"/>
        <v>1.55</v>
      </c>
      <c r="T53" s="160">
        <f t="shared" si="10"/>
        <v>1</v>
      </c>
      <c r="U53" s="160">
        <f t="shared" si="11"/>
        <v>1.55</v>
      </c>
      <c r="V53" s="282">
        <f t="shared" si="12"/>
        <v>70.00668</v>
      </c>
      <c r="W53" s="176">
        <f t="shared" ref="W53:X53" si="50">C53/100</f>
        <v>1.08</v>
      </c>
      <c r="X53" s="176">
        <f t="shared" si="50"/>
        <v>2.04</v>
      </c>
      <c r="Y53" s="176">
        <f t="shared" si="14"/>
        <v>1.55</v>
      </c>
      <c r="Z53" s="283">
        <f t="shared" si="15"/>
        <v>3.41496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35.0</v>
      </c>
      <c r="B54" s="191" t="s">
        <v>110</v>
      </c>
      <c r="C54" s="191">
        <v>79.0</v>
      </c>
      <c r="D54" s="191">
        <v>204.0</v>
      </c>
      <c r="E54" s="191">
        <v>210.0</v>
      </c>
      <c r="F54" s="191">
        <f t="shared" si="5"/>
        <v>0</v>
      </c>
      <c r="G54" s="191">
        <f t="shared" si="6"/>
        <v>69.37938</v>
      </c>
      <c r="H54" s="192">
        <f t="shared" si="7"/>
        <v>69.37938</v>
      </c>
      <c r="I54" s="191">
        <v>1.0</v>
      </c>
      <c r="J54" s="194">
        <f t="shared" si="8"/>
        <v>69.37938</v>
      </c>
      <c r="K54" s="139"/>
      <c r="L54" s="197"/>
      <c r="M54" s="198">
        <f t="shared" si="18"/>
        <v>1</v>
      </c>
      <c r="N54" s="198"/>
      <c r="O54" s="139"/>
      <c r="P54" s="139"/>
      <c r="Q54" s="176"/>
      <c r="R54" s="281">
        <v>20.5</v>
      </c>
      <c r="S54" s="176">
        <f t="shared" si="9"/>
        <v>2.1</v>
      </c>
      <c r="T54" s="160">
        <f t="shared" si="10"/>
        <v>1</v>
      </c>
      <c r="U54" s="160">
        <f t="shared" si="11"/>
        <v>2.1</v>
      </c>
      <c r="V54" s="282">
        <f t="shared" si="12"/>
        <v>69.37938</v>
      </c>
      <c r="W54" s="176">
        <f t="shared" ref="W54:X54" si="51">C54/100</f>
        <v>0.79</v>
      </c>
      <c r="X54" s="176">
        <f t="shared" si="51"/>
        <v>2.04</v>
      </c>
      <c r="Y54" s="176">
        <f t="shared" si="14"/>
        <v>2.1</v>
      </c>
      <c r="Z54" s="283">
        <f t="shared" si="15"/>
        <v>3.38436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36.0</v>
      </c>
      <c r="B55" s="191" t="s">
        <v>110</v>
      </c>
      <c r="C55" s="191">
        <v>97.0</v>
      </c>
      <c r="D55" s="191">
        <v>204.0</v>
      </c>
      <c r="E55" s="191">
        <v>210.0</v>
      </c>
      <c r="F55" s="191">
        <f t="shared" si="5"/>
        <v>0</v>
      </c>
      <c r="G55" s="191">
        <f t="shared" si="6"/>
        <v>85.18734</v>
      </c>
      <c r="H55" s="192">
        <f t="shared" si="7"/>
        <v>85.18734</v>
      </c>
      <c r="I55" s="191">
        <v>1.0</v>
      </c>
      <c r="J55" s="194">
        <f t="shared" si="8"/>
        <v>85.18734</v>
      </c>
      <c r="K55" s="139"/>
      <c r="L55" s="197"/>
      <c r="M55" s="198">
        <f t="shared" si="18"/>
        <v>1</v>
      </c>
      <c r="N55" s="198"/>
      <c r="O55" s="139"/>
      <c r="P55" s="139"/>
      <c r="Q55" s="176"/>
      <c r="R55" s="281">
        <v>20.5</v>
      </c>
      <c r="S55" s="176">
        <f t="shared" si="9"/>
        <v>2.1</v>
      </c>
      <c r="T55" s="160">
        <f t="shared" si="10"/>
        <v>1</v>
      </c>
      <c r="U55" s="160">
        <f t="shared" si="11"/>
        <v>2.1</v>
      </c>
      <c r="V55" s="282">
        <f t="shared" si="12"/>
        <v>85.18734</v>
      </c>
      <c r="W55" s="176">
        <f t="shared" ref="W55:X55" si="52">C55/100</f>
        <v>0.97</v>
      </c>
      <c r="X55" s="176">
        <f t="shared" si="52"/>
        <v>2.04</v>
      </c>
      <c r="Y55" s="176">
        <f t="shared" si="14"/>
        <v>2.1</v>
      </c>
      <c r="Z55" s="283">
        <f t="shared" si="15"/>
        <v>4.15548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37.0</v>
      </c>
      <c r="B56" s="191" t="s">
        <v>110</v>
      </c>
      <c r="C56" s="191">
        <v>108.0</v>
      </c>
      <c r="D56" s="191">
        <v>204.0</v>
      </c>
      <c r="E56" s="191">
        <v>218.0</v>
      </c>
      <c r="F56" s="191">
        <f t="shared" si="5"/>
        <v>0</v>
      </c>
      <c r="G56" s="191">
        <f t="shared" si="6"/>
        <v>98.461008</v>
      </c>
      <c r="H56" s="192">
        <f t="shared" si="7"/>
        <v>98.461008</v>
      </c>
      <c r="I56" s="191">
        <v>1.0</v>
      </c>
      <c r="J56" s="194">
        <f t="shared" si="8"/>
        <v>98.461008</v>
      </c>
      <c r="K56" s="139"/>
      <c r="L56" s="197"/>
      <c r="M56" s="198">
        <f t="shared" si="18"/>
        <v>1</v>
      </c>
      <c r="N56" s="198"/>
      <c r="O56" s="139"/>
      <c r="P56" s="139"/>
      <c r="Q56" s="176"/>
      <c r="R56" s="281">
        <v>20.5</v>
      </c>
      <c r="S56" s="176">
        <f t="shared" si="9"/>
        <v>2.18</v>
      </c>
      <c r="T56" s="160">
        <f t="shared" si="10"/>
        <v>1</v>
      </c>
      <c r="U56" s="160">
        <f t="shared" si="11"/>
        <v>2.18</v>
      </c>
      <c r="V56" s="282">
        <f t="shared" si="12"/>
        <v>98.461008</v>
      </c>
      <c r="W56" s="176">
        <f t="shared" ref="W56:X56" si="53">C56/100</f>
        <v>1.08</v>
      </c>
      <c r="X56" s="176">
        <f t="shared" si="53"/>
        <v>2.04</v>
      </c>
      <c r="Y56" s="176">
        <f t="shared" si="14"/>
        <v>2.18</v>
      </c>
      <c r="Z56" s="283">
        <f t="shared" si="15"/>
        <v>4.802976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38.0</v>
      </c>
      <c r="B57" s="182" t="s">
        <v>87</v>
      </c>
      <c r="C57" s="191">
        <v>80.0</v>
      </c>
      <c r="D57" s="191">
        <v>202.0</v>
      </c>
      <c r="E57" s="191">
        <v>170.0</v>
      </c>
      <c r="F57" s="191">
        <f t="shared" si="5"/>
        <v>0.8</v>
      </c>
      <c r="G57" s="191">
        <f t="shared" si="6"/>
        <v>72.8008</v>
      </c>
      <c r="H57" s="192">
        <f t="shared" si="7"/>
        <v>58.24064</v>
      </c>
      <c r="I57" s="191">
        <v>1.0</v>
      </c>
      <c r="J57" s="194">
        <f t="shared" si="8"/>
        <v>58.24064</v>
      </c>
      <c r="K57" s="139"/>
      <c r="L57" s="197"/>
      <c r="M57" s="198">
        <f t="shared" si="18"/>
        <v>1</v>
      </c>
      <c r="N57" s="198"/>
      <c r="O57" s="139"/>
      <c r="P57" s="139"/>
      <c r="Q57" s="176"/>
      <c r="R57" s="281">
        <v>26.5</v>
      </c>
      <c r="S57" s="176">
        <f t="shared" si="9"/>
        <v>1.7</v>
      </c>
      <c r="T57" s="160">
        <f t="shared" si="10"/>
        <v>1</v>
      </c>
      <c r="U57" s="160">
        <f t="shared" si="11"/>
        <v>1.7</v>
      </c>
      <c r="V57" s="282">
        <f t="shared" si="12"/>
        <v>72.8008</v>
      </c>
      <c r="W57" s="176">
        <f t="shared" ref="W57:X57" si="54">C57/100</f>
        <v>0.8</v>
      </c>
      <c r="X57" s="176">
        <f t="shared" si="54"/>
        <v>2.02</v>
      </c>
      <c r="Y57" s="176">
        <f t="shared" si="14"/>
        <v>1.7</v>
      </c>
      <c r="Z57" s="283">
        <f t="shared" si="15"/>
        <v>2.7472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39.0</v>
      </c>
      <c r="B58" s="191" t="s">
        <v>82</v>
      </c>
      <c r="C58" s="191">
        <v>69.0</v>
      </c>
      <c r="D58" s="191">
        <v>202.0</v>
      </c>
      <c r="E58" s="191">
        <v>172.0</v>
      </c>
      <c r="F58" s="191">
        <f t="shared" si="5"/>
        <v>0</v>
      </c>
      <c r="G58" s="191">
        <f t="shared" si="6"/>
        <v>63.529404</v>
      </c>
      <c r="H58" s="192">
        <f t="shared" si="7"/>
        <v>63.529404</v>
      </c>
      <c r="I58" s="191">
        <v>1.0</v>
      </c>
      <c r="J58" s="194">
        <f t="shared" si="8"/>
        <v>63.529404</v>
      </c>
      <c r="K58" s="139"/>
      <c r="L58" s="197"/>
      <c r="M58" s="198">
        <f t="shared" si="18"/>
        <v>1</v>
      </c>
      <c r="N58" s="198"/>
      <c r="O58" s="139"/>
      <c r="P58" s="139"/>
      <c r="Q58" s="176"/>
      <c r="R58" s="281">
        <v>26.5</v>
      </c>
      <c r="S58" s="176">
        <f t="shared" si="9"/>
        <v>1.72</v>
      </c>
      <c r="T58" s="160">
        <f t="shared" si="10"/>
        <v>1</v>
      </c>
      <c r="U58" s="160">
        <f t="shared" si="11"/>
        <v>1.72</v>
      </c>
      <c r="V58" s="282">
        <f t="shared" si="12"/>
        <v>63.529404</v>
      </c>
      <c r="W58" s="176">
        <f t="shared" ref="W58:X58" si="55">C58/100</f>
        <v>0.69</v>
      </c>
      <c r="X58" s="176">
        <f t="shared" si="55"/>
        <v>2.02</v>
      </c>
      <c r="Y58" s="176">
        <f t="shared" si="14"/>
        <v>1.72</v>
      </c>
      <c r="Z58" s="283">
        <f t="shared" si="15"/>
        <v>2.397336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40.0</v>
      </c>
      <c r="B59" s="191" t="s">
        <v>82</v>
      </c>
      <c r="C59" s="191">
        <v>75.0</v>
      </c>
      <c r="D59" s="191">
        <v>202.0</v>
      </c>
      <c r="E59" s="191">
        <v>175.0</v>
      </c>
      <c r="F59" s="191">
        <f t="shared" si="5"/>
        <v>0</v>
      </c>
      <c r="G59" s="191">
        <f t="shared" si="6"/>
        <v>70.258125</v>
      </c>
      <c r="H59" s="192">
        <f t="shared" si="7"/>
        <v>70.258125</v>
      </c>
      <c r="I59" s="191">
        <v>1.0</v>
      </c>
      <c r="J59" s="194">
        <f t="shared" si="8"/>
        <v>70.258125</v>
      </c>
      <c r="K59" s="139"/>
      <c r="L59" s="197"/>
      <c r="M59" s="198">
        <f t="shared" si="18"/>
        <v>1</v>
      </c>
      <c r="N59" s="198"/>
      <c r="O59" s="139"/>
      <c r="P59" s="139"/>
      <c r="Q59" s="176"/>
      <c r="R59" s="281">
        <v>26.5</v>
      </c>
      <c r="S59" s="176">
        <f t="shared" si="9"/>
        <v>1.75</v>
      </c>
      <c r="T59" s="160">
        <f t="shared" si="10"/>
        <v>1</v>
      </c>
      <c r="U59" s="160">
        <f t="shared" si="11"/>
        <v>1.75</v>
      </c>
      <c r="V59" s="282">
        <f t="shared" si="12"/>
        <v>70.258125</v>
      </c>
      <c r="W59" s="176">
        <f t="shared" ref="W59:X59" si="56">C59/100</f>
        <v>0.75</v>
      </c>
      <c r="X59" s="176">
        <f t="shared" si="56"/>
        <v>2.02</v>
      </c>
      <c r="Y59" s="176">
        <f t="shared" si="14"/>
        <v>1.75</v>
      </c>
      <c r="Z59" s="283">
        <f t="shared" si="15"/>
        <v>2.65125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/>
      <c r="B60" s="176"/>
      <c r="C60" s="176"/>
      <c r="D60" s="176"/>
      <c r="E60" s="176"/>
      <c r="F60" s="176"/>
      <c r="G60" s="176"/>
      <c r="H60" s="179"/>
      <c r="I60" s="160"/>
      <c r="J60" s="203">
        <f>+Q91</f>
        <v>145.6</v>
      </c>
      <c r="K60" s="139"/>
      <c r="L60" s="139"/>
      <c r="M60" s="139"/>
      <c r="N60" s="139"/>
      <c r="O60" s="139"/>
      <c r="P60" s="139"/>
      <c r="Q60" s="139"/>
      <c r="R60" s="204"/>
      <c r="S60" s="187">
        <f t="shared" si="9"/>
        <v>0</v>
      </c>
      <c r="T60" s="181" t="str">
        <f t="shared" si="10"/>
        <v/>
      </c>
      <c r="U60" s="181">
        <f t="shared" si="11"/>
        <v>0</v>
      </c>
      <c r="V60" s="186"/>
      <c r="W60" s="187">
        <f t="shared" ref="W60:X60" si="57">C60/100</f>
        <v>0</v>
      </c>
      <c r="X60" s="187">
        <f t="shared" si="57"/>
        <v>0</v>
      </c>
      <c r="Y60" s="187">
        <f t="shared" si="14"/>
        <v>0</v>
      </c>
      <c r="Z60" s="18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/>
      <c r="B61" s="205"/>
      <c r="C61" s="205"/>
      <c r="D61" s="205"/>
      <c r="E61" s="205"/>
      <c r="F61" s="205"/>
      <c r="G61" s="205"/>
      <c r="H61" s="206"/>
      <c r="I61" s="207">
        <f>SUM(I20:I59)</f>
        <v>264</v>
      </c>
      <c r="J61" s="208">
        <f>SUM(J20:J60)</f>
        <v>31836.99565</v>
      </c>
      <c r="K61" s="209"/>
      <c r="L61" s="209"/>
      <c r="M61" s="209"/>
      <c r="N61" s="209"/>
      <c r="O61" s="209"/>
      <c r="P61" s="209"/>
      <c r="Q61" s="209"/>
      <c r="R61" s="141"/>
      <c r="S61" s="209">
        <f>SUMIFS($T$20:$T$59,$S$20:$S$59,"&gt;=3")</f>
        <v>0</v>
      </c>
      <c r="T61" s="209">
        <f t="shared" ref="T61:U61" si="58">SUM(T20:T59)</f>
        <v>264</v>
      </c>
      <c r="U61" s="209">
        <f t="shared" si="58"/>
        <v>564.47</v>
      </c>
      <c r="V61" s="209"/>
      <c r="W61" s="209"/>
      <c r="X61" s="209"/>
      <c r="Y61" s="209"/>
      <c r="Z61" s="210">
        <f>SUM(Z20:Z60)</f>
        <v>1082.929836</v>
      </c>
      <c r="AA61" s="209"/>
      <c r="AB61" s="209"/>
      <c r="AC61" s="209"/>
      <c r="AD61" s="209"/>
      <c r="AE61" s="209"/>
      <c r="AF61" s="209"/>
      <c r="AG61" s="209"/>
      <c r="AH61" s="209"/>
      <c r="AI61" s="209"/>
      <c r="AJ61" s="209"/>
      <c r="AK61" s="209"/>
      <c r="AL61" s="209"/>
      <c r="AM61" s="209"/>
      <c r="AN61" s="209"/>
      <c r="AO61" s="209"/>
      <c r="AP61" s="209"/>
      <c r="AQ61" s="209"/>
      <c r="AR61" s="209"/>
      <c r="AS61" s="209"/>
      <c r="AT61" s="209"/>
    </row>
    <row r="62" ht="29.25" customHeight="1">
      <c r="A62" s="139"/>
      <c r="B62" s="139"/>
      <c r="C62" s="139"/>
      <c r="D62" s="139"/>
      <c r="E62" s="139"/>
      <c r="F62" s="139"/>
      <c r="G62" s="139"/>
      <c r="H62" s="140"/>
      <c r="I62" s="139"/>
      <c r="J62" s="139"/>
      <c r="K62" s="139"/>
      <c r="L62" s="139"/>
      <c r="M62" s="139"/>
      <c r="N62" s="139"/>
      <c r="O62" s="139"/>
      <c r="P62" s="139"/>
      <c r="Q62" s="139"/>
      <c r="R62" s="141"/>
      <c r="S62" s="186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9.25" customHeight="1">
      <c r="A63" s="139"/>
      <c r="B63" s="139"/>
      <c r="C63" s="139"/>
      <c r="D63" s="139"/>
      <c r="E63" s="139"/>
      <c r="F63" s="139"/>
      <c r="G63" s="139"/>
      <c r="H63" s="140"/>
      <c r="I63" s="139"/>
      <c r="J63" s="139"/>
      <c r="K63" s="139"/>
      <c r="L63" s="139"/>
      <c r="M63" s="139"/>
      <c r="N63" s="139"/>
      <c r="O63" s="139"/>
      <c r="P63" s="139"/>
      <c r="Q63" s="139"/>
      <c r="R63" s="204"/>
      <c r="S63" s="139"/>
      <c r="T63" s="139" t="s">
        <v>48</v>
      </c>
      <c r="U63" s="139" t="s">
        <v>72</v>
      </c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9.25" customHeight="1">
      <c r="A64" s="139"/>
      <c r="B64" s="139"/>
      <c r="C64" s="139"/>
      <c r="D64" s="139"/>
      <c r="E64" s="139"/>
      <c r="F64" s="139"/>
      <c r="G64" s="139"/>
      <c r="H64" s="140"/>
      <c r="I64" s="139"/>
      <c r="J64" s="139"/>
      <c r="K64" s="139"/>
      <c r="L64" s="139"/>
      <c r="M64" s="139"/>
      <c r="N64" s="139"/>
      <c r="O64" s="139"/>
      <c r="P64" s="139"/>
      <c r="Q64" s="139"/>
      <c r="R64" s="141"/>
      <c r="S64" s="139" t="s">
        <v>31</v>
      </c>
      <c r="T64" s="211">
        <f>SUMIFS($J$20:$J$59,$S$20:$S$59,"&gt;=3")</f>
        <v>0</v>
      </c>
      <c r="U64" s="212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9.25" customHeight="1">
      <c r="A65" s="139" t="s">
        <v>32</v>
      </c>
      <c r="B65" s="139"/>
      <c r="C65" s="139"/>
      <c r="D65" s="139" t="s">
        <v>33</v>
      </c>
      <c r="E65" s="139"/>
      <c r="F65" s="139"/>
      <c r="G65" s="139"/>
      <c r="H65" s="140"/>
      <c r="I65" s="139"/>
      <c r="J65" s="139"/>
      <c r="K65" s="139"/>
      <c r="L65" s="139"/>
      <c r="M65" s="139"/>
      <c r="N65" s="139"/>
      <c r="O65" s="139"/>
      <c r="P65" s="139"/>
      <c r="Q65" s="139"/>
      <c r="R65" s="141"/>
      <c r="S65" s="139" t="s">
        <v>34</v>
      </c>
      <c r="T65" s="213">
        <f>J61-T64</f>
        <v>31836.99565</v>
      </c>
      <c r="U65" s="212">
        <f>+SUMIFS($U$20:$U$59,$S$20:$S$59,"&gt;=3")</f>
        <v>0</v>
      </c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9.25" customHeight="1">
      <c r="A66" s="139"/>
      <c r="B66" s="139"/>
      <c r="C66" s="139"/>
      <c r="D66" s="139"/>
      <c r="E66" s="139"/>
      <c r="F66" s="139"/>
      <c r="G66" s="139"/>
      <c r="H66" s="140"/>
      <c r="I66" s="139"/>
      <c r="J66" s="139"/>
      <c r="K66" s="139"/>
      <c r="L66" s="139"/>
      <c r="M66" s="139"/>
      <c r="N66" s="139"/>
      <c r="O66" s="139"/>
      <c r="P66" s="139"/>
      <c r="Q66" s="139"/>
      <c r="R66" s="204"/>
      <c r="S66" s="139"/>
      <c r="T66" s="214">
        <f>+I61</f>
        <v>264</v>
      </c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39.0" customHeight="1">
      <c r="A67" s="176"/>
      <c r="B67" s="160" t="s">
        <v>12</v>
      </c>
      <c r="C67" s="177" t="s">
        <v>73</v>
      </c>
      <c r="D67" s="52"/>
      <c r="E67" s="53"/>
      <c r="F67" s="178"/>
      <c r="G67" s="178"/>
      <c r="H67" s="179" t="s">
        <v>14</v>
      </c>
      <c r="I67" s="160" t="s">
        <v>15</v>
      </c>
      <c r="J67" s="160" t="s">
        <v>16</v>
      </c>
      <c r="K67" s="139"/>
      <c r="L67" s="139"/>
      <c r="M67" s="139"/>
      <c r="N67" s="139"/>
      <c r="O67" s="139"/>
      <c r="P67" s="139"/>
      <c r="Q67" s="139"/>
      <c r="R67" s="141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54">
        <v>1.0</v>
      </c>
      <c r="B68" s="215" t="s">
        <v>64</v>
      </c>
      <c r="C68" s="215">
        <v>74.0</v>
      </c>
      <c r="D68" s="215">
        <v>202.0</v>
      </c>
      <c r="E68" s="215">
        <v>200.0</v>
      </c>
      <c r="F68" s="215">
        <f t="shared" ref="F68:F72" si="59">1-VALUE(IF(RIGHT(B68, 1)="%", RIGHT(B68, 3), 0))</f>
        <v>0.2</v>
      </c>
      <c r="G68" s="215">
        <f t="shared" ref="G68:G72" si="60">+Q68*C68/100*D68/100*E68/100</f>
        <v>0</v>
      </c>
      <c r="H68" s="216">
        <f t="shared" ref="H68:H72" si="61">IF(F68=0, G68, F68*G68)</f>
        <v>0</v>
      </c>
      <c r="I68" s="215">
        <v>1.0</v>
      </c>
      <c r="J68" s="217">
        <f t="shared" ref="J68:J72" si="62">+I68*H68</f>
        <v>0</v>
      </c>
      <c r="K68" s="139"/>
      <c r="L68" s="176">
        <f t="shared" ref="L68:L69" si="63">D68*25.4/1000</f>
        <v>5.1308</v>
      </c>
      <c r="M68" s="160">
        <f t="shared" ref="M68:M69" si="64">+I68</f>
        <v>1</v>
      </c>
      <c r="N68" s="160">
        <f t="shared" ref="N68:N69" si="65">M68*L68</f>
        <v>5.1308</v>
      </c>
      <c r="O68" s="139"/>
      <c r="P68" s="139"/>
      <c r="Q68" s="139"/>
      <c r="R68" s="141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54">
        <v>2.0</v>
      </c>
      <c r="B69" s="215" t="s">
        <v>64</v>
      </c>
      <c r="C69" s="215">
        <v>90.0</v>
      </c>
      <c r="D69" s="215">
        <v>202.0</v>
      </c>
      <c r="E69" s="215">
        <v>198.0</v>
      </c>
      <c r="F69" s="215">
        <f t="shared" si="59"/>
        <v>0.2</v>
      </c>
      <c r="G69" s="215">
        <f t="shared" si="60"/>
        <v>0</v>
      </c>
      <c r="H69" s="216">
        <f t="shared" si="61"/>
        <v>0</v>
      </c>
      <c r="I69" s="215">
        <v>1.0</v>
      </c>
      <c r="J69" s="217">
        <f t="shared" si="62"/>
        <v>0</v>
      </c>
      <c r="K69" s="139"/>
      <c r="L69" s="176">
        <f t="shared" si="63"/>
        <v>5.1308</v>
      </c>
      <c r="M69" s="160">
        <f t="shared" si="64"/>
        <v>1</v>
      </c>
      <c r="N69" s="160">
        <f t="shared" si="65"/>
        <v>5.1308</v>
      </c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54"/>
      <c r="B70" s="215" t="s">
        <v>65</v>
      </c>
      <c r="C70" s="215">
        <v>93.0</v>
      </c>
      <c r="D70" s="215">
        <v>202.0</v>
      </c>
      <c r="E70" s="215">
        <v>202.0</v>
      </c>
      <c r="F70" s="215">
        <f t="shared" si="59"/>
        <v>0.2</v>
      </c>
      <c r="G70" s="215">
        <f t="shared" si="60"/>
        <v>0</v>
      </c>
      <c r="H70" s="216">
        <f t="shared" si="61"/>
        <v>0</v>
      </c>
      <c r="I70" s="215">
        <v>1.0</v>
      </c>
      <c r="J70" s="217">
        <f t="shared" si="62"/>
        <v>0</v>
      </c>
      <c r="K70" s="139"/>
      <c r="L70" s="176"/>
      <c r="M70" s="160"/>
      <c r="N70" s="160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54"/>
      <c r="B71" s="215" t="s">
        <v>116</v>
      </c>
      <c r="C71" s="215">
        <v>108.0</v>
      </c>
      <c r="D71" s="215">
        <v>204.0</v>
      </c>
      <c r="E71" s="215">
        <v>155.0</v>
      </c>
      <c r="F71" s="215">
        <f t="shared" si="59"/>
        <v>0.2</v>
      </c>
      <c r="G71" s="215">
        <f t="shared" si="60"/>
        <v>0</v>
      </c>
      <c r="H71" s="216">
        <f t="shared" si="61"/>
        <v>0</v>
      </c>
      <c r="I71" s="215">
        <v>1.0</v>
      </c>
      <c r="J71" s="217">
        <f t="shared" si="62"/>
        <v>0</v>
      </c>
      <c r="K71" s="139"/>
      <c r="L71" s="176"/>
      <c r="M71" s="160"/>
      <c r="N71" s="160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54">
        <v>3.0</v>
      </c>
      <c r="B72" s="218" t="s">
        <v>87</v>
      </c>
      <c r="C72" s="218">
        <v>80.0</v>
      </c>
      <c r="D72" s="218">
        <v>202.0</v>
      </c>
      <c r="E72" s="218">
        <v>170.0</v>
      </c>
      <c r="F72" s="218">
        <f t="shared" si="59"/>
        <v>0.2</v>
      </c>
      <c r="G72" s="218">
        <f t="shared" si="60"/>
        <v>0</v>
      </c>
      <c r="H72" s="219">
        <f t="shared" si="61"/>
        <v>0</v>
      </c>
      <c r="I72" s="218">
        <v>1.0</v>
      </c>
      <c r="J72" s="194">
        <f t="shared" si="62"/>
        <v>0</v>
      </c>
      <c r="K72" s="139"/>
      <c r="L72" s="176">
        <f>D72*25.4/1000</f>
        <v>5.1308</v>
      </c>
      <c r="M72" s="160">
        <f>+I72</f>
        <v>1</v>
      </c>
      <c r="N72" s="160">
        <f>M72*L72</f>
        <v>5.1308</v>
      </c>
      <c r="O72" s="139"/>
      <c r="P72" s="139"/>
      <c r="Q72" s="139"/>
      <c r="R72" s="139"/>
      <c r="S72" s="220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4.75" customHeight="1">
      <c r="A73" s="160"/>
      <c r="B73" s="197"/>
      <c r="C73" s="197"/>
      <c r="D73" s="197"/>
      <c r="E73" s="197"/>
      <c r="F73" s="197"/>
      <c r="G73" s="197"/>
      <c r="H73" s="269" t="s">
        <v>38</v>
      </c>
      <c r="I73" s="197"/>
      <c r="J73" s="226">
        <f>SUM(J68:J72)</f>
        <v>0</v>
      </c>
      <c r="K73" s="139"/>
      <c r="L73" s="139"/>
      <c r="M73" s="139"/>
      <c r="N73" s="139"/>
      <c r="O73" s="139"/>
      <c r="P73" s="139"/>
      <c r="Q73" s="139"/>
      <c r="R73" s="141"/>
      <c r="S73" s="227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18.75" customHeight="1">
      <c r="A74" s="174"/>
      <c r="B74" s="144"/>
      <c r="C74" s="144"/>
      <c r="D74" s="144"/>
      <c r="E74" s="144"/>
      <c r="F74" s="144"/>
      <c r="G74" s="144"/>
      <c r="H74" s="145"/>
      <c r="I74" s="144"/>
      <c r="J74" s="175"/>
      <c r="K74" s="139"/>
      <c r="L74" s="139"/>
      <c r="M74" s="139"/>
      <c r="N74" s="139"/>
      <c r="O74" s="139"/>
      <c r="P74" s="139"/>
      <c r="Q74" s="139"/>
      <c r="R74" s="141"/>
      <c r="S74" s="227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18.75" customHeight="1">
      <c r="A75" s="139"/>
      <c r="B75" s="139"/>
      <c r="C75" s="139"/>
      <c r="D75" s="139"/>
      <c r="E75" s="139"/>
      <c r="F75" s="139"/>
      <c r="G75" s="139"/>
      <c r="H75" s="140"/>
      <c r="I75" s="139"/>
      <c r="J75" s="139"/>
      <c r="K75" s="139"/>
      <c r="L75" s="139"/>
      <c r="M75" s="139"/>
      <c r="N75" s="139"/>
      <c r="O75" s="139"/>
      <c r="P75" s="139"/>
      <c r="Q75" s="139"/>
      <c r="R75" s="141"/>
      <c r="S75" s="227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18.75" customHeight="1">
      <c r="A76" s="139"/>
      <c r="B76" s="139"/>
      <c r="C76" s="139"/>
      <c r="D76" s="139"/>
      <c r="E76" s="139"/>
      <c r="F76" s="139"/>
      <c r="G76" s="139"/>
      <c r="H76" s="140"/>
      <c r="I76" s="139"/>
      <c r="J76" s="139"/>
      <c r="K76" s="139"/>
      <c r="L76" s="139"/>
      <c r="M76" s="139"/>
      <c r="N76" s="139"/>
      <c r="O76" s="139"/>
      <c r="P76" s="139"/>
      <c r="Q76" s="139"/>
      <c r="R76" s="227"/>
      <c r="S76" s="227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18.75" customHeight="1">
      <c r="A77" s="139" t="s">
        <v>39</v>
      </c>
      <c r="B77" s="139"/>
      <c r="C77" s="139"/>
      <c r="D77" s="139"/>
      <c r="E77" s="139"/>
      <c r="F77" s="139"/>
      <c r="G77" s="139"/>
      <c r="H77" s="140"/>
      <c r="I77" s="139"/>
      <c r="J77" s="139"/>
      <c r="K77" s="139"/>
      <c r="L77" s="139"/>
      <c r="M77" s="139"/>
      <c r="N77" s="139"/>
      <c r="O77" s="139"/>
      <c r="P77" s="139"/>
      <c r="Q77" s="139"/>
      <c r="R77" s="227"/>
      <c r="S77" s="227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18.75" customHeight="1">
      <c r="A78" s="139"/>
      <c r="B78" s="139"/>
      <c r="C78" s="139"/>
      <c r="D78" s="139"/>
      <c r="E78" s="139"/>
      <c r="F78" s="139"/>
      <c r="G78" s="139"/>
      <c r="H78" s="140"/>
      <c r="I78" s="139"/>
      <c r="J78" s="139"/>
      <c r="K78" s="139"/>
      <c r="L78" s="139"/>
      <c r="M78" s="139"/>
      <c r="N78" s="139"/>
      <c r="O78" s="139"/>
      <c r="P78" s="139"/>
      <c r="Q78" s="139"/>
      <c r="R78" s="227"/>
      <c r="S78" s="227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42.0" customHeight="1">
      <c r="A79" s="176"/>
      <c r="B79" s="160" t="s">
        <v>12</v>
      </c>
      <c r="C79" s="177" t="s">
        <v>74</v>
      </c>
      <c r="D79" s="52"/>
      <c r="E79" s="53"/>
      <c r="F79" s="228"/>
      <c r="G79" s="228"/>
      <c r="H79" s="179" t="s">
        <v>14</v>
      </c>
      <c r="I79" s="224" t="s">
        <v>15</v>
      </c>
      <c r="J79" s="160" t="s">
        <v>16</v>
      </c>
      <c r="K79" s="139"/>
      <c r="L79" s="139"/>
      <c r="M79" s="139"/>
      <c r="N79" s="139"/>
      <c r="O79" s="139"/>
      <c r="P79" s="139"/>
      <c r="Q79" s="139"/>
      <c r="R79" s="227"/>
      <c r="S79" s="227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4.75" customHeight="1">
      <c r="A80" s="160">
        <v>1.0</v>
      </c>
      <c r="B80" s="229" t="s">
        <v>55</v>
      </c>
      <c r="C80" s="181"/>
      <c r="D80" s="181"/>
      <c r="E80" s="181"/>
      <c r="F80" s="181"/>
      <c r="G80" s="181"/>
      <c r="H80" s="232">
        <v>50.0</v>
      </c>
      <c r="I80" s="181">
        <v>1.0</v>
      </c>
      <c r="J80" s="194">
        <f t="shared" ref="J80:J89" si="66">+I80*H80</f>
        <v>50</v>
      </c>
      <c r="K80" s="176"/>
      <c r="L80" s="176"/>
      <c r="M80" s="176"/>
      <c r="N80" s="176"/>
      <c r="O80" s="176"/>
      <c r="P80" s="176"/>
      <c r="Q80" s="284"/>
      <c r="R80" s="227"/>
      <c r="S80" s="227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4.75" customHeight="1">
      <c r="A81" s="160">
        <v>2.0</v>
      </c>
      <c r="B81" s="215" t="s">
        <v>55</v>
      </c>
      <c r="C81" s="181"/>
      <c r="D81" s="181"/>
      <c r="E81" s="181"/>
      <c r="F81" s="181"/>
      <c r="G81" s="181"/>
      <c r="H81" s="232">
        <v>20.0</v>
      </c>
      <c r="I81" s="181">
        <v>1.0</v>
      </c>
      <c r="J81" s="194">
        <f t="shared" si="66"/>
        <v>20</v>
      </c>
      <c r="K81" s="176"/>
      <c r="L81" s="176"/>
      <c r="M81" s="176"/>
      <c r="N81" s="176"/>
      <c r="O81" s="176"/>
      <c r="P81" s="176"/>
      <c r="Q81" s="284"/>
      <c r="R81" s="227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4.75" customHeight="1">
      <c r="A82" s="160">
        <v>3.0</v>
      </c>
      <c r="B82" s="229" t="s">
        <v>55</v>
      </c>
      <c r="C82" s="181"/>
      <c r="D82" s="181"/>
      <c r="E82" s="181"/>
      <c r="F82" s="181"/>
      <c r="G82" s="181"/>
      <c r="H82" s="232">
        <v>61.0</v>
      </c>
      <c r="I82" s="181">
        <v>1.0</v>
      </c>
      <c r="J82" s="194">
        <f t="shared" si="66"/>
        <v>61</v>
      </c>
      <c r="K82" s="176"/>
      <c r="L82" s="176"/>
      <c r="M82" s="176"/>
      <c r="N82" s="176"/>
      <c r="O82" s="176"/>
      <c r="P82" s="176"/>
      <c r="Q82" s="284"/>
      <c r="R82" s="227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4.75" customHeight="1">
      <c r="A83" s="160">
        <v>4.0</v>
      </c>
      <c r="B83" s="215" t="s">
        <v>55</v>
      </c>
      <c r="C83" s="181"/>
      <c r="D83" s="181"/>
      <c r="E83" s="181"/>
      <c r="F83" s="181"/>
      <c r="G83" s="181"/>
      <c r="H83" s="232">
        <v>22.0</v>
      </c>
      <c r="I83" s="181">
        <v>1.0</v>
      </c>
      <c r="J83" s="194">
        <f t="shared" si="66"/>
        <v>22</v>
      </c>
      <c r="K83" s="176"/>
      <c r="L83" s="176"/>
      <c r="M83" s="176"/>
      <c r="N83" s="176"/>
      <c r="O83" s="176"/>
      <c r="P83" s="176"/>
      <c r="Q83" s="284"/>
      <c r="R83" s="227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4.75" customHeight="1">
      <c r="A84" s="160">
        <v>5.0</v>
      </c>
      <c r="B84" s="182" t="s">
        <v>56</v>
      </c>
      <c r="C84" s="181"/>
      <c r="D84" s="181"/>
      <c r="E84" s="181"/>
      <c r="F84" s="181"/>
      <c r="G84" s="181"/>
      <c r="H84" s="232">
        <v>70.0</v>
      </c>
      <c r="I84" s="181">
        <v>1.0</v>
      </c>
      <c r="J84" s="194">
        <f t="shared" si="66"/>
        <v>70</v>
      </c>
      <c r="K84" s="176"/>
      <c r="L84" s="176"/>
      <c r="M84" s="176"/>
      <c r="N84" s="176"/>
      <c r="O84" s="176"/>
      <c r="P84" s="176"/>
      <c r="Q84" s="284"/>
      <c r="R84" s="227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4.75" customHeight="1">
      <c r="A85" s="160">
        <v>6.0</v>
      </c>
      <c r="B85" s="218" t="s">
        <v>56</v>
      </c>
      <c r="C85" s="181"/>
      <c r="D85" s="181"/>
      <c r="E85" s="181"/>
      <c r="F85" s="181"/>
      <c r="G85" s="181"/>
      <c r="H85" s="232">
        <v>20.0</v>
      </c>
      <c r="I85" s="181">
        <v>1.0</v>
      </c>
      <c r="J85" s="194">
        <f t="shared" si="66"/>
        <v>20</v>
      </c>
      <c r="K85" s="176"/>
      <c r="L85" s="176"/>
      <c r="M85" s="176"/>
      <c r="N85" s="176"/>
      <c r="O85" s="176"/>
      <c r="P85" s="176"/>
      <c r="Q85" s="284"/>
      <c r="R85" s="227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4.75" customHeight="1">
      <c r="A86" s="160">
        <v>7.0</v>
      </c>
      <c r="B86" s="182" t="s">
        <v>110</v>
      </c>
      <c r="C86" s="181"/>
      <c r="D86" s="181"/>
      <c r="E86" s="181"/>
      <c r="F86" s="181"/>
      <c r="G86" s="181"/>
      <c r="H86" s="232">
        <v>30.0</v>
      </c>
      <c r="I86" s="181">
        <v>1.0</v>
      </c>
      <c r="J86" s="194">
        <f t="shared" si="66"/>
        <v>30</v>
      </c>
      <c r="K86" s="176"/>
      <c r="L86" s="176"/>
      <c r="M86" s="176"/>
      <c r="N86" s="176"/>
      <c r="O86" s="176"/>
      <c r="P86" s="176"/>
      <c r="Q86" s="284"/>
      <c r="R86" s="227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4.75" customHeight="1">
      <c r="A87" s="160">
        <v>8.0</v>
      </c>
      <c r="B87" s="191" t="s">
        <v>110</v>
      </c>
      <c r="C87" s="181"/>
      <c r="D87" s="181"/>
      <c r="E87" s="181"/>
      <c r="F87" s="181"/>
      <c r="G87" s="181"/>
      <c r="H87" s="232">
        <v>20.0</v>
      </c>
      <c r="I87" s="181">
        <v>1.0</v>
      </c>
      <c r="J87" s="194">
        <f t="shared" si="66"/>
        <v>20</v>
      </c>
      <c r="K87" s="176"/>
      <c r="L87" s="176"/>
      <c r="M87" s="176"/>
      <c r="N87" s="176"/>
      <c r="O87" s="176"/>
      <c r="P87" s="176"/>
      <c r="Q87" s="284"/>
      <c r="R87" s="227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4.75" customHeight="1">
      <c r="A88" s="160">
        <v>9.0</v>
      </c>
      <c r="B88" s="182" t="s">
        <v>82</v>
      </c>
      <c r="C88" s="181"/>
      <c r="D88" s="181"/>
      <c r="E88" s="181"/>
      <c r="F88" s="181"/>
      <c r="G88" s="181"/>
      <c r="H88" s="232">
        <v>46.0</v>
      </c>
      <c r="I88" s="181">
        <v>1.0</v>
      </c>
      <c r="J88" s="194">
        <f t="shared" si="66"/>
        <v>46</v>
      </c>
      <c r="K88" s="176"/>
      <c r="L88" s="176"/>
      <c r="M88" s="176"/>
      <c r="N88" s="176"/>
      <c r="O88" s="176"/>
      <c r="P88" s="176"/>
      <c r="Q88" s="284"/>
      <c r="R88" s="227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4.75" customHeight="1">
      <c r="A89" s="160">
        <v>10.0</v>
      </c>
      <c r="B89" s="191" t="s">
        <v>82</v>
      </c>
      <c r="C89" s="181"/>
      <c r="D89" s="181"/>
      <c r="E89" s="181"/>
      <c r="F89" s="181"/>
      <c r="G89" s="181"/>
      <c r="H89" s="232">
        <v>25.0</v>
      </c>
      <c r="I89" s="181">
        <v>1.0</v>
      </c>
      <c r="J89" s="194">
        <f t="shared" si="66"/>
        <v>25</v>
      </c>
      <c r="K89" s="176"/>
      <c r="L89" s="176"/>
      <c r="M89" s="176"/>
      <c r="N89" s="176"/>
      <c r="O89" s="176"/>
      <c r="P89" s="176"/>
      <c r="Q89" s="284"/>
      <c r="R89" s="227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18.75" customHeight="1">
      <c r="A90" s="139"/>
      <c r="B90" s="139"/>
      <c r="C90" s="139"/>
      <c r="D90" s="139"/>
      <c r="E90" s="139"/>
      <c r="F90" s="139"/>
      <c r="G90" s="139"/>
      <c r="H90" s="140" t="s">
        <v>38</v>
      </c>
      <c r="I90" s="139"/>
      <c r="J90" s="235">
        <f>SUM(J80:J89)</f>
        <v>364</v>
      </c>
      <c r="K90" s="236"/>
      <c r="L90" s="236"/>
      <c r="M90" s="236"/>
      <c r="N90" s="236"/>
      <c r="O90" s="236"/>
      <c r="P90" s="236"/>
      <c r="Q90" s="236"/>
      <c r="R90" s="139"/>
      <c r="S90" s="227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18.75" customHeight="1">
      <c r="A91" s="144"/>
      <c r="B91" s="144"/>
      <c r="C91" s="144"/>
      <c r="D91" s="144"/>
      <c r="E91" s="144"/>
      <c r="F91" s="144"/>
      <c r="G91" s="144"/>
      <c r="H91" s="145"/>
      <c r="I91" s="173"/>
      <c r="J91" s="205">
        <f>+J90*60%</f>
        <v>218.4</v>
      </c>
      <c r="K91" s="205"/>
      <c r="L91" s="205"/>
      <c r="M91" s="205"/>
      <c r="N91" s="205"/>
      <c r="O91" s="205"/>
      <c r="P91" s="205"/>
      <c r="Q91" s="205">
        <f>+J90*40%</f>
        <v>145.6</v>
      </c>
      <c r="R91" s="139"/>
      <c r="S91" s="227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18.75" customHeight="1">
      <c r="A92" s="139"/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227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18.75" customHeight="1">
      <c r="A93" s="139"/>
      <c r="B93" s="139"/>
      <c r="C93" s="139"/>
      <c r="D93" s="139"/>
      <c r="E93" s="139"/>
      <c r="F93" s="139"/>
      <c r="G93" s="139"/>
      <c r="H93" s="140"/>
      <c r="I93" s="139"/>
      <c r="J93" s="139"/>
      <c r="K93" s="139"/>
      <c r="L93" s="139"/>
      <c r="M93" s="139"/>
      <c r="N93" s="139"/>
      <c r="O93" s="139"/>
      <c r="P93" s="139"/>
      <c r="Q93" s="139"/>
      <c r="R93" s="139"/>
      <c r="S93" s="227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19.5" customHeight="1">
      <c r="A94" s="238" t="s">
        <v>41</v>
      </c>
      <c r="B94" s="139"/>
      <c r="C94" s="139"/>
      <c r="D94" s="139"/>
      <c r="E94" s="139"/>
      <c r="F94" s="139"/>
      <c r="G94" s="139"/>
      <c r="H94" s="140"/>
      <c r="I94" s="139"/>
      <c r="J94" s="139"/>
      <c r="K94" s="139"/>
      <c r="L94" s="139"/>
      <c r="M94" s="139"/>
      <c r="N94" s="139"/>
      <c r="O94" s="139"/>
      <c r="P94" s="139"/>
      <c r="Q94" s="139"/>
      <c r="R94" s="139"/>
      <c r="S94" s="227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57.0" customHeight="1">
      <c r="A95" s="239"/>
      <c r="B95" s="240" t="s">
        <v>42</v>
      </c>
      <c r="C95" s="240" t="s">
        <v>43</v>
      </c>
      <c r="D95" s="240" t="s">
        <v>44</v>
      </c>
      <c r="E95" s="240" t="s">
        <v>45</v>
      </c>
      <c r="F95" s="240"/>
      <c r="G95" s="240"/>
      <c r="H95" s="241" t="s">
        <v>46</v>
      </c>
      <c r="I95" s="242" t="s">
        <v>47</v>
      </c>
      <c r="J95" s="139"/>
      <c r="K95" s="139"/>
      <c r="L95" s="139"/>
      <c r="M95" s="139"/>
      <c r="N95" s="139"/>
      <c r="O95" s="139"/>
      <c r="P95" s="139"/>
      <c r="Q95" s="139"/>
      <c r="R95" s="141"/>
      <c r="S95" s="227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18.75" customHeight="1">
      <c r="A96" s="243" t="s">
        <v>48</v>
      </c>
      <c r="B96" s="244">
        <f>+E13</f>
        <v>34623.82602</v>
      </c>
      <c r="C96" s="245">
        <f>+J61</f>
        <v>31836.99565</v>
      </c>
      <c r="D96" s="245">
        <f>+J73</f>
        <v>0</v>
      </c>
      <c r="E96" s="246">
        <f>J91</f>
        <v>218.4</v>
      </c>
      <c r="F96" s="246"/>
      <c r="G96" s="246"/>
      <c r="H96" s="247">
        <f>+I13</f>
        <v>576.0543282</v>
      </c>
      <c r="I96" s="248">
        <f>+B96-C96-D96-E96-H96</f>
        <v>1992.376037</v>
      </c>
      <c r="J96" s="139"/>
      <c r="K96" s="139"/>
      <c r="L96" s="139"/>
      <c r="M96" s="139"/>
      <c r="N96" s="139"/>
      <c r="O96" s="139"/>
      <c r="P96" s="139"/>
      <c r="Q96" s="139"/>
      <c r="R96" s="141"/>
      <c r="S96" s="227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19.5" customHeight="1">
      <c r="A97" s="249" t="s">
        <v>49</v>
      </c>
      <c r="B97" s="250"/>
      <c r="C97" s="251">
        <f>+C96/B96</f>
        <v>0.9195111955</v>
      </c>
      <c r="D97" s="251">
        <f>+D96/B96</f>
        <v>0</v>
      </c>
      <c r="E97" s="251">
        <f>+E96/B96</f>
        <v>0.006307795097</v>
      </c>
      <c r="F97" s="251"/>
      <c r="G97" s="251"/>
      <c r="H97" s="252">
        <f>+H96/B96</f>
        <v>0.01663751221</v>
      </c>
      <c r="I97" s="253">
        <f>+I96/B96</f>
        <v>0.05754349723</v>
      </c>
      <c r="J97" s="139"/>
      <c r="K97" s="139"/>
      <c r="L97" s="139"/>
      <c r="M97" s="139"/>
      <c r="N97" s="139"/>
      <c r="O97" s="139"/>
      <c r="P97" s="139"/>
      <c r="Q97" s="139"/>
      <c r="R97" s="141"/>
      <c r="S97" s="227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19.5" customHeight="1">
      <c r="A98" s="163"/>
      <c r="B98" s="221"/>
      <c r="C98" s="254"/>
      <c r="D98" s="254"/>
      <c r="E98" s="254"/>
      <c r="F98" s="254"/>
      <c r="G98" s="254"/>
      <c r="H98" s="255"/>
      <c r="I98" s="256"/>
      <c r="J98" s="139"/>
      <c r="K98" s="139"/>
      <c r="L98" s="139"/>
      <c r="M98" s="139"/>
      <c r="N98" s="139"/>
      <c r="O98" s="139"/>
      <c r="P98" s="139"/>
      <c r="Q98" s="139"/>
      <c r="R98" s="141"/>
      <c r="S98" s="227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18.75" customHeight="1">
      <c r="A99" s="257"/>
      <c r="B99" s="258"/>
      <c r="C99" s="258"/>
      <c r="D99" s="258" t="s">
        <v>50</v>
      </c>
      <c r="E99" s="258" t="s">
        <v>48</v>
      </c>
      <c r="F99" s="258"/>
      <c r="G99" s="258"/>
      <c r="H99" s="259">
        <f>+D96+E96+H96+I96</f>
        <v>2786.830365</v>
      </c>
      <c r="I99" s="260"/>
      <c r="J99" s="139"/>
      <c r="K99" s="139"/>
      <c r="L99" s="139"/>
      <c r="M99" s="139"/>
      <c r="N99" s="139"/>
      <c r="O99" s="139"/>
      <c r="P99" s="139"/>
      <c r="Q99" s="139"/>
      <c r="R99" s="141"/>
      <c r="S99" s="140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18.75" customHeight="1">
      <c r="A100" s="261"/>
      <c r="B100" s="139"/>
      <c r="C100" s="139"/>
      <c r="D100" s="139"/>
      <c r="E100" s="139" t="s">
        <v>49</v>
      </c>
      <c r="F100" s="139"/>
      <c r="G100" s="139"/>
      <c r="H100" s="255">
        <f>+H99/B96</f>
        <v>0.08048880454</v>
      </c>
      <c r="I100" s="262"/>
      <c r="J100" s="139"/>
      <c r="K100" s="139"/>
      <c r="L100" s="139"/>
      <c r="M100" s="139"/>
      <c r="N100" s="139"/>
      <c r="O100" s="139"/>
      <c r="P100" s="139"/>
      <c r="Q100" s="139"/>
      <c r="R100" s="141"/>
      <c r="S100" s="140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18.75" customHeight="1">
      <c r="A101" s="261"/>
      <c r="B101" s="139"/>
      <c r="C101" s="139" t="s">
        <v>51</v>
      </c>
      <c r="D101" s="139"/>
      <c r="E101" s="139"/>
      <c r="F101" s="139"/>
      <c r="G101" s="139"/>
      <c r="H101" s="140"/>
      <c r="I101" s="262"/>
      <c r="J101" s="139"/>
      <c r="K101" s="139"/>
      <c r="L101" s="139"/>
      <c r="M101" s="139"/>
      <c r="N101" s="139"/>
      <c r="O101" s="139"/>
      <c r="P101" s="139"/>
      <c r="Q101" s="139"/>
      <c r="R101" s="141"/>
      <c r="S101" s="140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18.75" customHeight="1">
      <c r="A102" s="261"/>
      <c r="B102" s="139"/>
      <c r="C102" s="139"/>
      <c r="D102" s="139" t="s">
        <v>52</v>
      </c>
      <c r="E102" s="139"/>
      <c r="F102" s="139"/>
      <c r="G102" s="139"/>
      <c r="H102" s="140">
        <f>+H101*(H99-H96)</f>
        <v>0</v>
      </c>
      <c r="I102" s="262"/>
      <c r="J102" s="139"/>
      <c r="K102" s="139"/>
      <c r="L102" s="139"/>
      <c r="M102" s="139"/>
      <c r="N102" s="139"/>
      <c r="O102" s="139"/>
      <c r="P102" s="139"/>
      <c r="Q102" s="139"/>
      <c r="R102" s="141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19.5" customHeight="1">
      <c r="A103" s="263"/>
      <c r="B103" s="264"/>
      <c r="C103" s="264"/>
      <c r="D103" s="264"/>
      <c r="E103" s="264"/>
      <c r="F103" s="264"/>
      <c r="G103" s="264"/>
      <c r="H103" s="265"/>
      <c r="I103" s="266"/>
      <c r="J103" s="139"/>
      <c r="K103" s="139"/>
      <c r="L103" s="139"/>
      <c r="M103" s="139"/>
      <c r="N103" s="139"/>
      <c r="O103" s="139"/>
      <c r="P103" s="139"/>
      <c r="Q103" s="139"/>
      <c r="R103" s="141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18.7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141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18.7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39"/>
      <c r="R105" s="141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18.75" customHeight="1">
      <c r="A106" s="139"/>
      <c r="B106" s="139"/>
      <c r="C106" s="139"/>
      <c r="D106" s="139"/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39"/>
      <c r="R106" s="141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18.0" customHeight="1">
      <c r="A107" s="7"/>
      <c r="B107" s="7"/>
      <c r="C107" s="7"/>
      <c r="D107" s="7"/>
      <c r="E107" s="7"/>
      <c r="F107" s="7"/>
      <c r="G107" s="7"/>
      <c r="H107" s="267"/>
      <c r="I107" s="7"/>
      <c r="J107" s="7"/>
      <c r="K107" s="7"/>
      <c r="L107" s="7"/>
      <c r="M107" s="7"/>
      <c r="N107" s="7"/>
      <c r="O107" s="7"/>
      <c r="P107" s="7"/>
      <c r="Q107" s="7"/>
      <c r="R107" s="268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</row>
    <row r="108" ht="18.0" customHeight="1">
      <c r="A108" s="7"/>
      <c r="B108" s="7"/>
      <c r="C108" s="7"/>
      <c r="D108" s="7"/>
      <c r="E108" s="7"/>
      <c r="F108" s="7"/>
      <c r="G108" s="7"/>
      <c r="H108" s="267"/>
      <c r="I108" s="7"/>
      <c r="J108" s="7"/>
      <c r="K108" s="7"/>
      <c r="L108" s="7"/>
      <c r="M108" s="7"/>
      <c r="N108" s="7"/>
      <c r="O108" s="7"/>
      <c r="P108" s="7"/>
      <c r="Q108" s="7"/>
      <c r="R108" s="268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</row>
    <row r="109" ht="18.0" customHeight="1">
      <c r="A109" s="7"/>
      <c r="B109" s="7"/>
      <c r="C109" s="7"/>
      <c r="D109" s="7"/>
      <c r="E109" s="7"/>
      <c r="F109" s="7"/>
      <c r="G109" s="7"/>
      <c r="H109" s="267"/>
      <c r="I109" s="7"/>
      <c r="J109" s="7"/>
      <c r="K109" s="7"/>
      <c r="L109" s="7"/>
      <c r="M109" s="7"/>
      <c r="N109" s="7"/>
      <c r="O109" s="7"/>
      <c r="P109" s="7"/>
      <c r="Q109" s="7"/>
      <c r="R109" s="268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</row>
    <row r="110" ht="18.0" customHeight="1">
      <c r="A110" s="7"/>
      <c r="B110" s="7"/>
      <c r="C110" s="7"/>
      <c r="D110" s="7"/>
      <c r="E110" s="7"/>
      <c r="F110" s="7"/>
      <c r="G110" s="7"/>
      <c r="H110" s="267"/>
      <c r="I110" s="7"/>
      <c r="J110" s="7"/>
      <c r="K110" s="7"/>
      <c r="L110" s="7"/>
      <c r="M110" s="7"/>
      <c r="N110" s="7"/>
      <c r="O110" s="7"/>
      <c r="P110" s="7"/>
      <c r="Q110" s="7"/>
      <c r="R110" s="268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</row>
    <row r="111" ht="18.0" customHeight="1">
      <c r="A111" s="7"/>
      <c r="B111" s="7"/>
      <c r="C111" s="7"/>
      <c r="D111" s="7"/>
      <c r="E111" s="7"/>
      <c r="F111" s="7"/>
      <c r="G111" s="7"/>
      <c r="H111" s="267"/>
      <c r="I111" s="7"/>
      <c r="J111" s="7"/>
      <c r="K111" s="7"/>
      <c r="L111" s="7"/>
      <c r="M111" s="7"/>
      <c r="N111" s="7"/>
      <c r="O111" s="7"/>
      <c r="P111" s="7"/>
      <c r="Q111" s="7"/>
      <c r="R111" s="268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</row>
    <row r="112" ht="18.0" customHeight="1">
      <c r="A112" s="7"/>
      <c r="B112" s="7"/>
      <c r="C112" s="7"/>
      <c r="D112" s="7"/>
      <c r="E112" s="7"/>
      <c r="F112" s="7"/>
      <c r="G112" s="7"/>
      <c r="H112" s="267"/>
      <c r="I112" s="7"/>
      <c r="J112" s="7"/>
      <c r="K112" s="7"/>
      <c r="L112" s="7"/>
      <c r="M112" s="7"/>
      <c r="N112" s="7"/>
      <c r="O112" s="7"/>
      <c r="P112" s="7"/>
      <c r="Q112" s="7"/>
      <c r="R112" s="268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</row>
    <row r="113" ht="18.0" customHeight="1">
      <c r="A113" s="7"/>
      <c r="B113" s="7"/>
      <c r="C113" s="7"/>
      <c r="D113" s="7"/>
      <c r="E113" s="7"/>
      <c r="F113" s="7"/>
      <c r="G113" s="7"/>
      <c r="H113" s="267"/>
      <c r="I113" s="7"/>
      <c r="J113" s="7"/>
      <c r="K113" s="7"/>
      <c r="L113" s="7"/>
      <c r="M113" s="7"/>
      <c r="N113" s="7"/>
      <c r="O113" s="7"/>
      <c r="P113" s="7"/>
      <c r="Q113" s="7"/>
      <c r="R113" s="268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</row>
    <row r="114" ht="18.0" customHeight="1">
      <c r="A114" s="7"/>
      <c r="B114" s="7"/>
      <c r="C114" s="7"/>
      <c r="D114" s="7"/>
      <c r="E114" s="7"/>
      <c r="F114" s="7"/>
      <c r="G114" s="7"/>
      <c r="H114" s="267"/>
      <c r="I114" s="7"/>
      <c r="J114" s="7"/>
      <c r="K114" s="7"/>
      <c r="L114" s="7"/>
      <c r="M114" s="7"/>
      <c r="N114" s="7"/>
      <c r="O114" s="7"/>
      <c r="P114" s="7"/>
      <c r="Q114" s="7"/>
      <c r="R114" s="268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</row>
    <row r="115" ht="18.0" customHeight="1">
      <c r="A115" s="7"/>
      <c r="B115" s="7"/>
      <c r="C115" s="7"/>
      <c r="D115" s="7"/>
      <c r="E115" s="7"/>
      <c r="F115" s="7"/>
      <c r="G115" s="7"/>
      <c r="H115" s="267"/>
      <c r="I115" s="7"/>
      <c r="J115" s="7"/>
      <c r="K115" s="7"/>
      <c r="L115" s="7"/>
      <c r="M115" s="7"/>
      <c r="N115" s="7"/>
      <c r="O115" s="7"/>
      <c r="P115" s="7"/>
      <c r="Q115" s="7"/>
      <c r="R115" s="268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</row>
    <row r="116" ht="18.0" customHeight="1">
      <c r="A116" s="7"/>
      <c r="B116" s="7"/>
      <c r="C116" s="7"/>
      <c r="D116" s="7"/>
      <c r="E116" s="7"/>
      <c r="F116" s="7"/>
      <c r="G116" s="7"/>
      <c r="H116" s="267"/>
      <c r="I116" s="7"/>
      <c r="J116" s="7"/>
      <c r="K116" s="7"/>
      <c r="L116" s="7"/>
      <c r="M116" s="7"/>
      <c r="N116" s="7"/>
      <c r="O116" s="7"/>
      <c r="P116" s="7"/>
      <c r="Q116" s="7"/>
      <c r="R116" s="268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</row>
    <row r="117" ht="18.0" customHeight="1">
      <c r="A117" s="7"/>
      <c r="B117" s="7"/>
      <c r="C117" s="7"/>
      <c r="D117" s="7"/>
      <c r="E117" s="7"/>
      <c r="F117" s="7"/>
      <c r="G117" s="7"/>
      <c r="H117" s="267"/>
      <c r="I117" s="7"/>
      <c r="J117" s="7"/>
      <c r="K117" s="7"/>
      <c r="L117" s="7"/>
      <c r="M117" s="7"/>
      <c r="N117" s="7"/>
      <c r="O117" s="7"/>
      <c r="P117" s="7"/>
      <c r="Q117" s="7"/>
      <c r="R117" s="268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</row>
    <row r="118" ht="18.0" customHeight="1">
      <c r="A118" s="7"/>
      <c r="B118" s="7"/>
      <c r="C118" s="7"/>
      <c r="D118" s="7"/>
      <c r="E118" s="7"/>
      <c r="F118" s="7"/>
      <c r="G118" s="7"/>
      <c r="H118" s="267"/>
      <c r="I118" s="7"/>
      <c r="J118" s="7"/>
      <c r="K118" s="7"/>
      <c r="L118" s="7"/>
      <c r="M118" s="7"/>
      <c r="N118" s="7"/>
      <c r="O118" s="7"/>
      <c r="P118" s="7"/>
      <c r="Q118" s="7"/>
      <c r="R118" s="268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</row>
    <row r="119" ht="18.0" customHeight="1">
      <c r="A119" s="7"/>
      <c r="B119" s="7"/>
      <c r="C119" s="7"/>
      <c r="D119" s="7"/>
      <c r="E119" s="7"/>
      <c r="F119" s="7"/>
      <c r="G119" s="7"/>
      <c r="H119" s="267"/>
      <c r="I119" s="7"/>
      <c r="J119" s="7"/>
      <c r="K119" s="7"/>
      <c r="L119" s="7"/>
      <c r="M119" s="7"/>
      <c r="N119" s="7"/>
      <c r="O119" s="7"/>
      <c r="P119" s="7"/>
      <c r="Q119" s="7"/>
      <c r="R119" s="268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</row>
    <row r="120" ht="18.0" customHeight="1">
      <c r="A120" s="7"/>
      <c r="B120" s="7"/>
      <c r="C120" s="7"/>
      <c r="D120" s="7"/>
      <c r="E120" s="7"/>
      <c r="F120" s="7"/>
      <c r="G120" s="7"/>
      <c r="H120" s="267"/>
      <c r="I120" s="7"/>
      <c r="J120" s="7"/>
      <c r="K120" s="7"/>
      <c r="L120" s="7"/>
      <c r="M120" s="7"/>
      <c r="N120" s="7"/>
      <c r="O120" s="7"/>
      <c r="P120" s="7"/>
      <c r="Q120" s="7"/>
      <c r="R120" s="268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</row>
    <row r="121" ht="18.0" customHeight="1">
      <c r="A121" s="7"/>
      <c r="B121" s="7"/>
      <c r="C121" s="7"/>
      <c r="D121" s="7"/>
      <c r="E121" s="7"/>
      <c r="F121" s="7"/>
      <c r="G121" s="7"/>
      <c r="H121" s="267"/>
      <c r="I121" s="7"/>
      <c r="J121" s="7"/>
      <c r="K121" s="7"/>
      <c r="L121" s="7"/>
      <c r="M121" s="7"/>
      <c r="N121" s="7"/>
      <c r="O121" s="7"/>
      <c r="P121" s="7"/>
      <c r="Q121" s="7"/>
      <c r="R121" s="268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</row>
    <row r="122" ht="18.0" customHeight="1">
      <c r="A122" s="7"/>
      <c r="B122" s="7"/>
      <c r="C122" s="7"/>
      <c r="D122" s="7"/>
      <c r="E122" s="7"/>
      <c r="F122" s="7"/>
      <c r="G122" s="7"/>
      <c r="H122" s="267"/>
      <c r="I122" s="7"/>
      <c r="J122" s="7"/>
      <c r="K122" s="7"/>
      <c r="L122" s="7"/>
      <c r="M122" s="7"/>
      <c r="N122" s="7"/>
      <c r="O122" s="7"/>
      <c r="P122" s="7"/>
      <c r="Q122" s="7"/>
      <c r="R122" s="268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</row>
    <row r="123" ht="18.0" customHeight="1">
      <c r="A123" s="7"/>
      <c r="B123" s="7"/>
      <c r="C123" s="7"/>
      <c r="D123" s="7"/>
      <c r="E123" s="7"/>
      <c r="F123" s="7"/>
      <c r="G123" s="7"/>
      <c r="H123" s="267"/>
      <c r="I123" s="7"/>
      <c r="J123" s="7"/>
      <c r="K123" s="7"/>
      <c r="L123" s="7"/>
      <c r="M123" s="7"/>
      <c r="N123" s="7"/>
      <c r="O123" s="7"/>
      <c r="P123" s="7"/>
      <c r="Q123" s="7"/>
      <c r="R123" s="268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</row>
    <row r="124" ht="18.0" customHeight="1">
      <c r="A124" s="7"/>
      <c r="B124" s="7"/>
      <c r="C124" s="7"/>
      <c r="D124" s="7"/>
      <c r="E124" s="7"/>
      <c r="F124" s="7"/>
      <c r="G124" s="7"/>
      <c r="H124" s="267"/>
      <c r="I124" s="7"/>
      <c r="J124" s="7"/>
      <c r="K124" s="7"/>
      <c r="L124" s="7"/>
      <c r="M124" s="7"/>
      <c r="N124" s="7"/>
      <c r="O124" s="7"/>
      <c r="P124" s="7"/>
      <c r="Q124" s="7"/>
      <c r="R124" s="268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</row>
    <row r="125" ht="18.0" customHeight="1">
      <c r="A125" s="7"/>
      <c r="B125" s="7"/>
      <c r="C125" s="7"/>
      <c r="D125" s="7"/>
      <c r="E125" s="7"/>
      <c r="F125" s="7"/>
      <c r="G125" s="7"/>
      <c r="H125" s="267"/>
      <c r="I125" s="7"/>
      <c r="J125" s="7"/>
      <c r="K125" s="7"/>
      <c r="L125" s="7"/>
      <c r="M125" s="7"/>
      <c r="N125" s="7"/>
      <c r="O125" s="7"/>
      <c r="P125" s="7"/>
      <c r="Q125" s="7"/>
      <c r="R125" s="268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</row>
    <row r="126" ht="18.0" customHeight="1">
      <c r="A126" s="7"/>
      <c r="B126" s="7"/>
      <c r="C126" s="7"/>
      <c r="D126" s="7"/>
      <c r="E126" s="7"/>
      <c r="F126" s="7"/>
      <c r="G126" s="7"/>
      <c r="H126" s="267"/>
      <c r="I126" s="7"/>
      <c r="J126" s="7"/>
      <c r="K126" s="7"/>
      <c r="L126" s="7"/>
      <c r="M126" s="7"/>
      <c r="N126" s="7"/>
      <c r="O126" s="7"/>
      <c r="P126" s="7"/>
      <c r="Q126" s="7"/>
      <c r="R126" s="268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</row>
    <row r="127" ht="18.0" customHeight="1">
      <c r="A127" s="7"/>
      <c r="B127" s="7"/>
      <c r="C127" s="7"/>
      <c r="D127" s="7"/>
      <c r="E127" s="7"/>
      <c r="F127" s="7"/>
      <c r="G127" s="7"/>
      <c r="H127" s="267"/>
      <c r="I127" s="7"/>
      <c r="J127" s="7"/>
      <c r="K127" s="7"/>
      <c r="L127" s="7"/>
      <c r="M127" s="7"/>
      <c r="N127" s="7"/>
      <c r="O127" s="7"/>
      <c r="P127" s="7"/>
      <c r="Q127" s="7"/>
      <c r="R127" s="268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</row>
    <row r="128" ht="18.0" customHeight="1">
      <c r="A128" s="7"/>
      <c r="B128" s="7"/>
      <c r="C128" s="7"/>
      <c r="D128" s="7"/>
      <c r="E128" s="7"/>
      <c r="F128" s="7"/>
      <c r="G128" s="7"/>
      <c r="H128" s="267"/>
      <c r="I128" s="7"/>
      <c r="J128" s="7"/>
      <c r="K128" s="7"/>
      <c r="L128" s="7"/>
      <c r="M128" s="7"/>
      <c r="N128" s="7"/>
      <c r="O128" s="7"/>
      <c r="P128" s="7"/>
      <c r="Q128" s="7"/>
      <c r="R128" s="268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</row>
    <row r="129" ht="18.0" customHeight="1">
      <c r="A129" s="7"/>
      <c r="B129" s="7"/>
      <c r="C129" s="7"/>
      <c r="D129" s="7"/>
      <c r="E129" s="7"/>
      <c r="F129" s="7"/>
      <c r="G129" s="7"/>
      <c r="H129" s="267"/>
      <c r="I129" s="7"/>
      <c r="J129" s="7"/>
      <c r="K129" s="7"/>
      <c r="L129" s="7"/>
      <c r="M129" s="7"/>
      <c r="N129" s="7"/>
      <c r="O129" s="7"/>
      <c r="P129" s="7"/>
      <c r="Q129" s="7"/>
      <c r="R129" s="268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</row>
    <row r="130" ht="18.0" customHeight="1">
      <c r="A130" s="7"/>
      <c r="B130" s="7"/>
      <c r="C130" s="7"/>
      <c r="D130" s="7"/>
      <c r="E130" s="7"/>
      <c r="F130" s="7"/>
      <c r="G130" s="7"/>
      <c r="H130" s="267"/>
      <c r="I130" s="7"/>
      <c r="J130" s="7"/>
      <c r="K130" s="7"/>
      <c r="L130" s="7"/>
      <c r="M130" s="7"/>
      <c r="N130" s="7"/>
      <c r="O130" s="7"/>
      <c r="P130" s="7"/>
      <c r="Q130" s="7"/>
      <c r="R130" s="268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7"/>
      <c r="R131" s="268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7"/>
      <c r="R132" s="268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7"/>
      <c r="R133" s="268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7"/>
      <c r="R134" s="268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7"/>
      <c r="R135" s="268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7"/>
      <c r="R136" s="268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7"/>
      <c r="R137" s="268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7"/>
      <c r="R138" s="268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7"/>
      <c r="R139" s="268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7"/>
      <c r="R140" s="268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7"/>
      <c r="R141" s="268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7"/>
      <c r="R142" s="268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7"/>
      <c r="R143" s="268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7"/>
      <c r="R144" s="268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7"/>
      <c r="R145" s="268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7"/>
      <c r="R146" s="268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7"/>
      <c r="R147" s="268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7"/>
      <c r="R148" s="268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7"/>
      <c r="R149" s="268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7"/>
      <c r="R150" s="268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7"/>
      <c r="R151" s="268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7"/>
      <c r="R152" s="268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7"/>
      <c r="R153" s="268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7"/>
      <c r="R154" s="268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7"/>
      <c r="R155" s="268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7"/>
      <c r="R156" s="268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7"/>
      <c r="R157" s="268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7"/>
      <c r="R158" s="26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7"/>
      <c r="R159" s="26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7"/>
      <c r="R160" s="26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7"/>
      <c r="R161" s="26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7"/>
      <c r="R162" s="26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7"/>
      <c r="R163" s="26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7"/>
      <c r="R164" s="26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7"/>
      <c r="R165" s="26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7"/>
      <c r="R166" s="26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7"/>
      <c r="R167" s="26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7"/>
      <c r="R168" s="26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7"/>
      <c r="R169" s="26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7"/>
      <c r="R170" s="26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7"/>
      <c r="R171" s="26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7"/>
      <c r="R172" s="26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7"/>
      <c r="R173" s="26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7"/>
      <c r="R174" s="26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7"/>
      <c r="R175" s="26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7"/>
      <c r="R176" s="26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7"/>
      <c r="R177" s="26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7"/>
      <c r="R178" s="26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7"/>
      <c r="R179" s="26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7"/>
      <c r="R180" s="26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7"/>
      <c r="R181" s="26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7"/>
      <c r="R182" s="26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7"/>
      <c r="R183" s="26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7"/>
      <c r="R184" s="26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7"/>
      <c r="R185" s="26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7"/>
      <c r="R186" s="26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7"/>
      <c r="R187" s="26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7"/>
      <c r="R188" s="26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7"/>
      <c r="R189" s="26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7"/>
      <c r="R190" s="26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7"/>
      <c r="R191" s="26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7"/>
      <c r="R192" s="26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7"/>
      <c r="R193" s="26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7"/>
      <c r="R194" s="26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7"/>
      <c r="R252" s="26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7"/>
      <c r="R253" s="26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7"/>
      <c r="R254" s="26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7"/>
      <c r="R255" s="26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7"/>
      <c r="R256" s="26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7"/>
      <c r="R257" s="26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7"/>
      <c r="R258" s="26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7"/>
      <c r="R259" s="26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7"/>
      <c r="R260" s="26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7"/>
      <c r="R261" s="26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7"/>
      <c r="R262" s="26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7"/>
      <c r="R263" s="26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7"/>
      <c r="R264" s="26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7"/>
      <c r="R265" s="26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7"/>
      <c r="R266" s="26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7"/>
      <c r="R267" s="26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7"/>
      <c r="R268" s="26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7"/>
      <c r="R269" s="26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7"/>
      <c r="R270" s="26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7"/>
      <c r="R271" s="26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7"/>
      <c r="R272" s="26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7"/>
      <c r="R273" s="26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7"/>
      <c r="R274" s="26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7"/>
      <c r="R275" s="26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7"/>
      <c r="R276" s="26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7"/>
      <c r="R277" s="26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7"/>
      <c r="R278" s="26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7"/>
      <c r="R279" s="26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7"/>
      <c r="R280" s="26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7"/>
      <c r="R281" s="26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7"/>
      <c r="R282" s="26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7"/>
      <c r="R283" s="26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7"/>
      <c r="R284" s="26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7"/>
      <c r="R285" s="26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7"/>
      <c r="R286" s="26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7"/>
      <c r="R287" s="26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7"/>
      <c r="R288" s="26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7"/>
      <c r="R289" s="26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7"/>
      <c r="R290" s="26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7"/>
      <c r="R291" s="26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7"/>
      <c r="R292" s="26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7"/>
      <c r="R293" s="26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7"/>
      <c r="R294" s="26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7"/>
      <c r="R295" s="26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7"/>
      <c r="R296" s="26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7"/>
      <c r="R297" s="26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7"/>
      <c r="R298" s="26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7"/>
      <c r="R299" s="26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7"/>
      <c r="R300" s="26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7"/>
      <c r="R301" s="26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7"/>
      <c r="R302" s="26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3:D13"/>
    <mergeCell ref="E14:H14"/>
    <mergeCell ref="C19:E19"/>
    <mergeCell ref="C67:E67"/>
    <mergeCell ref="C79:E79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 t="s">
        <v>214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215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56</v>
      </c>
      <c r="C8" s="154">
        <v>29.5</v>
      </c>
      <c r="D8" s="155">
        <v>0.0146</v>
      </c>
      <c r="E8" s="156">
        <f>253.68*19.5</f>
        <v>4946.76</v>
      </c>
      <c r="F8" s="156"/>
      <c r="G8" s="156"/>
      <c r="H8" s="157">
        <v>19.5</v>
      </c>
      <c r="I8" s="158">
        <f t="shared" ref="I8:I12" si="1">+D8*E8</f>
        <v>72.222696</v>
      </c>
      <c r="J8" s="159">
        <f t="shared" ref="J8:J12" si="2">E8-I8</f>
        <v>4874.537304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56</v>
      </c>
      <c r="C9" s="154">
        <v>29.5</v>
      </c>
      <c r="D9" s="155">
        <v>0.0146</v>
      </c>
      <c r="E9" s="156">
        <f>253.65*67.3</f>
        <v>17070.645</v>
      </c>
      <c r="F9" s="156"/>
      <c r="G9" s="156"/>
      <c r="H9" s="157">
        <v>67.3</v>
      </c>
      <c r="I9" s="158">
        <f t="shared" si="1"/>
        <v>249.231417</v>
      </c>
      <c r="J9" s="159">
        <f t="shared" si="2"/>
        <v>16821.41358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0.0155</v>
      </c>
      <c r="E10" s="156">
        <f>253.985*71.4</f>
        <v>18134.529</v>
      </c>
      <c r="F10" s="156"/>
      <c r="G10" s="156"/>
      <c r="H10" s="157">
        <v>71.4</v>
      </c>
      <c r="I10" s="158">
        <f t="shared" si="1"/>
        <v>281.0851995</v>
      </c>
      <c r="J10" s="159">
        <f t="shared" si="2"/>
        <v>17853.4438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85</v>
      </c>
      <c r="C11" s="154">
        <v>26.5</v>
      </c>
      <c r="D11" s="161">
        <v>0.0559</v>
      </c>
      <c r="E11" s="162">
        <f>267.196*8.8</f>
        <v>2351.3248</v>
      </c>
      <c r="F11" s="162"/>
      <c r="G11" s="162"/>
      <c r="H11" s="157">
        <v>8.8</v>
      </c>
      <c r="I11" s="158">
        <f t="shared" si="1"/>
        <v>131.4390563</v>
      </c>
      <c r="J11" s="159">
        <f t="shared" si="2"/>
        <v>2219.885744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199</v>
      </c>
      <c r="C12" s="160">
        <v>22.5</v>
      </c>
      <c r="D12" s="161">
        <v>0.0856</v>
      </c>
      <c r="E12" s="162">
        <f>261.423*8.56</f>
        <v>2237.78088</v>
      </c>
      <c r="F12" s="162"/>
      <c r="G12" s="162"/>
      <c r="H12" s="157">
        <v>8.56</v>
      </c>
      <c r="I12" s="158">
        <f t="shared" si="1"/>
        <v>191.5540433</v>
      </c>
      <c r="J12" s="159">
        <f t="shared" si="2"/>
        <v>2046.226837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18.75" customHeight="1">
      <c r="A13" s="163"/>
      <c r="B13" s="164"/>
      <c r="C13" s="165"/>
      <c r="D13" s="166"/>
      <c r="E13" s="167">
        <f>SUM(E8:E12)</f>
        <v>44741.03968</v>
      </c>
      <c r="F13" s="168"/>
      <c r="G13" s="168"/>
      <c r="H13" s="169"/>
      <c r="I13" s="170">
        <f t="shared" ref="I13:J13" si="3">SUM(I8:I12)</f>
        <v>925.5324121</v>
      </c>
      <c r="J13" s="171">
        <f t="shared" si="3"/>
        <v>43815.50727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72"/>
      <c r="B14" s="144"/>
      <c r="C14" s="144"/>
      <c r="D14" s="173"/>
      <c r="E14" s="174"/>
      <c r="F14" s="151"/>
      <c r="G14" s="151"/>
      <c r="H14" s="147"/>
      <c r="I14" s="175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39"/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 t="s">
        <v>11</v>
      </c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40.5" customHeight="1">
      <c r="A19" s="176"/>
      <c r="B19" s="160" t="s">
        <v>12</v>
      </c>
      <c r="C19" s="177" t="s">
        <v>62</v>
      </c>
      <c r="D19" s="52"/>
      <c r="E19" s="53"/>
      <c r="F19" s="178"/>
      <c r="G19" s="178"/>
      <c r="H19" s="179" t="s">
        <v>14</v>
      </c>
      <c r="I19" s="160" t="s">
        <v>15</v>
      </c>
      <c r="J19" s="160" t="s">
        <v>16</v>
      </c>
      <c r="K19" s="139"/>
      <c r="L19" s="160" t="s">
        <v>17</v>
      </c>
      <c r="M19" s="160" t="s">
        <v>15</v>
      </c>
      <c r="N19" s="176" t="s">
        <v>18</v>
      </c>
      <c r="O19" s="139"/>
      <c r="P19" s="139"/>
      <c r="Q19" s="176" t="s">
        <v>129</v>
      </c>
      <c r="R19" s="180"/>
      <c r="S19" s="160" t="s">
        <v>17</v>
      </c>
      <c r="T19" s="160" t="s">
        <v>15</v>
      </c>
      <c r="U19" s="176" t="s">
        <v>18</v>
      </c>
      <c r="V19" s="139"/>
      <c r="W19" s="176" t="s">
        <v>19</v>
      </c>
      <c r="X19" s="176" t="s">
        <v>20</v>
      </c>
      <c r="Y19" s="176" t="s">
        <v>21</v>
      </c>
      <c r="Z19" s="176" t="s">
        <v>216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27.0" customHeight="1">
      <c r="A20" s="160">
        <v>1.0</v>
      </c>
      <c r="B20" s="182" t="s">
        <v>65</v>
      </c>
      <c r="C20" s="183">
        <v>86.0</v>
      </c>
      <c r="D20" s="183">
        <v>194.0</v>
      </c>
      <c r="E20" s="183">
        <v>263.0</v>
      </c>
      <c r="F20" s="183">
        <f t="shared" ref="F20:F87" si="5">VALUE(IF(RIGHT(B20, 1)="%", RIGHT(B20, 3), 0))</f>
        <v>0.8</v>
      </c>
      <c r="G20" s="183">
        <f t="shared" ref="G20:G87" si="6">+R20*C20/100*D20/100*E20/100</f>
        <v>129.442814</v>
      </c>
      <c r="H20" s="184">
        <f t="shared" ref="H20:H87" si="7">IF(F20=0, G20, F20*G20)</f>
        <v>103.5542512</v>
      </c>
      <c r="I20" s="183">
        <v>1.0</v>
      </c>
      <c r="J20" s="194">
        <f t="shared" ref="J20:J87" si="8">+I20*H20</f>
        <v>103.5542512</v>
      </c>
      <c r="K20" s="139"/>
      <c r="L20" s="176">
        <f>D20*25.4/1000</f>
        <v>4.9276</v>
      </c>
      <c r="M20" s="160">
        <f>+I20</f>
        <v>1</v>
      </c>
      <c r="N20" s="160">
        <f>M20*L20</f>
        <v>4.9276</v>
      </c>
      <c r="O20" s="139"/>
      <c r="P20" s="139"/>
      <c r="Q20" s="176"/>
      <c r="R20" s="281">
        <v>29.5</v>
      </c>
      <c r="S20" s="176">
        <f t="shared" ref="S20:S23" si="9">E20/100</f>
        <v>2.63</v>
      </c>
      <c r="T20" s="160">
        <f t="shared" ref="T20:T23" si="10">I20</f>
        <v>1</v>
      </c>
      <c r="U20" s="160">
        <f t="shared" ref="U20:U23" si="11">T20*S20</f>
        <v>2.63</v>
      </c>
      <c r="V20" s="282">
        <f t="shared" ref="V20:V87" si="12">R20*C20/100*D20/100*E20/100</f>
        <v>129.442814</v>
      </c>
      <c r="W20" s="176">
        <f t="shared" ref="W20:X20" si="4">C20/100</f>
        <v>0.86</v>
      </c>
      <c r="X20" s="176">
        <f t="shared" si="4"/>
        <v>1.94</v>
      </c>
      <c r="Y20" s="176">
        <f t="shared" ref="Y20:Y88" si="14">U20</f>
        <v>2.63</v>
      </c>
      <c r="Z20" s="283">
        <f t="shared" ref="Z20:Z88" si="15">W20*X20*Y20</f>
        <v>4.387892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2.0</v>
      </c>
      <c r="B21" s="191" t="s">
        <v>56</v>
      </c>
      <c r="C21" s="191">
        <v>82.0</v>
      </c>
      <c r="D21" s="191">
        <v>194.0</v>
      </c>
      <c r="E21" s="191">
        <v>253.0</v>
      </c>
      <c r="F21" s="191">
        <f t="shared" si="5"/>
        <v>0</v>
      </c>
      <c r="G21" s="191">
        <f t="shared" si="6"/>
        <v>118.729358</v>
      </c>
      <c r="H21" s="192">
        <f t="shared" si="7"/>
        <v>118.729358</v>
      </c>
      <c r="I21" s="191">
        <v>1.0</v>
      </c>
      <c r="J21" s="194">
        <f t="shared" si="8"/>
        <v>118.729358</v>
      </c>
      <c r="K21" s="139"/>
      <c r="L21" s="176"/>
      <c r="M21" s="160"/>
      <c r="N21" s="160"/>
      <c r="O21" s="139"/>
      <c r="P21" s="139"/>
      <c r="Q21" s="176"/>
      <c r="R21" s="281">
        <v>29.5</v>
      </c>
      <c r="S21" s="176">
        <f t="shared" si="9"/>
        <v>2.53</v>
      </c>
      <c r="T21" s="160">
        <f t="shared" si="10"/>
        <v>1</v>
      </c>
      <c r="U21" s="160">
        <f t="shared" si="11"/>
        <v>2.53</v>
      </c>
      <c r="V21" s="282">
        <f t="shared" si="12"/>
        <v>118.729358</v>
      </c>
      <c r="W21" s="176">
        <f t="shared" ref="W21:X21" si="13">C21/100</f>
        <v>0.82</v>
      </c>
      <c r="X21" s="176">
        <f t="shared" si="13"/>
        <v>1.94</v>
      </c>
      <c r="Y21" s="176">
        <f t="shared" si="14"/>
        <v>2.53</v>
      </c>
      <c r="Z21" s="283">
        <f t="shared" si="15"/>
        <v>4.024724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3.0</v>
      </c>
      <c r="B22" s="191" t="s">
        <v>56</v>
      </c>
      <c r="C22" s="191">
        <v>95.0</v>
      </c>
      <c r="D22" s="191">
        <v>194.0</v>
      </c>
      <c r="E22" s="191">
        <v>256.0</v>
      </c>
      <c r="F22" s="191">
        <f t="shared" si="5"/>
        <v>0</v>
      </c>
      <c r="G22" s="191">
        <f t="shared" si="6"/>
        <v>139.18336</v>
      </c>
      <c r="H22" s="192">
        <f t="shared" si="7"/>
        <v>139.18336</v>
      </c>
      <c r="I22" s="191">
        <v>3.0</v>
      </c>
      <c r="J22" s="194">
        <f t="shared" si="8"/>
        <v>417.55008</v>
      </c>
      <c r="K22" s="139"/>
      <c r="L22" s="176">
        <f t="shared" ref="L22:L52" si="17">D22*25.4/1000</f>
        <v>4.9276</v>
      </c>
      <c r="M22" s="160">
        <f t="shared" ref="M22:M87" si="18">+I22</f>
        <v>3</v>
      </c>
      <c r="N22" s="160">
        <f t="shared" ref="N22:N52" si="19">M22*L22</f>
        <v>14.7828</v>
      </c>
      <c r="O22" s="139"/>
      <c r="P22" s="139"/>
      <c r="Q22" s="176"/>
      <c r="R22" s="281">
        <v>29.5</v>
      </c>
      <c r="S22" s="176">
        <f t="shared" si="9"/>
        <v>2.56</v>
      </c>
      <c r="T22" s="160">
        <f t="shared" si="10"/>
        <v>3</v>
      </c>
      <c r="U22" s="160">
        <f t="shared" si="11"/>
        <v>7.68</v>
      </c>
      <c r="V22" s="282">
        <f t="shared" si="12"/>
        <v>139.18336</v>
      </c>
      <c r="W22" s="176">
        <f t="shared" ref="W22:X22" si="16">C22/100</f>
        <v>0.95</v>
      </c>
      <c r="X22" s="176">
        <f t="shared" si="16"/>
        <v>1.94</v>
      </c>
      <c r="Y22" s="176">
        <f t="shared" si="14"/>
        <v>7.68</v>
      </c>
      <c r="Z22" s="283">
        <f t="shared" si="15"/>
        <v>14.15424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/>
      <c r="B23" s="191" t="s">
        <v>56</v>
      </c>
      <c r="C23" s="191">
        <v>95.0</v>
      </c>
      <c r="D23" s="191">
        <v>194.0</v>
      </c>
      <c r="E23" s="191">
        <v>256.0</v>
      </c>
      <c r="F23" s="191">
        <f t="shared" si="5"/>
        <v>0</v>
      </c>
      <c r="G23" s="191">
        <f t="shared" si="6"/>
        <v>139.18336</v>
      </c>
      <c r="H23" s="192">
        <f t="shared" si="7"/>
        <v>139.18336</v>
      </c>
      <c r="I23" s="191">
        <v>1.0</v>
      </c>
      <c r="J23" s="194">
        <f t="shared" si="8"/>
        <v>139.18336</v>
      </c>
      <c r="K23" s="139"/>
      <c r="L23" s="176">
        <f t="shared" si="17"/>
        <v>4.9276</v>
      </c>
      <c r="M23" s="160">
        <f t="shared" si="18"/>
        <v>1</v>
      </c>
      <c r="N23" s="160">
        <f t="shared" si="19"/>
        <v>4.9276</v>
      </c>
      <c r="O23" s="139"/>
      <c r="P23" s="139"/>
      <c r="Q23" s="176">
        <v>142.0</v>
      </c>
      <c r="R23" s="281">
        <v>29.5</v>
      </c>
      <c r="S23" s="176">
        <f t="shared" si="9"/>
        <v>2.56</v>
      </c>
      <c r="T23" s="160">
        <f t="shared" si="10"/>
        <v>1</v>
      </c>
      <c r="U23" s="160">
        <f t="shared" si="11"/>
        <v>2.56</v>
      </c>
      <c r="V23" s="282">
        <f t="shared" si="12"/>
        <v>139.18336</v>
      </c>
      <c r="W23" s="176">
        <f t="shared" ref="W23:X23" si="20">C23/100</f>
        <v>0.95</v>
      </c>
      <c r="X23" s="176">
        <f t="shared" si="20"/>
        <v>1.94</v>
      </c>
      <c r="Y23" s="176">
        <f t="shared" si="14"/>
        <v>2.56</v>
      </c>
      <c r="Z23" s="283">
        <f t="shared" si="15"/>
        <v>4.71808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4.0</v>
      </c>
      <c r="B24" s="191" t="s">
        <v>56</v>
      </c>
      <c r="C24" s="191">
        <v>92.0</v>
      </c>
      <c r="D24" s="191">
        <v>194.0</v>
      </c>
      <c r="E24" s="191">
        <v>256.0</v>
      </c>
      <c r="F24" s="191">
        <f t="shared" si="5"/>
        <v>0</v>
      </c>
      <c r="G24" s="191">
        <f t="shared" si="6"/>
        <v>134.788096</v>
      </c>
      <c r="H24" s="192">
        <f t="shared" si="7"/>
        <v>134.788096</v>
      </c>
      <c r="I24" s="191">
        <v>1.0</v>
      </c>
      <c r="J24" s="194">
        <f t="shared" si="8"/>
        <v>134.788096</v>
      </c>
      <c r="K24" s="139"/>
      <c r="L24" s="176">
        <f t="shared" si="17"/>
        <v>4.9276</v>
      </c>
      <c r="M24" s="160">
        <f t="shared" si="18"/>
        <v>1</v>
      </c>
      <c r="N24" s="160">
        <f t="shared" si="19"/>
        <v>4.9276</v>
      </c>
      <c r="O24" s="139"/>
      <c r="P24" s="139"/>
      <c r="Q24" s="176">
        <v>139.0</v>
      </c>
      <c r="R24" s="281">
        <v>29.5</v>
      </c>
      <c r="S24" s="176">
        <f>SUMIFS($T$20:$T$22,$S$20:$S$22,"&gt;=3")</f>
        <v>0</v>
      </c>
      <c r="T24" s="160">
        <f t="shared" ref="T24:U24" si="21">SUM(T20:T22)</f>
        <v>5</v>
      </c>
      <c r="U24" s="160">
        <f t="shared" si="21"/>
        <v>12.84</v>
      </c>
      <c r="V24" s="282">
        <f t="shared" si="12"/>
        <v>134.788096</v>
      </c>
      <c r="W24" s="176">
        <f t="shared" ref="W24:X24" si="22">C24/100</f>
        <v>0.92</v>
      </c>
      <c r="X24" s="176">
        <f t="shared" si="22"/>
        <v>1.94</v>
      </c>
      <c r="Y24" s="176">
        <f t="shared" si="14"/>
        <v>12.84</v>
      </c>
      <c r="Z24" s="283">
        <f t="shared" si="15"/>
        <v>22.916832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5.0</v>
      </c>
      <c r="B25" s="191" t="s">
        <v>56</v>
      </c>
      <c r="C25" s="191">
        <v>96.0</v>
      </c>
      <c r="D25" s="191">
        <v>194.0</v>
      </c>
      <c r="E25" s="191">
        <v>256.0</v>
      </c>
      <c r="F25" s="191">
        <f t="shared" si="5"/>
        <v>0</v>
      </c>
      <c r="G25" s="191">
        <f t="shared" si="6"/>
        <v>140.648448</v>
      </c>
      <c r="H25" s="192">
        <f t="shared" si="7"/>
        <v>140.648448</v>
      </c>
      <c r="I25" s="191">
        <v>18.0</v>
      </c>
      <c r="J25" s="194">
        <f t="shared" si="8"/>
        <v>2531.672064</v>
      </c>
      <c r="K25" s="139"/>
      <c r="L25" s="176">
        <f t="shared" si="17"/>
        <v>4.9276</v>
      </c>
      <c r="M25" s="160">
        <f t="shared" si="18"/>
        <v>18</v>
      </c>
      <c r="N25" s="160">
        <f t="shared" si="19"/>
        <v>88.6968</v>
      </c>
      <c r="O25" s="139"/>
      <c r="P25" s="139"/>
      <c r="Q25" s="176"/>
      <c r="R25" s="281">
        <v>29.5</v>
      </c>
      <c r="S25" s="176">
        <f t="shared" ref="S25:S26" si="24">E25/100</f>
        <v>2.56</v>
      </c>
      <c r="T25" s="160">
        <f>I25</f>
        <v>18</v>
      </c>
      <c r="U25" s="160">
        <f>T25*S25</f>
        <v>46.08</v>
      </c>
      <c r="V25" s="282">
        <f t="shared" si="12"/>
        <v>140.648448</v>
      </c>
      <c r="W25" s="176">
        <f t="shared" ref="W25:X25" si="23">C25/100</f>
        <v>0.96</v>
      </c>
      <c r="X25" s="176">
        <f t="shared" si="23"/>
        <v>1.94</v>
      </c>
      <c r="Y25" s="176">
        <f t="shared" si="14"/>
        <v>46.08</v>
      </c>
      <c r="Z25" s="283">
        <f t="shared" si="15"/>
        <v>85.819392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/>
      <c r="B26" s="191" t="s">
        <v>56</v>
      </c>
      <c r="C26" s="191">
        <v>96.0</v>
      </c>
      <c r="D26" s="191">
        <v>194.0</v>
      </c>
      <c r="E26" s="191">
        <v>256.0</v>
      </c>
      <c r="F26" s="191">
        <f t="shared" si="5"/>
        <v>0</v>
      </c>
      <c r="G26" s="191">
        <f t="shared" si="6"/>
        <v>140.648448</v>
      </c>
      <c r="H26" s="192">
        <f t="shared" si="7"/>
        <v>140.648448</v>
      </c>
      <c r="I26" s="191">
        <v>3.0</v>
      </c>
      <c r="J26" s="194">
        <f t="shared" si="8"/>
        <v>421.945344</v>
      </c>
      <c r="K26" s="139"/>
      <c r="L26" s="176">
        <f t="shared" si="17"/>
        <v>4.9276</v>
      </c>
      <c r="M26" s="160">
        <f t="shared" si="18"/>
        <v>3</v>
      </c>
      <c r="N26" s="160">
        <f t="shared" si="19"/>
        <v>14.7828</v>
      </c>
      <c r="O26" s="139"/>
      <c r="P26" s="139"/>
      <c r="Q26" s="176">
        <v>142.0</v>
      </c>
      <c r="R26" s="281">
        <v>29.5</v>
      </c>
      <c r="S26" s="176">
        <f t="shared" si="24"/>
        <v>2.56</v>
      </c>
      <c r="T26" s="160" t="s">
        <v>48</v>
      </c>
      <c r="U26" s="160" t="s">
        <v>72</v>
      </c>
      <c r="V26" s="282">
        <f t="shared" si="12"/>
        <v>140.648448</v>
      </c>
      <c r="W26" s="176">
        <f t="shared" ref="W26:X26" si="25">C26/100</f>
        <v>0.96</v>
      </c>
      <c r="X26" s="176">
        <f t="shared" si="25"/>
        <v>1.94</v>
      </c>
      <c r="Y26" s="176" t="str">
        <f t="shared" si="14"/>
        <v>MRT</v>
      </c>
      <c r="Z26" s="283" t="str">
        <f t="shared" si="15"/>
        <v>#VALUE!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6.0</v>
      </c>
      <c r="B27" s="191" t="s">
        <v>56</v>
      </c>
      <c r="C27" s="191">
        <v>92.0</v>
      </c>
      <c r="D27" s="191">
        <v>194.0</v>
      </c>
      <c r="E27" s="191">
        <v>257.0</v>
      </c>
      <c r="F27" s="191">
        <f t="shared" si="5"/>
        <v>0</v>
      </c>
      <c r="G27" s="191">
        <f t="shared" si="6"/>
        <v>135.314612</v>
      </c>
      <c r="H27" s="192">
        <f t="shared" si="7"/>
        <v>135.314612</v>
      </c>
      <c r="I27" s="191">
        <v>1.0</v>
      </c>
      <c r="J27" s="194">
        <f t="shared" si="8"/>
        <v>135.314612</v>
      </c>
      <c r="K27" s="139"/>
      <c r="L27" s="176">
        <f t="shared" si="17"/>
        <v>4.9276</v>
      </c>
      <c r="M27" s="160">
        <f t="shared" si="18"/>
        <v>1</v>
      </c>
      <c r="N27" s="160">
        <f t="shared" si="19"/>
        <v>4.9276</v>
      </c>
      <c r="O27" s="139"/>
      <c r="P27" s="139"/>
      <c r="Q27" s="176"/>
      <c r="R27" s="281">
        <v>29.5</v>
      </c>
      <c r="S27" s="176" t="s">
        <v>31</v>
      </c>
      <c r="T27" s="160">
        <f>SUMIFS($J$20:$J$22,$S$20:$S$22,"&gt;=3")</f>
        <v>0</v>
      </c>
      <c r="U27" s="160" t="str">
        <f>T27*S27</f>
        <v>#VALUE!</v>
      </c>
      <c r="V27" s="282">
        <f t="shared" si="12"/>
        <v>135.314612</v>
      </c>
      <c r="W27" s="176">
        <f t="shared" ref="W27:X27" si="26">C27/100</f>
        <v>0.92</v>
      </c>
      <c r="X27" s="176">
        <f t="shared" si="26"/>
        <v>1.94</v>
      </c>
      <c r="Y27" s="176" t="str">
        <f t="shared" si="14"/>
        <v>#VALUE!</v>
      </c>
      <c r="Z27" s="283" t="str">
        <f t="shared" si="15"/>
        <v>#VALUE!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7.0</v>
      </c>
      <c r="B28" s="191" t="s">
        <v>56</v>
      </c>
      <c r="C28" s="191">
        <v>97.0</v>
      </c>
      <c r="D28" s="191">
        <v>194.0</v>
      </c>
      <c r="E28" s="191">
        <v>256.0</v>
      </c>
      <c r="F28" s="191">
        <f t="shared" si="5"/>
        <v>0</v>
      </c>
      <c r="G28" s="191">
        <f t="shared" si="6"/>
        <v>142.113536</v>
      </c>
      <c r="H28" s="192">
        <f t="shared" si="7"/>
        <v>142.113536</v>
      </c>
      <c r="I28" s="191">
        <v>3.0</v>
      </c>
      <c r="J28" s="194">
        <f t="shared" si="8"/>
        <v>426.340608</v>
      </c>
      <c r="K28" s="139"/>
      <c r="L28" s="176">
        <f t="shared" si="17"/>
        <v>4.9276</v>
      </c>
      <c r="M28" s="160">
        <f t="shared" si="18"/>
        <v>3</v>
      </c>
      <c r="N28" s="160">
        <f t="shared" si="19"/>
        <v>14.7828</v>
      </c>
      <c r="O28" s="139"/>
      <c r="P28" s="139"/>
      <c r="Q28" s="176"/>
      <c r="R28" s="281">
        <v>29.5</v>
      </c>
      <c r="S28" s="176" t="s">
        <v>34</v>
      </c>
      <c r="T28" s="194">
        <f>J24-T27</f>
        <v>134.788096</v>
      </c>
      <c r="U28" s="160">
        <f>+SUMIFS($U$20:$U$22,$S$20:$S$22,"&gt;=3")</f>
        <v>0</v>
      </c>
      <c r="V28" s="282">
        <f t="shared" si="12"/>
        <v>142.113536</v>
      </c>
      <c r="W28" s="176">
        <f t="shared" ref="W28:X28" si="27">C28/100</f>
        <v>0.97</v>
      </c>
      <c r="X28" s="176">
        <f t="shared" si="27"/>
        <v>1.94</v>
      </c>
      <c r="Y28" s="176">
        <f t="shared" si="14"/>
        <v>0</v>
      </c>
      <c r="Z28" s="283">
        <f t="shared" si="15"/>
        <v>0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8.0</v>
      </c>
      <c r="B29" s="182" t="s">
        <v>65</v>
      </c>
      <c r="C29" s="191">
        <v>100.0</v>
      </c>
      <c r="D29" s="191">
        <v>202.0</v>
      </c>
      <c r="E29" s="277">
        <v>3000.0</v>
      </c>
      <c r="F29" s="277">
        <f t="shared" si="5"/>
        <v>0.8</v>
      </c>
      <c r="G29" s="277">
        <f t="shared" si="6"/>
        <v>1787.7</v>
      </c>
      <c r="H29" s="192">
        <f t="shared" si="7"/>
        <v>1430.16</v>
      </c>
      <c r="I29" s="191">
        <v>4.0</v>
      </c>
      <c r="J29" s="194">
        <f t="shared" si="8"/>
        <v>5720.64</v>
      </c>
      <c r="K29" s="139"/>
      <c r="L29" s="176">
        <f t="shared" si="17"/>
        <v>5.1308</v>
      </c>
      <c r="M29" s="160">
        <f t="shared" si="18"/>
        <v>4</v>
      </c>
      <c r="N29" s="160">
        <f t="shared" si="19"/>
        <v>20.5232</v>
      </c>
      <c r="O29" s="139"/>
      <c r="P29" s="139"/>
      <c r="Q29" s="176"/>
      <c r="R29" s="281">
        <v>29.5</v>
      </c>
      <c r="S29" s="176">
        <f t="shared" ref="S29:S88" si="29">E29/100</f>
        <v>30</v>
      </c>
      <c r="T29" s="160">
        <f>+I24</f>
        <v>1</v>
      </c>
      <c r="U29" s="160">
        <f t="shared" ref="U29:U88" si="30">T29*S29</f>
        <v>30</v>
      </c>
      <c r="V29" s="282">
        <f t="shared" si="12"/>
        <v>1787.7</v>
      </c>
      <c r="W29" s="176">
        <f t="shared" ref="W29:X29" si="28">C29/100</f>
        <v>1</v>
      </c>
      <c r="X29" s="176">
        <f t="shared" si="28"/>
        <v>2.02</v>
      </c>
      <c r="Y29" s="176">
        <f t="shared" si="14"/>
        <v>30</v>
      </c>
      <c r="Z29" s="283">
        <f t="shared" si="15"/>
        <v>60.6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9.0</v>
      </c>
      <c r="B30" s="191" t="s">
        <v>56</v>
      </c>
      <c r="C30" s="191">
        <v>101.0</v>
      </c>
      <c r="D30" s="191">
        <v>202.0</v>
      </c>
      <c r="E30" s="191">
        <v>202.0</v>
      </c>
      <c r="F30" s="191">
        <f t="shared" si="5"/>
        <v>0</v>
      </c>
      <c r="G30" s="191">
        <f t="shared" si="6"/>
        <v>121.575518</v>
      </c>
      <c r="H30" s="192">
        <f t="shared" si="7"/>
        <v>121.575518</v>
      </c>
      <c r="I30" s="191">
        <v>16.0</v>
      </c>
      <c r="J30" s="194">
        <f t="shared" si="8"/>
        <v>1945.208288</v>
      </c>
      <c r="K30" s="139"/>
      <c r="L30" s="176">
        <f t="shared" si="17"/>
        <v>5.1308</v>
      </c>
      <c r="M30" s="160">
        <f t="shared" si="18"/>
        <v>16</v>
      </c>
      <c r="N30" s="160">
        <f t="shared" si="19"/>
        <v>82.0928</v>
      </c>
      <c r="O30" s="139"/>
      <c r="P30" s="139"/>
      <c r="Q30" s="176"/>
      <c r="R30" s="281">
        <v>29.5</v>
      </c>
      <c r="S30" s="176">
        <f t="shared" si="29"/>
        <v>2.02</v>
      </c>
      <c r="T30" s="160">
        <f t="shared" ref="T30:T88" si="32">I30</f>
        <v>16</v>
      </c>
      <c r="U30" s="160">
        <f t="shared" si="30"/>
        <v>32.32</v>
      </c>
      <c r="V30" s="282">
        <f t="shared" si="12"/>
        <v>121.575518</v>
      </c>
      <c r="W30" s="176">
        <f t="shared" ref="W30:X30" si="31">C30/100</f>
        <v>1.01</v>
      </c>
      <c r="X30" s="176">
        <f t="shared" si="31"/>
        <v>2.02</v>
      </c>
      <c r="Y30" s="176">
        <f t="shared" si="14"/>
        <v>32.32</v>
      </c>
      <c r="Z30" s="283">
        <f t="shared" si="15"/>
        <v>65.939264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/>
      <c r="B31" s="191" t="s">
        <v>56</v>
      </c>
      <c r="C31" s="191">
        <v>101.0</v>
      </c>
      <c r="D31" s="191">
        <v>202.0</v>
      </c>
      <c r="E31" s="191">
        <v>202.0</v>
      </c>
      <c r="F31" s="191">
        <f t="shared" si="5"/>
        <v>0</v>
      </c>
      <c r="G31" s="191">
        <f t="shared" si="6"/>
        <v>121.575518</v>
      </c>
      <c r="H31" s="192">
        <f t="shared" si="7"/>
        <v>121.575518</v>
      </c>
      <c r="I31" s="191">
        <v>3.0</v>
      </c>
      <c r="J31" s="194">
        <f t="shared" si="8"/>
        <v>364.726554</v>
      </c>
      <c r="K31" s="139"/>
      <c r="L31" s="176">
        <f t="shared" si="17"/>
        <v>5.1308</v>
      </c>
      <c r="M31" s="160">
        <f t="shared" si="18"/>
        <v>3</v>
      </c>
      <c r="N31" s="160">
        <f t="shared" si="19"/>
        <v>15.3924</v>
      </c>
      <c r="O31" s="139"/>
      <c r="P31" s="139"/>
      <c r="Q31" s="176">
        <v>123.0</v>
      </c>
      <c r="R31" s="281">
        <v>29.5</v>
      </c>
      <c r="S31" s="176">
        <f t="shared" si="29"/>
        <v>2.02</v>
      </c>
      <c r="T31" s="160">
        <f t="shared" si="32"/>
        <v>3</v>
      </c>
      <c r="U31" s="160">
        <f t="shared" si="30"/>
        <v>6.06</v>
      </c>
      <c r="V31" s="282">
        <f t="shared" si="12"/>
        <v>121.575518</v>
      </c>
      <c r="W31" s="176">
        <f t="shared" ref="W31:X31" si="33">C31/100</f>
        <v>1.01</v>
      </c>
      <c r="X31" s="176">
        <f t="shared" si="33"/>
        <v>2.02</v>
      </c>
      <c r="Y31" s="176">
        <f t="shared" si="14"/>
        <v>6.06</v>
      </c>
      <c r="Z31" s="283">
        <f t="shared" si="15"/>
        <v>12.363612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10.0</v>
      </c>
      <c r="B32" s="191" t="s">
        <v>56</v>
      </c>
      <c r="C32" s="191">
        <v>101.0</v>
      </c>
      <c r="D32" s="191">
        <v>202.0</v>
      </c>
      <c r="E32" s="191">
        <v>250.0</v>
      </c>
      <c r="F32" s="191">
        <f t="shared" si="5"/>
        <v>0</v>
      </c>
      <c r="G32" s="191">
        <f t="shared" si="6"/>
        <v>150.46475</v>
      </c>
      <c r="H32" s="192">
        <f t="shared" si="7"/>
        <v>150.46475</v>
      </c>
      <c r="I32" s="191">
        <v>7.0</v>
      </c>
      <c r="J32" s="194">
        <f t="shared" si="8"/>
        <v>1053.25325</v>
      </c>
      <c r="K32" s="139"/>
      <c r="L32" s="176">
        <f t="shared" si="17"/>
        <v>5.1308</v>
      </c>
      <c r="M32" s="160">
        <f t="shared" si="18"/>
        <v>7</v>
      </c>
      <c r="N32" s="160">
        <f t="shared" si="19"/>
        <v>35.9156</v>
      </c>
      <c r="O32" s="139"/>
      <c r="P32" s="139"/>
      <c r="Q32" s="176"/>
      <c r="R32" s="281">
        <v>29.5</v>
      </c>
      <c r="S32" s="176">
        <f t="shared" si="29"/>
        <v>2.5</v>
      </c>
      <c r="T32" s="160">
        <f t="shared" si="32"/>
        <v>7</v>
      </c>
      <c r="U32" s="160">
        <f t="shared" si="30"/>
        <v>17.5</v>
      </c>
      <c r="V32" s="282">
        <f t="shared" si="12"/>
        <v>150.46475</v>
      </c>
      <c r="W32" s="176">
        <f t="shared" ref="W32:X32" si="34">C32/100</f>
        <v>1.01</v>
      </c>
      <c r="X32" s="176">
        <f t="shared" si="34"/>
        <v>2.02</v>
      </c>
      <c r="Y32" s="176">
        <f t="shared" si="14"/>
        <v>17.5</v>
      </c>
      <c r="Z32" s="283">
        <f t="shared" si="15"/>
        <v>35.7035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11.0</v>
      </c>
      <c r="B33" s="191" t="s">
        <v>56</v>
      </c>
      <c r="C33" s="191">
        <v>101.0</v>
      </c>
      <c r="D33" s="191">
        <v>202.0</v>
      </c>
      <c r="E33" s="191">
        <v>251.0</v>
      </c>
      <c r="F33" s="191">
        <f t="shared" si="5"/>
        <v>0</v>
      </c>
      <c r="G33" s="191">
        <f t="shared" si="6"/>
        <v>151.066609</v>
      </c>
      <c r="H33" s="192">
        <f t="shared" si="7"/>
        <v>151.066609</v>
      </c>
      <c r="I33" s="191">
        <v>19.0</v>
      </c>
      <c r="J33" s="194">
        <f t="shared" si="8"/>
        <v>2870.265571</v>
      </c>
      <c r="K33" s="139"/>
      <c r="L33" s="176">
        <f t="shared" si="17"/>
        <v>5.1308</v>
      </c>
      <c r="M33" s="160">
        <f t="shared" si="18"/>
        <v>19</v>
      </c>
      <c r="N33" s="160">
        <f t="shared" si="19"/>
        <v>97.4852</v>
      </c>
      <c r="O33" s="139"/>
      <c r="P33" s="139"/>
      <c r="Q33" s="176"/>
      <c r="R33" s="281">
        <v>29.5</v>
      </c>
      <c r="S33" s="176">
        <f t="shared" si="29"/>
        <v>2.51</v>
      </c>
      <c r="T33" s="160">
        <f t="shared" si="32"/>
        <v>19</v>
      </c>
      <c r="U33" s="160">
        <f t="shared" si="30"/>
        <v>47.69</v>
      </c>
      <c r="V33" s="282">
        <f t="shared" si="12"/>
        <v>151.066609</v>
      </c>
      <c r="W33" s="176">
        <f t="shared" ref="W33:X33" si="35">C33/100</f>
        <v>1.01</v>
      </c>
      <c r="X33" s="176">
        <f t="shared" si="35"/>
        <v>2.02</v>
      </c>
      <c r="Y33" s="176">
        <f t="shared" si="14"/>
        <v>47.69</v>
      </c>
      <c r="Z33" s="283">
        <f t="shared" si="15"/>
        <v>97.297138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12.0</v>
      </c>
      <c r="B34" s="191" t="s">
        <v>56</v>
      </c>
      <c r="C34" s="191">
        <v>102.0</v>
      </c>
      <c r="D34" s="191">
        <v>202.0</v>
      </c>
      <c r="E34" s="191">
        <v>251.0</v>
      </c>
      <c r="F34" s="191">
        <f t="shared" si="5"/>
        <v>0</v>
      </c>
      <c r="G34" s="191">
        <f t="shared" si="6"/>
        <v>152.562318</v>
      </c>
      <c r="H34" s="192">
        <f t="shared" si="7"/>
        <v>152.562318</v>
      </c>
      <c r="I34" s="191">
        <v>1.0</v>
      </c>
      <c r="J34" s="194">
        <f t="shared" si="8"/>
        <v>152.562318</v>
      </c>
      <c r="K34" s="139"/>
      <c r="L34" s="176">
        <f t="shared" si="17"/>
        <v>5.1308</v>
      </c>
      <c r="M34" s="160">
        <f t="shared" si="18"/>
        <v>1</v>
      </c>
      <c r="N34" s="160">
        <f t="shared" si="19"/>
        <v>5.1308</v>
      </c>
      <c r="O34" s="139"/>
      <c r="P34" s="139"/>
      <c r="Q34" s="176"/>
      <c r="R34" s="281">
        <v>29.5</v>
      </c>
      <c r="S34" s="176">
        <f t="shared" si="29"/>
        <v>2.51</v>
      </c>
      <c r="T34" s="160">
        <f t="shared" si="32"/>
        <v>1</v>
      </c>
      <c r="U34" s="160">
        <f t="shared" si="30"/>
        <v>2.51</v>
      </c>
      <c r="V34" s="282">
        <f t="shared" si="12"/>
        <v>152.562318</v>
      </c>
      <c r="W34" s="176">
        <f t="shared" ref="W34:X34" si="36">C34/100</f>
        <v>1.02</v>
      </c>
      <c r="X34" s="176">
        <f t="shared" si="36"/>
        <v>2.02</v>
      </c>
      <c r="Y34" s="176">
        <f t="shared" si="14"/>
        <v>2.51</v>
      </c>
      <c r="Z34" s="283">
        <f t="shared" si="15"/>
        <v>5.171604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13.0</v>
      </c>
      <c r="B35" s="191" t="s">
        <v>56</v>
      </c>
      <c r="C35" s="191">
        <v>101.0</v>
      </c>
      <c r="D35" s="191">
        <v>202.0</v>
      </c>
      <c r="E35" s="191">
        <v>201.0</v>
      </c>
      <c r="F35" s="191">
        <f t="shared" si="5"/>
        <v>0</v>
      </c>
      <c r="G35" s="191">
        <f t="shared" si="6"/>
        <v>120.973659</v>
      </c>
      <c r="H35" s="192">
        <f t="shared" si="7"/>
        <v>120.973659</v>
      </c>
      <c r="I35" s="191">
        <v>10.0</v>
      </c>
      <c r="J35" s="194">
        <f t="shared" si="8"/>
        <v>1209.73659</v>
      </c>
      <c r="K35" s="139"/>
      <c r="L35" s="176">
        <f t="shared" si="17"/>
        <v>5.1308</v>
      </c>
      <c r="M35" s="160">
        <f t="shared" si="18"/>
        <v>10</v>
      </c>
      <c r="N35" s="160">
        <f t="shared" si="19"/>
        <v>51.308</v>
      </c>
      <c r="O35" s="139"/>
      <c r="P35" s="139"/>
      <c r="Q35" s="176"/>
      <c r="R35" s="281">
        <v>29.5</v>
      </c>
      <c r="S35" s="176">
        <f t="shared" si="29"/>
        <v>2.01</v>
      </c>
      <c r="T35" s="160">
        <f t="shared" si="32"/>
        <v>10</v>
      </c>
      <c r="U35" s="160">
        <f t="shared" si="30"/>
        <v>20.1</v>
      </c>
      <c r="V35" s="282">
        <f t="shared" si="12"/>
        <v>120.973659</v>
      </c>
      <c r="W35" s="176">
        <f t="shared" ref="W35:X35" si="37">C35/100</f>
        <v>1.01</v>
      </c>
      <c r="X35" s="176">
        <f t="shared" si="37"/>
        <v>2.02</v>
      </c>
      <c r="Y35" s="176">
        <f t="shared" si="14"/>
        <v>20.1</v>
      </c>
      <c r="Z35" s="283">
        <f t="shared" si="15"/>
        <v>41.00802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14.0</v>
      </c>
      <c r="B36" s="191" t="s">
        <v>56</v>
      </c>
      <c r="C36" s="191">
        <v>82.0</v>
      </c>
      <c r="D36" s="191">
        <v>202.0</v>
      </c>
      <c r="E36" s="191">
        <v>292.0</v>
      </c>
      <c r="F36" s="191">
        <f t="shared" si="5"/>
        <v>0</v>
      </c>
      <c r="G36" s="191">
        <f t="shared" si="6"/>
        <v>142.682296</v>
      </c>
      <c r="H36" s="192">
        <f t="shared" si="7"/>
        <v>142.682296</v>
      </c>
      <c r="I36" s="191">
        <v>1.0</v>
      </c>
      <c r="J36" s="194">
        <f t="shared" si="8"/>
        <v>142.682296</v>
      </c>
      <c r="K36" s="139"/>
      <c r="L36" s="176">
        <f t="shared" si="17"/>
        <v>5.1308</v>
      </c>
      <c r="M36" s="160">
        <f t="shared" si="18"/>
        <v>1</v>
      </c>
      <c r="N36" s="160">
        <f t="shared" si="19"/>
        <v>5.1308</v>
      </c>
      <c r="O36" s="139"/>
      <c r="P36" s="139"/>
      <c r="Q36" s="176"/>
      <c r="R36" s="281">
        <v>29.5</v>
      </c>
      <c r="S36" s="176">
        <f t="shared" si="29"/>
        <v>2.92</v>
      </c>
      <c r="T36" s="160">
        <f t="shared" si="32"/>
        <v>1</v>
      </c>
      <c r="U36" s="160">
        <f t="shared" si="30"/>
        <v>2.92</v>
      </c>
      <c r="V36" s="282">
        <f t="shared" si="12"/>
        <v>142.682296</v>
      </c>
      <c r="W36" s="176">
        <f t="shared" ref="W36:X36" si="38">C36/100</f>
        <v>0.82</v>
      </c>
      <c r="X36" s="176">
        <f t="shared" si="38"/>
        <v>2.02</v>
      </c>
      <c r="Y36" s="176">
        <f t="shared" si="14"/>
        <v>2.92</v>
      </c>
      <c r="Z36" s="283">
        <f t="shared" si="15"/>
        <v>4.836688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15.0</v>
      </c>
      <c r="B37" s="191" t="s">
        <v>56</v>
      </c>
      <c r="C37" s="191">
        <v>100.0</v>
      </c>
      <c r="D37" s="191">
        <v>202.0</v>
      </c>
      <c r="E37" s="191">
        <v>251.0</v>
      </c>
      <c r="F37" s="191">
        <f t="shared" si="5"/>
        <v>0</v>
      </c>
      <c r="G37" s="191">
        <f t="shared" si="6"/>
        <v>149.5709</v>
      </c>
      <c r="H37" s="192">
        <f t="shared" si="7"/>
        <v>149.5709</v>
      </c>
      <c r="I37" s="191">
        <v>3.0</v>
      </c>
      <c r="J37" s="194">
        <f t="shared" si="8"/>
        <v>448.7127</v>
      </c>
      <c r="K37" s="139"/>
      <c r="L37" s="176">
        <f t="shared" si="17"/>
        <v>5.1308</v>
      </c>
      <c r="M37" s="160">
        <f t="shared" si="18"/>
        <v>3</v>
      </c>
      <c r="N37" s="160">
        <f t="shared" si="19"/>
        <v>15.3924</v>
      </c>
      <c r="O37" s="139"/>
      <c r="P37" s="139"/>
      <c r="Q37" s="176"/>
      <c r="R37" s="281">
        <v>29.5</v>
      </c>
      <c r="S37" s="176">
        <f t="shared" si="29"/>
        <v>2.51</v>
      </c>
      <c r="T37" s="160">
        <f t="shared" si="32"/>
        <v>3</v>
      </c>
      <c r="U37" s="160">
        <f t="shared" si="30"/>
        <v>7.53</v>
      </c>
      <c r="V37" s="282">
        <f t="shared" si="12"/>
        <v>149.5709</v>
      </c>
      <c r="W37" s="176">
        <f t="shared" ref="W37:X37" si="39">C37/100</f>
        <v>1</v>
      </c>
      <c r="X37" s="176">
        <f t="shared" si="39"/>
        <v>2.02</v>
      </c>
      <c r="Y37" s="176">
        <f t="shared" si="14"/>
        <v>7.53</v>
      </c>
      <c r="Z37" s="283">
        <f t="shared" si="15"/>
        <v>15.2106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16.0</v>
      </c>
      <c r="B38" s="191" t="s">
        <v>56</v>
      </c>
      <c r="C38" s="191">
        <v>100.0</v>
      </c>
      <c r="D38" s="191">
        <v>202.0</v>
      </c>
      <c r="E38" s="191">
        <v>202.0</v>
      </c>
      <c r="F38" s="191">
        <f t="shared" si="5"/>
        <v>0</v>
      </c>
      <c r="G38" s="191">
        <f t="shared" si="6"/>
        <v>120.3718</v>
      </c>
      <c r="H38" s="192">
        <f t="shared" si="7"/>
        <v>120.3718</v>
      </c>
      <c r="I38" s="191">
        <v>2.0</v>
      </c>
      <c r="J38" s="194">
        <f t="shared" si="8"/>
        <v>240.7436</v>
      </c>
      <c r="K38" s="139"/>
      <c r="L38" s="176">
        <f t="shared" si="17"/>
        <v>5.1308</v>
      </c>
      <c r="M38" s="160">
        <f t="shared" si="18"/>
        <v>2</v>
      </c>
      <c r="N38" s="160">
        <f t="shared" si="19"/>
        <v>10.2616</v>
      </c>
      <c r="O38" s="139"/>
      <c r="P38" s="139"/>
      <c r="Q38" s="176"/>
      <c r="R38" s="281">
        <v>29.5</v>
      </c>
      <c r="S38" s="176">
        <f t="shared" si="29"/>
        <v>2.02</v>
      </c>
      <c r="T38" s="160">
        <f t="shared" si="32"/>
        <v>2</v>
      </c>
      <c r="U38" s="160">
        <f t="shared" si="30"/>
        <v>4.04</v>
      </c>
      <c r="V38" s="282">
        <f t="shared" si="12"/>
        <v>120.3718</v>
      </c>
      <c r="W38" s="176">
        <f t="shared" ref="W38:X38" si="40">C38/100</f>
        <v>1</v>
      </c>
      <c r="X38" s="176">
        <f t="shared" si="40"/>
        <v>2.02</v>
      </c>
      <c r="Y38" s="176">
        <f t="shared" si="14"/>
        <v>4.04</v>
      </c>
      <c r="Z38" s="283">
        <f t="shared" si="15"/>
        <v>8.1608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/>
      <c r="B39" s="191" t="s">
        <v>56</v>
      </c>
      <c r="C39" s="191">
        <v>100.0</v>
      </c>
      <c r="D39" s="191">
        <v>202.0</v>
      </c>
      <c r="E39" s="191">
        <v>202.0</v>
      </c>
      <c r="F39" s="191">
        <f t="shared" si="5"/>
        <v>0</v>
      </c>
      <c r="G39" s="191">
        <f t="shared" si="6"/>
        <v>120.3718</v>
      </c>
      <c r="H39" s="192">
        <f t="shared" si="7"/>
        <v>120.3718</v>
      </c>
      <c r="I39" s="191">
        <v>1.0</v>
      </c>
      <c r="J39" s="194">
        <f t="shared" si="8"/>
        <v>120.3718</v>
      </c>
      <c r="K39" s="139"/>
      <c r="L39" s="176">
        <f t="shared" si="17"/>
        <v>5.1308</v>
      </c>
      <c r="M39" s="160">
        <f t="shared" si="18"/>
        <v>1</v>
      </c>
      <c r="N39" s="160">
        <f t="shared" si="19"/>
        <v>5.1308</v>
      </c>
      <c r="O39" s="139"/>
      <c r="P39" s="139"/>
      <c r="Q39" s="176">
        <v>123.0</v>
      </c>
      <c r="R39" s="281">
        <v>29.5</v>
      </c>
      <c r="S39" s="176">
        <f t="shared" si="29"/>
        <v>2.02</v>
      </c>
      <c r="T39" s="160">
        <f t="shared" si="32"/>
        <v>1</v>
      </c>
      <c r="U39" s="160">
        <f t="shared" si="30"/>
        <v>2.02</v>
      </c>
      <c r="V39" s="282">
        <f t="shared" si="12"/>
        <v>120.3718</v>
      </c>
      <c r="W39" s="176">
        <f t="shared" ref="W39:X39" si="41">C39/100</f>
        <v>1</v>
      </c>
      <c r="X39" s="176">
        <f t="shared" si="41"/>
        <v>2.02</v>
      </c>
      <c r="Y39" s="176">
        <f t="shared" si="14"/>
        <v>2.02</v>
      </c>
      <c r="Z39" s="283">
        <f t="shared" si="15"/>
        <v>4.0804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17.0</v>
      </c>
      <c r="B40" s="191" t="s">
        <v>56</v>
      </c>
      <c r="C40" s="191">
        <v>101.0</v>
      </c>
      <c r="D40" s="191">
        <v>202.0</v>
      </c>
      <c r="E40" s="191">
        <v>201.0</v>
      </c>
      <c r="F40" s="191">
        <f t="shared" si="5"/>
        <v>0</v>
      </c>
      <c r="G40" s="191">
        <f t="shared" si="6"/>
        <v>120.973659</v>
      </c>
      <c r="H40" s="192">
        <f t="shared" si="7"/>
        <v>120.973659</v>
      </c>
      <c r="I40" s="191">
        <v>1.0</v>
      </c>
      <c r="J40" s="194">
        <f t="shared" si="8"/>
        <v>120.973659</v>
      </c>
      <c r="K40" s="139"/>
      <c r="L40" s="176">
        <f t="shared" si="17"/>
        <v>5.1308</v>
      </c>
      <c r="M40" s="160">
        <f t="shared" si="18"/>
        <v>1</v>
      </c>
      <c r="N40" s="160">
        <f t="shared" si="19"/>
        <v>5.1308</v>
      </c>
      <c r="O40" s="139"/>
      <c r="P40" s="139"/>
      <c r="Q40" s="176">
        <v>122.0</v>
      </c>
      <c r="R40" s="281">
        <v>29.5</v>
      </c>
      <c r="S40" s="176">
        <f t="shared" si="29"/>
        <v>2.01</v>
      </c>
      <c r="T40" s="160">
        <f t="shared" si="32"/>
        <v>1</v>
      </c>
      <c r="U40" s="160">
        <f t="shared" si="30"/>
        <v>2.01</v>
      </c>
      <c r="V40" s="282">
        <f t="shared" si="12"/>
        <v>120.973659</v>
      </c>
      <c r="W40" s="176">
        <f t="shared" ref="W40:X40" si="42">C40/100</f>
        <v>1.01</v>
      </c>
      <c r="X40" s="176">
        <f t="shared" si="42"/>
        <v>2.02</v>
      </c>
      <c r="Y40" s="176">
        <f t="shared" si="14"/>
        <v>2.01</v>
      </c>
      <c r="Z40" s="283">
        <f t="shared" si="15"/>
        <v>4.100802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18.0</v>
      </c>
      <c r="B41" s="182" t="s">
        <v>64</v>
      </c>
      <c r="C41" s="183">
        <v>90.0</v>
      </c>
      <c r="D41" s="183">
        <v>202.0</v>
      </c>
      <c r="E41" s="183">
        <v>201.0</v>
      </c>
      <c r="F41" s="183">
        <f t="shared" si="5"/>
        <v>0.8</v>
      </c>
      <c r="G41" s="183">
        <f t="shared" si="6"/>
        <v>107.79831</v>
      </c>
      <c r="H41" s="184">
        <f t="shared" si="7"/>
        <v>86.238648</v>
      </c>
      <c r="I41" s="183">
        <v>1.0</v>
      </c>
      <c r="J41" s="194">
        <f t="shared" si="8"/>
        <v>86.238648</v>
      </c>
      <c r="K41" s="139"/>
      <c r="L41" s="176">
        <f t="shared" si="17"/>
        <v>5.1308</v>
      </c>
      <c r="M41" s="160">
        <f t="shared" si="18"/>
        <v>1</v>
      </c>
      <c r="N41" s="160">
        <f t="shared" si="19"/>
        <v>5.1308</v>
      </c>
      <c r="O41" s="139"/>
      <c r="P41" s="139"/>
      <c r="Q41" s="176"/>
      <c r="R41" s="281">
        <v>29.5</v>
      </c>
      <c r="S41" s="176">
        <f t="shared" si="29"/>
        <v>2.01</v>
      </c>
      <c r="T41" s="160">
        <f t="shared" si="32"/>
        <v>1</v>
      </c>
      <c r="U41" s="160">
        <f t="shared" si="30"/>
        <v>2.01</v>
      </c>
      <c r="V41" s="282">
        <f t="shared" si="12"/>
        <v>107.79831</v>
      </c>
      <c r="W41" s="176">
        <f t="shared" ref="W41:X41" si="43">C41/100</f>
        <v>0.9</v>
      </c>
      <c r="X41" s="176">
        <f t="shared" si="43"/>
        <v>2.02</v>
      </c>
      <c r="Y41" s="176">
        <f t="shared" si="14"/>
        <v>2.01</v>
      </c>
      <c r="Z41" s="283">
        <f t="shared" si="15"/>
        <v>3.65418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19.0</v>
      </c>
      <c r="B42" s="191" t="s">
        <v>55</v>
      </c>
      <c r="C42" s="191">
        <v>96.0</v>
      </c>
      <c r="D42" s="191">
        <v>202.0</v>
      </c>
      <c r="E42" s="191">
        <v>201.0</v>
      </c>
      <c r="F42" s="191">
        <f t="shared" si="5"/>
        <v>0</v>
      </c>
      <c r="G42" s="191">
        <f t="shared" si="6"/>
        <v>114.984864</v>
      </c>
      <c r="H42" s="192">
        <f t="shared" si="7"/>
        <v>114.984864</v>
      </c>
      <c r="I42" s="191">
        <v>5.0</v>
      </c>
      <c r="J42" s="194">
        <f t="shared" si="8"/>
        <v>574.92432</v>
      </c>
      <c r="K42" s="139"/>
      <c r="L42" s="176">
        <f t="shared" si="17"/>
        <v>5.1308</v>
      </c>
      <c r="M42" s="160">
        <f t="shared" si="18"/>
        <v>5</v>
      </c>
      <c r="N42" s="160">
        <f t="shared" si="19"/>
        <v>25.654</v>
      </c>
      <c r="O42" s="139"/>
      <c r="P42" s="139"/>
      <c r="Q42" s="176"/>
      <c r="R42" s="281">
        <v>29.5</v>
      </c>
      <c r="S42" s="176">
        <f t="shared" si="29"/>
        <v>2.01</v>
      </c>
      <c r="T42" s="160">
        <f t="shared" si="32"/>
        <v>5</v>
      </c>
      <c r="U42" s="160">
        <f t="shared" si="30"/>
        <v>10.05</v>
      </c>
      <c r="V42" s="282">
        <f t="shared" si="12"/>
        <v>114.984864</v>
      </c>
      <c r="W42" s="176">
        <f t="shared" ref="W42:X42" si="44">C42/100</f>
        <v>0.96</v>
      </c>
      <c r="X42" s="176">
        <f t="shared" si="44"/>
        <v>2.02</v>
      </c>
      <c r="Y42" s="176">
        <f t="shared" si="14"/>
        <v>10.05</v>
      </c>
      <c r="Z42" s="283">
        <f t="shared" si="15"/>
        <v>19.48896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20.0</v>
      </c>
      <c r="B43" s="191" t="s">
        <v>55</v>
      </c>
      <c r="C43" s="191">
        <v>95.0</v>
      </c>
      <c r="D43" s="191">
        <v>202.0</v>
      </c>
      <c r="E43" s="191">
        <v>202.0</v>
      </c>
      <c r="F43" s="191">
        <f t="shared" si="5"/>
        <v>0</v>
      </c>
      <c r="G43" s="191">
        <f t="shared" si="6"/>
        <v>114.35321</v>
      </c>
      <c r="H43" s="192">
        <f t="shared" si="7"/>
        <v>114.35321</v>
      </c>
      <c r="I43" s="191">
        <v>32.0</v>
      </c>
      <c r="J43" s="194">
        <f t="shared" si="8"/>
        <v>3659.30272</v>
      </c>
      <c r="K43" s="139"/>
      <c r="L43" s="176">
        <f t="shared" si="17"/>
        <v>5.1308</v>
      </c>
      <c r="M43" s="160">
        <f t="shared" si="18"/>
        <v>32</v>
      </c>
      <c r="N43" s="160">
        <f t="shared" si="19"/>
        <v>164.1856</v>
      </c>
      <c r="O43" s="139"/>
      <c r="P43" s="139"/>
      <c r="Q43" s="176"/>
      <c r="R43" s="281">
        <v>29.5</v>
      </c>
      <c r="S43" s="176">
        <f t="shared" si="29"/>
        <v>2.02</v>
      </c>
      <c r="T43" s="160">
        <f t="shared" si="32"/>
        <v>32</v>
      </c>
      <c r="U43" s="160">
        <f t="shared" si="30"/>
        <v>64.64</v>
      </c>
      <c r="V43" s="282">
        <f t="shared" si="12"/>
        <v>114.35321</v>
      </c>
      <c r="W43" s="176">
        <f t="shared" ref="W43:X43" si="45">C43/100</f>
        <v>0.95</v>
      </c>
      <c r="X43" s="176">
        <f t="shared" si="45"/>
        <v>2.02</v>
      </c>
      <c r="Y43" s="176">
        <f t="shared" si="14"/>
        <v>64.64</v>
      </c>
      <c r="Z43" s="283">
        <f t="shared" si="15"/>
        <v>124.04416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/>
      <c r="B44" s="191" t="s">
        <v>55</v>
      </c>
      <c r="C44" s="191">
        <v>95.0</v>
      </c>
      <c r="D44" s="191">
        <v>202.0</v>
      </c>
      <c r="E44" s="191">
        <v>202.0</v>
      </c>
      <c r="F44" s="191">
        <f t="shared" si="5"/>
        <v>0</v>
      </c>
      <c r="G44" s="191">
        <f t="shared" si="6"/>
        <v>114.35321</v>
      </c>
      <c r="H44" s="192">
        <f t="shared" si="7"/>
        <v>114.35321</v>
      </c>
      <c r="I44" s="191">
        <v>2.0</v>
      </c>
      <c r="J44" s="194">
        <f t="shared" si="8"/>
        <v>228.70642</v>
      </c>
      <c r="K44" s="139"/>
      <c r="L44" s="176">
        <f t="shared" si="17"/>
        <v>5.1308</v>
      </c>
      <c r="M44" s="160">
        <f t="shared" si="18"/>
        <v>2</v>
      </c>
      <c r="N44" s="160">
        <f t="shared" si="19"/>
        <v>10.2616</v>
      </c>
      <c r="O44" s="139"/>
      <c r="P44" s="139"/>
      <c r="Q44" s="176">
        <v>112.0</v>
      </c>
      <c r="R44" s="281">
        <v>29.5</v>
      </c>
      <c r="S44" s="176">
        <f t="shared" si="29"/>
        <v>2.02</v>
      </c>
      <c r="T44" s="160">
        <f t="shared" si="32"/>
        <v>2</v>
      </c>
      <c r="U44" s="160">
        <f t="shared" si="30"/>
        <v>4.04</v>
      </c>
      <c r="V44" s="282">
        <f t="shared" si="12"/>
        <v>114.35321</v>
      </c>
      <c r="W44" s="176">
        <f t="shared" ref="W44:X44" si="46">C44/100</f>
        <v>0.95</v>
      </c>
      <c r="X44" s="176">
        <f t="shared" si="46"/>
        <v>2.02</v>
      </c>
      <c r="Y44" s="176">
        <f t="shared" si="14"/>
        <v>4.04</v>
      </c>
      <c r="Z44" s="283">
        <f t="shared" si="15"/>
        <v>7.75276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/>
      <c r="B45" s="191" t="s">
        <v>55</v>
      </c>
      <c r="C45" s="191">
        <v>95.0</v>
      </c>
      <c r="D45" s="191">
        <v>202.0</v>
      </c>
      <c r="E45" s="191">
        <v>202.0</v>
      </c>
      <c r="F45" s="191">
        <f t="shared" si="5"/>
        <v>0</v>
      </c>
      <c r="G45" s="191">
        <f t="shared" si="6"/>
        <v>114.35321</v>
      </c>
      <c r="H45" s="192">
        <f t="shared" si="7"/>
        <v>114.35321</v>
      </c>
      <c r="I45" s="191">
        <v>1.0</v>
      </c>
      <c r="J45" s="194">
        <f t="shared" si="8"/>
        <v>114.35321</v>
      </c>
      <c r="K45" s="139"/>
      <c r="L45" s="176">
        <f t="shared" si="17"/>
        <v>5.1308</v>
      </c>
      <c r="M45" s="160">
        <f t="shared" si="18"/>
        <v>1</v>
      </c>
      <c r="N45" s="160">
        <f t="shared" si="19"/>
        <v>5.1308</v>
      </c>
      <c r="O45" s="139"/>
      <c r="P45" s="139"/>
      <c r="Q45" s="176">
        <v>114.0</v>
      </c>
      <c r="R45" s="281">
        <v>29.5</v>
      </c>
      <c r="S45" s="176">
        <f t="shared" si="29"/>
        <v>2.02</v>
      </c>
      <c r="T45" s="160">
        <f t="shared" si="32"/>
        <v>1</v>
      </c>
      <c r="U45" s="160">
        <f t="shared" si="30"/>
        <v>2.02</v>
      </c>
      <c r="V45" s="282">
        <f t="shared" si="12"/>
        <v>114.35321</v>
      </c>
      <c r="W45" s="176">
        <f t="shared" ref="W45:X45" si="47">C45/100</f>
        <v>0.95</v>
      </c>
      <c r="X45" s="176">
        <f t="shared" si="47"/>
        <v>2.02</v>
      </c>
      <c r="Y45" s="176">
        <f t="shared" si="14"/>
        <v>2.02</v>
      </c>
      <c r="Z45" s="283">
        <f t="shared" si="15"/>
        <v>3.87638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21.0</v>
      </c>
      <c r="B46" s="191" t="s">
        <v>55</v>
      </c>
      <c r="C46" s="191">
        <v>95.0</v>
      </c>
      <c r="D46" s="191">
        <v>202.0</v>
      </c>
      <c r="E46" s="191">
        <v>201.0</v>
      </c>
      <c r="F46" s="191">
        <f t="shared" si="5"/>
        <v>0</v>
      </c>
      <c r="G46" s="191">
        <f t="shared" si="6"/>
        <v>113.787105</v>
      </c>
      <c r="H46" s="192">
        <f t="shared" si="7"/>
        <v>113.787105</v>
      </c>
      <c r="I46" s="191">
        <v>30.0</v>
      </c>
      <c r="J46" s="194">
        <f t="shared" si="8"/>
        <v>3413.61315</v>
      </c>
      <c r="K46" s="139"/>
      <c r="L46" s="176">
        <f t="shared" si="17"/>
        <v>5.1308</v>
      </c>
      <c r="M46" s="160">
        <f t="shared" si="18"/>
        <v>30</v>
      </c>
      <c r="N46" s="160">
        <f t="shared" si="19"/>
        <v>153.924</v>
      </c>
      <c r="O46" s="139"/>
      <c r="P46" s="139"/>
      <c r="Q46" s="176"/>
      <c r="R46" s="281">
        <v>29.5</v>
      </c>
      <c r="S46" s="176">
        <f t="shared" si="29"/>
        <v>2.01</v>
      </c>
      <c r="T46" s="160">
        <f t="shared" si="32"/>
        <v>30</v>
      </c>
      <c r="U46" s="160">
        <f t="shared" si="30"/>
        <v>60.3</v>
      </c>
      <c r="V46" s="282">
        <f t="shared" si="12"/>
        <v>113.787105</v>
      </c>
      <c r="W46" s="176">
        <f t="shared" ref="W46:X46" si="48">C46/100</f>
        <v>0.95</v>
      </c>
      <c r="X46" s="176">
        <f t="shared" si="48"/>
        <v>2.02</v>
      </c>
      <c r="Y46" s="176">
        <f t="shared" si="14"/>
        <v>60.3</v>
      </c>
      <c r="Z46" s="283">
        <f t="shared" si="15"/>
        <v>115.7157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/>
      <c r="B47" s="191" t="s">
        <v>55</v>
      </c>
      <c r="C47" s="191">
        <v>95.0</v>
      </c>
      <c r="D47" s="191">
        <v>202.0</v>
      </c>
      <c r="E47" s="191">
        <v>201.0</v>
      </c>
      <c r="F47" s="191">
        <f t="shared" si="5"/>
        <v>0</v>
      </c>
      <c r="G47" s="191">
        <f t="shared" si="6"/>
        <v>113.787105</v>
      </c>
      <c r="H47" s="192">
        <f t="shared" si="7"/>
        <v>113.787105</v>
      </c>
      <c r="I47" s="191">
        <v>1.0</v>
      </c>
      <c r="J47" s="194">
        <f t="shared" si="8"/>
        <v>113.787105</v>
      </c>
      <c r="K47" s="139"/>
      <c r="L47" s="176">
        <f t="shared" si="17"/>
        <v>5.1308</v>
      </c>
      <c r="M47" s="160">
        <f t="shared" si="18"/>
        <v>1</v>
      </c>
      <c r="N47" s="160">
        <f t="shared" si="19"/>
        <v>5.1308</v>
      </c>
      <c r="O47" s="139"/>
      <c r="P47" s="139"/>
      <c r="Q47" s="176">
        <v>112.0</v>
      </c>
      <c r="R47" s="281">
        <v>29.5</v>
      </c>
      <c r="S47" s="176">
        <f t="shared" si="29"/>
        <v>2.01</v>
      </c>
      <c r="T47" s="160">
        <f t="shared" si="32"/>
        <v>1</v>
      </c>
      <c r="U47" s="160">
        <f t="shared" si="30"/>
        <v>2.01</v>
      </c>
      <c r="V47" s="282">
        <f t="shared" si="12"/>
        <v>113.787105</v>
      </c>
      <c r="W47" s="176">
        <f t="shared" ref="W47:X47" si="49">C47/100</f>
        <v>0.95</v>
      </c>
      <c r="X47" s="176">
        <f t="shared" si="49"/>
        <v>2.02</v>
      </c>
      <c r="Y47" s="176">
        <f t="shared" si="14"/>
        <v>2.01</v>
      </c>
      <c r="Z47" s="283">
        <f t="shared" si="15"/>
        <v>3.85719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/>
      <c r="B48" s="191" t="s">
        <v>55</v>
      </c>
      <c r="C48" s="191">
        <v>95.0</v>
      </c>
      <c r="D48" s="191">
        <v>202.0</v>
      </c>
      <c r="E48" s="191">
        <v>201.0</v>
      </c>
      <c r="F48" s="191">
        <f t="shared" si="5"/>
        <v>0</v>
      </c>
      <c r="G48" s="191">
        <f t="shared" si="6"/>
        <v>113.787105</v>
      </c>
      <c r="H48" s="192">
        <f t="shared" si="7"/>
        <v>113.787105</v>
      </c>
      <c r="I48" s="191">
        <v>1.0</v>
      </c>
      <c r="J48" s="194">
        <f t="shared" si="8"/>
        <v>113.787105</v>
      </c>
      <c r="K48" s="139"/>
      <c r="L48" s="176">
        <f t="shared" si="17"/>
        <v>5.1308</v>
      </c>
      <c r="M48" s="160">
        <f t="shared" si="18"/>
        <v>1</v>
      </c>
      <c r="N48" s="160">
        <f t="shared" si="19"/>
        <v>5.1308</v>
      </c>
      <c r="O48" s="139"/>
      <c r="P48" s="139"/>
      <c r="Q48" s="176">
        <v>114.0</v>
      </c>
      <c r="R48" s="281">
        <v>29.5</v>
      </c>
      <c r="S48" s="176">
        <f t="shared" si="29"/>
        <v>2.01</v>
      </c>
      <c r="T48" s="160">
        <f t="shared" si="32"/>
        <v>1</v>
      </c>
      <c r="U48" s="160">
        <f t="shared" si="30"/>
        <v>2.01</v>
      </c>
      <c r="V48" s="282">
        <f t="shared" si="12"/>
        <v>113.787105</v>
      </c>
      <c r="W48" s="176">
        <f t="shared" ref="W48:X48" si="50">C48/100</f>
        <v>0.95</v>
      </c>
      <c r="X48" s="176">
        <f t="shared" si="50"/>
        <v>2.02</v>
      </c>
      <c r="Y48" s="176">
        <f t="shared" si="14"/>
        <v>2.01</v>
      </c>
      <c r="Z48" s="283">
        <f t="shared" si="15"/>
        <v>3.85719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22.0</v>
      </c>
      <c r="B49" s="191" t="s">
        <v>55</v>
      </c>
      <c r="C49" s="191">
        <v>94.0</v>
      </c>
      <c r="D49" s="191">
        <v>202.0</v>
      </c>
      <c r="E49" s="191">
        <v>232.0</v>
      </c>
      <c r="F49" s="191">
        <f t="shared" si="5"/>
        <v>0</v>
      </c>
      <c r="G49" s="191">
        <f t="shared" si="6"/>
        <v>129.953872</v>
      </c>
      <c r="H49" s="192">
        <f t="shared" si="7"/>
        <v>129.953872</v>
      </c>
      <c r="I49" s="191">
        <v>5.0</v>
      </c>
      <c r="J49" s="194">
        <f t="shared" si="8"/>
        <v>649.76936</v>
      </c>
      <c r="K49" s="139"/>
      <c r="L49" s="176">
        <f t="shared" si="17"/>
        <v>5.1308</v>
      </c>
      <c r="M49" s="160">
        <f t="shared" si="18"/>
        <v>5</v>
      </c>
      <c r="N49" s="160">
        <f t="shared" si="19"/>
        <v>25.654</v>
      </c>
      <c r="O49" s="139"/>
      <c r="P49" s="139"/>
      <c r="Q49" s="176"/>
      <c r="R49" s="281">
        <v>29.5</v>
      </c>
      <c r="S49" s="176">
        <f t="shared" si="29"/>
        <v>2.32</v>
      </c>
      <c r="T49" s="160">
        <f t="shared" si="32"/>
        <v>5</v>
      </c>
      <c r="U49" s="160">
        <f t="shared" si="30"/>
        <v>11.6</v>
      </c>
      <c r="V49" s="282">
        <f t="shared" si="12"/>
        <v>129.953872</v>
      </c>
      <c r="W49" s="176">
        <f t="shared" ref="W49:X49" si="51">C49/100</f>
        <v>0.94</v>
      </c>
      <c r="X49" s="176">
        <f t="shared" si="51"/>
        <v>2.02</v>
      </c>
      <c r="Y49" s="176">
        <f t="shared" si="14"/>
        <v>11.6</v>
      </c>
      <c r="Z49" s="283">
        <f t="shared" si="15"/>
        <v>22.02608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23.0</v>
      </c>
      <c r="B50" s="191" t="s">
        <v>55</v>
      </c>
      <c r="C50" s="191">
        <v>95.0</v>
      </c>
      <c r="D50" s="191">
        <v>202.0</v>
      </c>
      <c r="E50" s="191">
        <v>232.0</v>
      </c>
      <c r="F50" s="191">
        <f t="shared" si="5"/>
        <v>0</v>
      </c>
      <c r="G50" s="191">
        <f t="shared" si="6"/>
        <v>131.33636</v>
      </c>
      <c r="H50" s="192">
        <f t="shared" si="7"/>
        <v>131.33636</v>
      </c>
      <c r="I50" s="191">
        <v>47.0</v>
      </c>
      <c r="J50" s="194">
        <f t="shared" si="8"/>
        <v>6172.80892</v>
      </c>
      <c r="K50" s="139"/>
      <c r="L50" s="176">
        <f t="shared" si="17"/>
        <v>5.1308</v>
      </c>
      <c r="M50" s="160">
        <f t="shared" si="18"/>
        <v>47</v>
      </c>
      <c r="N50" s="160">
        <f t="shared" si="19"/>
        <v>241.1476</v>
      </c>
      <c r="O50" s="139"/>
      <c r="P50" s="139"/>
      <c r="Q50" s="176"/>
      <c r="R50" s="281">
        <v>29.5</v>
      </c>
      <c r="S50" s="176">
        <f t="shared" si="29"/>
        <v>2.32</v>
      </c>
      <c r="T50" s="160">
        <f t="shared" si="32"/>
        <v>47</v>
      </c>
      <c r="U50" s="160">
        <f t="shared" si="30"/>
        <v>109.04</v>
      </c>
      <c r="V50" s="282">
        <f t="shared" si="12"/>
        <v>131.33636</v>
      </c>
      <c r="W50" s="176">
        <f t="shared" ref="W50:X50" si="52">C50/100</f>
        <v>0.95</v>
      </c>
      <c r="X50" s="176">
        <f t="shared" si="52"/>
        <v>2.02</v>
      </c>
      <c r="Y50" s="176">
        <f t="shared" si="14"/>
        <v>109.04</v>
      </c>
      <c r="Z50" s="283">
        <f t="shared" si="15"/>
        <v>209.24776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24.0</v>
      </c>
      <c r="B51" s="191" t="s">
        <v>55</v>
      </c>
      <c r="C51" s="191">
        <v>95.0</v>
      </c>
      <c r="D51" s="191">
        <v>202.0</v>
      </c>
      <c r="E51" s="191">
        <v>231.0</v>
      </c>
      <c r="F51" s="191">
        <f t="shared" si="5"/>
        <v>0</v>
      </c>
      <c r="G51" s="191">
        <f t="shared" si="6"/>
        <v>130.770255</v>
      </c>
      <c r="H51" s="192">
        <f t="shared" si="7"/>
        <v>130.770255</v>
      </c>
      <c r="I51" s="191">
        <v>5.0</v>
      </c>
      <c r="J51" s="194">
        <f t="shared" si="8"/>
        <v>653.851275</v>
      </c>
      <c r="K51" s="139"/>
      <c r="L51" s="176">
        <f t="shared" si="17"/>
        <v>5.1308</v>
      </c>
      <c r="M51" s="160">
        <f t="shared" si="18"/>
        <v>5</v>
      </c>
      <c r="N51" s="160">
        <f t="shared" si="19"/>
        <v>25.654</v>
      </c>
      <c r="O51" s="139"/>
      <c r="P51" s="139"/>
      <c r="Q51" s="176"/>
      <c r="R51" s="281">
        <v>29.5</v>
      </c>
      <c r="S51" s="176">
        <f t="shared" si="29"/>
        <v>2.31</v>
      </c>
      <c r="T51" s="160">
        <f t="shared" si="32"/>
        <v>5</v>
      </c>
      <c r="U51" s="160">
        <f t="shared" si="30"/>
        <v>11.55</v>
      </c>
      <c r="V51" s="282">
        <f t="shared" si="12"/>
        <v>130.770255</v>
      </c>
      <c r="W51" s="176">
        <f t="shared" ref="W51:X51" si="53">C51/100</f>
        <v>0.95</v>
      </c>
      <c r="X51" s="176">
        <f t="shared" si="53"/>
        <v>2.02</v>
      </c>
      <c r="Y51" s="176">
        <f t="shared" si="14"/>
        <v>11.55</v>
      </c>
      <c r="Z51" s="283">
        <f t="shared" si="15"/>
        <v>22.16445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25.0</v>
      </c>
      <c r="B52" s="191" t="s">
        <v>55</v>
      </c>
      <c r="C52" s="191">
        <v>94.0</v>
      </c>
      <c r="D52" s="191">
        <v>202.0</v>
      </c>
      <c r="E52" s="191">
        <v>231.0</v>
      </c>
      <c r="F52" s="191">
        <f t="shared" si="5"/>
        <v>0</v>
      </c>
      <c r="G52" s="191">
        <f t="shared" si="6"/>
        <v>129.393726</v>
      </c>
      <c r="H52" s="192">
        <f t="shared" si="7"/>
        <v>129.393726</v>
      </c>
      <c r="I52" s="191">
        <v>1.0</v>
      </c>
      <c r="J52" s="194">
        <f t="shared" si="8"/>
        <v>129.393726</v>
      </c>
      <c r="K52" s="139"/>
      <c r="L52" s="176">
        <f t="shared" si="17"/>
        <v>5.1308</v>
      </c>
      <c r="M52" s="160">
        <f t="shared" si="18"/>
        <v>1</v>
      </c>
      <c r="N52" s="160">
        <f t="shared" si="19"/>
        <v>5.1308</v>
      </c>
      <c r="O52" s="139"/>
      <c r="P52" s="139"/>
      <c r="Q52" s="176"/>
      <c r="R52" s="281">
        <v>29.5</v>
      </c>
      <c r="S52" s="176">
        <f t="shared" si="29"/>
        <v>2.31</v>
      </c>
      <c r="T52" s="160">
        <f t="shared" si="32"/>
        <v>1</v>
      </c>
      <c r="U52" s="160">
        <f t="shared" si="30"/>
        <v>2.31</v>
      </c>
      <c r="V52" s="282">
        <f t="shared" si="12"/>
        <v>129.393726</v>
      </c>
      <c r="W52" s="176">
        <f t="shared" ref="W52:X52" si="54">C52/100</f>
        <v>0.94</v>
      </c>
      <c r="X52" s="176">
        <f t="shared" si="54"/>
        <v>2.02</v>
      </c>
      <c r="Y52" s="176">
        <f t="shared" si="14"/>
        <v>2.31</v>
      </c>
      <c r="Z52" s="283">
        <f t="shared" si="15"/>
        <v>4.386228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26.0</v>
      </c>
      <c r="B53" s="191" t="s">
        <v>55</v>
      </c>
      <c r="C53" s="191">
        <v>96.0</v>
      </c>
      <c r="D53" s="191">
        <v>202.0</v>
      </c>
      <c r="E53" s="191">
        <v>232.0</v>
      </c>
      <c r="F53" s="191">
        <f t="shared" si="5"/>
        <v>0</v>
      </c>
      <c r="G53" s="191">
        <f t="shared" si="6"/>
        <v>132.718848</v>
      </c>
      <c r="H53" s="192">
        <f t="shared" si="7"/>
        <v>132.718848</v>
      </c>
      <c r="I53" s="191">
        <v>1.0</v>
      </c>
      <c r="J53" s="194">
        <f t="shared" si="8"/>
        <v>132.718848</v>
      </c>
      <c r="K53" s="139"/>
      <c r="L53" s="197"/>
      <c r="M53" s="198">
        <f t="shared" si="18"/>
        <v>1</v>
      </c>
      <c r="N53" s="198"/>
      <c r="O53" s="139"/>
      <c r="P53" s="139"/>
      <c r="Q53" s="176"/>
      <c r="R53" s="281">
        <v>29.5</v>
      </c>
      <c r="S53" s="176">
        <f t="shared" si="29"/>
        <v>2.32</v>
      </c>
      <c r="T53" s="160">
        <f t="shared" si="32"/>
        <v>1</v>
      </c>
      <c r="U53" s="160">
        <f t="shared" si="30"/>
        <v>2.32</v>
      </c>
      <c r="V53" s="282">
        <f t="shared" si="12"/>
        <v>132.718848</v>
      </c>
      <c r="W53" s="176">
        <f t="shared" ref="W53:X53" si="55">C53/100</f>
        <v>0.96</v>
      </c>
      <c r="X53" s="176">
        <f t="shared" si="55"/>
        <v>2.02</v>
      </c>
      <c r="Y53" s="176">
        <f t="shared" si="14"/>
        <v>2.32</v>
      </c>
      <c r="Z53" s="283">
        <f t="shared" si="15"/>
        <v>4.498944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27.0</v>
      </c>
      <c r="B54" s="191" t="s">
        <v>55</v>
      </c>
      <c r="C54" s="191">
        <v>96.0</v>
      </c>
      <c r="D54" s="191">
        <v>202.0</v>
      </c>
      <c r="E54" s="191">
        <v>202.0</v>
      </c>
      <c r="F54" s="191">
        <f t="shared" si="5"/>
        <v>0</v>
      </c>
      <c r="G54" s="191">
        <f t="shared" si="6"/>
        <v>115.556928</v>
      </c>
      <c r="H54" s="192">
        <f t="shared" si="7"/>
        <v>115.556928</v>
      </c>
      <c r="I54" s="191">
        <v>7.0</v>
      </c>
      <c r="J54" s="194">
        <f t="shared" si="8"/>
        <v>808.898496</v>
      </c>
      <c r="K54" s="139"/>
      <c r="L54" s="197"/>
      <c r="M54" s="198">
        <f t="shared" si="18"/>
        <v>7</v>
      </c>
      <c r="N54" s="198"/>
      <c r="O54" s="139"/>
      <c r="P54" s="139"/>
      <c r="Q54" s="176"/>
      <c r="R54" s="281">
        <v>29.5</v>
      </c>
      <c r="S54" s="176">
        <f t="shared" si="29"/>
        <v>2.02</v>
      </c>
      <c r="T54" s="160">
        <f t="shared" si="32"/>
        <v>7</v>
      </c>
      <c r="U54" s="160">
        <f t="shared" si="30"/>
        <v>14.14</v>
      </c>
      <c r="V54" s="282">
        <f t="shared" si="12"/>
        <v>115.556928</v>
      </c>
      <c r="W54" s="176">
        <f t="shared" ref="W54:X54" si="56">C54/100</f>
        <v>0.96</v>
      </c>
      <c r="X54" s="176">
        <f t="shared" si="56"/>
        <v>2.02</v>
      </c>
      <c r="Y54" s="176">
        <f t="shared" si="14"/>
        <v>14.14</v>
      </c>
      <c r="Z54" s="283">
        <f t="shared" si="15"/>
        <v>27.420288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28.0</v>
      </c>
      <c r="B55" s="191" t="s">
        <v>55</v>
      </c>
      <c r="C55" s="191">
        <v>92.0</v>
      </c>
      <c r="D55" s="191">
        <v>202.0</v>
      </c>
      <c r="E55" s="191">
        <v>232.0</v>
      </c>
      <c r="F55" s="191">
        <f t="shared" si="5"/>
        <v>0</v>
      </c>
      <c r="G55" s="191">
        <f t="shared" si="6"/>
        <v>127.188896</v>
      </c>
      <c r="H55" s="192">
        <f t="shared" si="7"/>
        <v>127.188896</v>
      </c>
      <c r="I55" s="191">
        <v>1.0</v>
      </c>
      <c r="J55" s="194">
        <f t="shared" si="8"/>
        <v>127.188896</v>
      </c>
      <c r="K55" s="139"/>
      <c r="L55" s="197"/>
      <c r="M55" s="198">
        <f t="shared" si="18"/>
        <v>1</v>
      </c>
      <c r="N55" s="198"/>
      <c r="O55" s="139"/>
      <c r="P55" s="139"/>
      <c r="Q55" s="176"/>
      <c r="R55" s="281">
        <v>29.5</v>
      </c>
      <c r="S55" s="176">
        <f t="shared" si="29"/>
        <v>2.32</v>
      </c>
      <c r="T55" s="160">
        <f t="shared" si="32"/>
        <v>1</v>
      </c>
      <c r="U55" s="160">
        <f t="shared" si="30"/>
        <v>2.32</v>
      </c>
      <c r="V55" s="282">
        <f t="shared" si="12"/>
        <v>127.188896</v>
      </c>
      <c r="W55" s="176">
        <f t="shared" ref="W55:X55" si="57">C55/100</f>
        <v>0.92</v>
      </c>
      <c r="X55" s="176">
        <f t="shared" si="57"/>
        <v>2.02</v>
      </c>
      <c r="Y55" s="176">
        <f t="shared" si="14"/>
        <v>2.32</v>
      </c>
      <c r="Z55" s="283">
        <f t="shared" si="15"/>
        <v>4.311488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29.0</v>
      </c>
      <c r="B56" s="191" t="s">
        <v>55</v>
      </c>
      <c r="C56" s="191">
        <v>83.0</v>
      </c>
      <c r="D56" s="191">
        <v>202.0</v>
      </c>
      <c r="E56" s="191">
        <v>232.0</v>
      </c>
      <c r="F56" s="191">
        <f t="shared" si="5"/>
        <v>0</v>
      </c>
      <c r="G56" s="191">
        <f t="shared" si="6"/>
        <v>114.746504</v>
      </c>
      <c r="H56" s="192">
        <f t="shared" si="7"/>
        <v>114.746504</v>
      </c>
      <c r="I56" s="191">
        <v>1.0</v>
      </c>
      <c r="J56" s="194">
        <f t="shared" si="8"/>
        <v>114.746504</v>
      </c>
      <c r="K56" s="139"/>
      <c r="L56" s="197"/>
      <c r="M56" s="198">
        <f t="shared" si="18"/>
        <v>1</v>
      </c>
      <c r="N56" s="198"/>
      <c r="O56" s="139"/>
      <c r="P56" s="139"/>
      <c r="Q56" s="176"/>
      <c r="R56" s="281">
        <v>29.5</v>
      </c>
      <c r="S56" s="176">
        <f t="shared" si="29"/>
        <v>2.32</v>
      </c>
      <c r="T56" s="160">
        <f t="shared" si="32"/>
        <v>1</v>
      </c>
      <c r="U56" s="160">
        <f t="shared" si="30"/>
        <v>2.32</v>
      </c>
      <c r="V56" s="282">
        <f t="shared" si="12"/>
        <v>114.746504</v>
      </c>
      <c r="W56" s="176">
        <f t="shared" ref="W56:X56" si="58">C56/100</f>
        <v>0.83</v>
      </c>
      <c r="X56" s="176">
        <f t="shared" si="58"/>
        <v>2.02</v>
      </c>
      <c r="Y56" s="176">
        <f t="shared" si="14"/>
        <v>2.32</v>
      </c>
      <c r="Z56" s="283">
        <f t="shared" si="15"/>
        <v>3.889712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30.0</v>
      </c>
      <c r="B57" s="191" t="s">
        <v>55</v>
      </c>
      <c r="C57" s="191">
        <v>97.0</v>
      </c>
      <c r="D57" s="191">
        <v>202.0</v>
      </c>
      <c r="E57" s="191">
        <v>202.0</v>
      </c>
      <c r="F57" s="191">
        <f t="shared" si="5"/>
        <v>0</v>
      </c>
      <c r="G57" s="191">
        <f t="shared" si="6"/>
        <v>116.760646</v>
      </c>
      <c r="H57" s="192">
        <f t="shared" si="7"/>
        <v>116.760646</v>
      </c>
      <c r="I57" s="191">
        <v>1.0</v>
      </c>
      <c r="J57" s="194">
        <f t="shared" si="8"/>
        <v>116.760646</v>
      </c>
      <c r="K57" s="139"/>
      <c r="L57" s="197"/>
      <c r="M57" s="198">
        <f t="shared" si="18"/>
        <v>1</v>
      </c>
      <c r="N57" s="198"/>
      <c r="O57" s="139"/>
      <c r="P57" s="139"/>
      <c r="Q57" s="176"/>
      <c r="R57" s="281">
        <v>29.5</v>
      </c>
      <c r="S57" s="176">
        <f t="shared" si="29"/>
        <v>2.02</v>
      </c>
      <c r="T57" s="160">
        <f t="shared" si="32"/>
        <v>1</v>
      </c>
      <c r="U57" s="160">
        <f t="shared" si="30"/>
        <v>2.02</v>
      </c>
      <c r="V57" s="282">
        <f t="shared" si="12"/>
        <v>116.760646</v>
      </c>
      <c r="W57" s="176">
        <f t="shared" ref="W57:X57" si="59">C57/100</f>
        <v>0.97</v>
      </c>
      <c r="X57" s="176">
        <f t="shared" si="59"/>
        <v>2.02</v>
      </c>
      <c r="Y57" s="176">
        <f t="shared" si="14"/>
        <v>2.02</v>
      </c>
      <c r="Z57" s="283">
        <f t="shared" si="15"/>
        <v>3.957988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31.0</v>
      </c>
      <c r="B58" s="182" t="s">
        <v>93</v>
      </c>
      <c r="C58" s="183">
        <v>70.0</v>
      </c>
      <c r="D58" s="183">
        <v>205.0</v>
      </c>
      <c r="E58" s="183">
        <v>180.0</v>
      </c>
      <c r="F58" s="183">
        <f t="shared" si="5"/>
        <v>0.8</v>
      </c>
      <c r="G58" s="183">
        <f t="shared" si="6"/>
        <v>68.4495</v>
      </c>
      <c r="H58" s="184">
        <f t="shared" si="7"/>
        <v>54.7596</v>
      </c>
      <c r="I58" s="183">
        <v>1.0</v>
      </c>
      <c r="J58" s="194">
        <f t="shared" si="8"/>
        <v>54.7596</v>
      </c>
      <c r="K58" s="139"/>
      <c r="L58" s="197"/>
      <c r="M58" s="198">
        <f t="shared" si="18"/>
        <v>1</v>
      </c>
      <c r="N58" s="198"/>
      <c r="O58" s="139"/>
      <c r="P58" s="139"/>
      <c r="Q58" s="176"/>
      <c r="R58" s="281">
        <v>26.5</v>
      </c>
      <c r="S58" s="176">
        <f t="shared" si="29"/>
        <v>1.8</v>
      </c>
      <c r="T58" s="160">
        <f t="shared" si="32"/>
        <v>1</v>
      </c>
      <c r="U58" s="160">
        <f t="shared" si="30"/>
        <v>1.8</v>
      </c>
      <c r="V58" s="282">
        <f t="shared" si="12"/>
        <v>68.4495</v>
      </c>
      <c r="W58" s="176">
        <f t="shared" ref="W58:X58" si="60">C58/100</f>
        <v>0.7</v>
      </c>
      <c r="X58" s="176">
        <f t="shared" si="60"/>
        <v>2.05</v>
      </c>
      <c r="Y58" s="176">
        <f t="shared" si="14"/>
        <v>1.8</v>
      </c>
      <c r="Z58" s="283">
        <f t="shared" si="15"/>
        <v>2.583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32.0</v>
      </c>
      <c r="B59" s="191" t="s">
        <v>85</v>
      </c>
      <c r="C59" s="191">
        <v>84.0</v>
      </c>
      <c r="D59" s="191">
        <v>205.0</v>
      </c>
      <c r="E59" s="191">
        <v>210.0</v>
      </c>
      <c r="F59" s="191">
        <f t="shared" si="5"/>
        <v>0</v>
      </c>
      <c r="G59" s="191">
        <f t="shared" si="6"/>
        <v>95.8293</v>
      </c>
      <c r="H59" s="192">
        <f t="shared" si="7"/>
        <v>95.8293</v>
      </c>
      <c r="I59" s="191">
        <v>1.0</v>
      </c>
      <c r="J59" s="194">
        <f t="shared" si="8"/>
        <v>95.8293</v>
      </c>
      <c r="K59" s="139"/>
      <c r="L59" s="197"/>
      <c r="M59" s="198">
        <f t="shared" si="18"/>
        <v>1</v>
      </c>
      <c r="N59" s="198"/>
      <c r="O59" s="139"/>
      <c r="P59" s="139"/>
      <c r="Q59" s="176"/>
      <c r="R59" s="281">
        <v>26.5</v>
      </c>
      <c r="S59" s="176">
        <f t="shared" si="29"/>
        <v>2.1</v>
      </c>
      <c r="T59" s="160">
        <f t="shared" si="32"/>
        <v>1</v>
      </c>
      <c r="U59" s="160">
        <f t="shared" si="30"/>
        <v>2.1</v>
      </c>
      <c r="V59" s="282">
        <f t="shared" si="12"/>
        <v>95.8293</v>
      </c>
      <c r="W59" s="176">
        <f t="shared" ref="W59:X59" si="61">C59/100</f>
        <v>0.84</v>
      </c>
      <c r="X59" s="176">
        <f t="shared" si="61"/>
        <v>2.05</v>
      </c>
      <c r="Y59" s="176">
        <f t="shared" si="14"/>
        <v>2.1</v>
      </c>
      <c r="Z59" s="283">
        <f t="shared" si="15"/>
        <v>3.6162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33.0</v>
      </c>
      <c r="B60" s="191" t="s">
        <v>85</v>
      </c>
      <c r="C60" s="191">
        <v>95.0</v>
      </c>
      <c r="D60" s="191">
        <v>205.0</v>
      </c>
      <c r="E60" s="191">
        <v>180.0</v>
      </c>
      <c r="F60" s="191">
        <f t="shared" si="5"/>
        <v>0</v>
      </c>
      <c r="G60" s="191">
        <f t="shared" si="6"/>
        <v>92.89575</v>
      </c>
      <c r="H60" s="192">
        <f t="shared" si="7"/>
        <v>92.89575</v>
      </c>
      <c r="I60" s="191">
        <v>8.0</v>
      </c>
      <c r="J60" s="194">
        <f t="shared" si="8"/>
        <v>743.166</v>
      </c>
      <c r="K60" s="139"/>
      <c r="L60" s="197"/>
      <c r="M60" s="198">
        <f t="shared" si="18"/>
        <v>8</v>
      </c>
      <c r="N60" s="198"/>
      <c r="O60" s="139"/>
      <c r="P60" s="139"/>
      <c r="Q60" s="176"/>
      <c r="R60" s="281">
        <v>26.5</v>
      </c>
      <c r="S60" s="176">
        <f t="shared" si="29"/>
        <v>1.8</v>
      </c>
      <c r="T60" s="160">
        <f t="shared" si="32"/>
        <v>8</v>
      </c>
      <c r="U60" s="160">
        <f t="shared" si="30"/>
        <v>14.4</v>
      </c>
      <c r="V60" s="282">
        <f t="shared" si="12"/>
        <v>92.89575</v>
      </c>
      <c r="W60" s="176">
        <f t="shared" ref="W60:X60" si="62">C60/100</f>
        <v>0.95</v>
      </c>
      <c r="X60" s="176">
        <f t="shared" si="62"/>
        <v>2.05</v>
      </c>
      <c r="Y60" s="176">
        <f t="shared" si="14"/>
        <v>14.4</v>
      </c>
      <c r="Z60" s="283">
        <f t="shared" si="15"/>
        <v>28.044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/>
      <c r="B61" s="191" t="s">
        <v>85</v>
      </c>
      <c r="C61" s="191">
        <v>95.0</v>
      </c>
      <c r="D61" s="191">
        <v>205.0</v>
      </c>
      <c r="E61" s="191">
        <v>180.0</v>
      </c>
      <c r="F61" s="191">
        <f t="shared" si="5"/>
        <v>0</v>
      </c>
      <c r="G61" s="191">
        <f t="shared" si="6"/>
        <v>92.89575</v>
      </c>
      <c r="H61" s="192">
        <f t="shared" si="7"/>
        <v>92.89575</v>
      </c>
      <c r="I61" s="191">
        <v>1.0</v>
      </c>
      <c r="J61" s="194">
        <f t="shared" si="8"/>
        <v>92.89575</v>
      </c>
      <c r="K61" s="139"/>
      <c r="L61" s="197"/>
      <c r="M61" s="198">
        <f t="shared" si="18"/>
        <v>1</v>
      </c>
      <c r="N61" s="198"/>
      <c r="O61" s="139"/>
      <c r="P61" s="139"/>
      <c r="Q61" s="176">
        <v>95.0</v>
      </c>
      <c r="R61" s="281">
        <v>26.5</v>
      </c>
      <c r="S61" s="176">
        <f t="shared" si="29"/>
        <v>1.8</v>
      </c>
      <c r="T61" s="160">
        <f t="shared" si="32"/>
        <v>1</v>
      </c>
      <c r="U61" s="160">
        <f t="shared" si="30"/>
        <v>1.8</v>
      </c>
      <c r="V61" s="282">
        <f t="shared" si="12"/>
        <v>92.89575</v>
      </c>
      <c r="W61" s="176">
        <f t="shared" ref="W61:X61" si="63">C61/100</f>
        <v>0.95</v>
      </c>
      <c r="X61" s="176">
        <f t="shared" si="63"/>
        <v>2.05</v>
      </c>
      <c r="Y61" s="176">
        <f t="shared" si="14"/>
        <v>1.8</v>
      </c>
      <c r="Z61" s="283">
        <f t="shared" si="15"/>
        <v>3.5055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/>
      <c r="B62" s="191" t="s">
        <v>85</v>
      </c>
      <c r="C62" s="191">
        <v>95.0</v>
      </c>
      <c r="D62" s="191">
        <v>205.0</v>
      </c>
      <c r="E62" s="191">
        <v>180.0</v>
      </c>
      <c r="F62" s="191">
        <f t="shared" si="5"/>
        <v>0</v>
      </c>
      <c r="G62" s="191">
        <f t="shared" si="6"/>
        <v>92.89575</v>
      </c>
      <c r="H62" s="192">
        <f t="shared" si="7"/>
        <v>92.89575</v>
      </c>
      <c r="I62" s="191">
        <v>1.0</v>
      </c>
      <c r="J62" s="194">
        <f t="shared" si="8"/>
        <v>92.89575</v>
      </c>
      <c r="K62" s="139"/>
      <c r="L62" s="197"/>
      <c r="M62" s="198">
        <f t="shared" si="18"/>
        <v>1</v>
      </c>
      <c r="N62" s="198"/>
      <c r="O62" s="139"/>
      <c r="P62" s="139"/>
      <c r="Q62" s="176">
        <v>95.0</v>
      </c>
      <c r="R62" s="281">
        <v>26.5</v>
      </c>
      <c r="S62" s="176">
        <f t="shared" si="29"/>
        <v>1.8</v>
      </c>
      <c r="T62" s="160">
        <f t="shared" si="32"/>
        <v>1</v>
      </c>
      <c r="U62" s="160">
        <f t="shared" si="30"/>
        <v>1.8</v>
      </c>
      <c r="V62" s="282">
        <f t="shared" si="12"/>
        <v>92.89575</v>
      </c>
      <c r="W62" s="176">
        <f t="shared" ref="W62:X62" si="64">C62/100</f>
        <v>0.95</v>
      </c>
      <c r="X62" s="176">
        <f t="shared" si="64"/>
        <v>2.05</v>
      </c>
      <c r="Y62" s="176">
        <f t="shared" si="14"/>
        <v>1.8</v>
      </c>
      <c r="Z62" s="283">
        <f t="shared" si="15"/>
        <v>3.5055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34.0</v>
      </c>
      <c r="B63" s="191" t="s">
        <v>85</v>
      </c>
      <c r="C63" s="191">
        <v>95.0</v>
      </c>
      <c r="D63" s="191">
        <v>205.0</v>
      </c>
      <c r="E63" s="191">
        <v>179.0</v>
      </c>
      <c r="F63" s="191">
        <f t="shared" si="5"/>
        <v>0</v>
      </c>
      <c r="G63" s="191">
        <f t="shared" si="6"/>
        <v>92.3796625</v>
      </c>
      <c r="H63" s="192">
        <f t="shared" si="7"/>
        <v>92.3796625</v>
      </c>
      <c r="I63" s="191">
        <v>2.0</v>
      </c>
      <c r="J63" s="194">
        <f t="shared" si="8"/>
        <v>184.759325</v>
      </c>
      <c r="K63" s="139"/>
      <c r="L63" s="197"/>
      <c r="M63" s="198">
        <f t="shared" si="18"/>
        <v>2</v>
      </c>
      <c r="N63" s="198"/>
      <c r="O63" s="139"/>
      <c r="P63" s="139"/>
      <c r="Q63" s="176"/>
      <c r="R63" s="281">
        <v>26.5</v>
      </c>
      <c r="S63" s="176">
        <f t="shared" si="29"/>
        <v>1.79</v>
      </c>
      <c r="T63" s="160">
        <f t="shared" si="32"/>
        <v>2</v>
      </c>
      <c r="U63" s="160">
        <f t="shared" si="30"/>
        <v>3.58</v>
      </c>
      <c r="V63" s="282">
        <f t="shared" si="12"/>
        <v>92.3796625</v>
      </c>
      <c r="W63" s="176">
        <f t="shared" ref="W63:X63" si="65">C63/100</f>
        <v>0.95</v>
      </c>
      <c r="X63" s="176">
        <f t="shared" si="65"/>
        <v>2.05</v>
      </c>
      <c r="Y63" s="176">
        <f t="shared" si="14"/>
        <v>3.58</v>
      </c>
      <c r="Z63" s="283">
        <f t="shared" si="15"/>
        <v>6.97205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35.0</v>
      </c>
      <c r="B64" s="191" t="s">
        <v>85</v>
      </c>
      <c r="C64" s="191">
        <v>94.0</v>
      </c>
      <c r="D64" s="191">
        <v>205.0</v>
      </c>
      <c r="E64" s="191">
        <v>180.0</v>
      </c>
      <c r="F64" s="191">
        <f t="shared" si="5"/>
        <v>0</v>
      </c>
      <c r="G64" s="191">
        <f t="shared" si="6"/>
        <v>91.9179</v>
      </c>
      <c r="H64" s="192">
        <f t="shared" si="7"/>
        <v>91.9179</v>
      </c>
      <c r="I64" s="191">
        <v>2.0</v>
      </c>
      <c r="J64" s="194">
        <f t="shared" si="8"/>
        <v>183.8358</v>
      </c>
      <c r="K64" s="139"/>
      <c r="L64" s="197"/>
      <c r="M64" s="198">
        <f t="shared" si="18"/>
        <v>2</v>
      </c>
      <c r="N64" s="198"/>
      <c r="O64" s="139"/>
      <c r="P64" s="139"/>
      <c r="Q64" s="176"/>
      <c r="R64" s="281">
        <v>26.5</v>
      </c>
      <c r="S64" s="176">
        <f t="shared" si="29"/>
        <v>1.8</v>
      </c>
      <c r="T64" s="160">
        <f t="shared" si="32"/>
        <v>2</v>
      </c>
      <c r="U64" s="160">
        <f t="shared" si="30"/>
        <v>3.6</v>
      </c>
      <c r="V64" s="282">
        <f t="shared" si="12"/>
        <v>91.9179</v>
      </c>
      <c r="W64" s="176">
        <f t="shared" ref="W64:X64" si="66">C64/100</f>
        <v>0.94</v>
      </c>
      <c r="X64" s="176">
        <f t="shared" si="66"/>
        <v>2.05</v>
      </c>
      <c r="Y64" s="176">
        <f t="shared" si="14"/>
        <v>3.6</v>
      </c>
      <c r="Z64" s="283">
        <f t="shared" si="15"/>
        <v>6.9372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36.0</v>
      </c>
      <c r="B65" s="191" t="s">
        <v>85</v>
      </c>
      <c r="C65" s="191">
        <v>96.0</v>
      </c>
      <c r="D65" s="191">
        <v>205.0</v>
      </c>
      <c r="E65" s="191">
        <v>180.0</v>
      </c>
      <c r="F65" s="191">
        <f t="shared" si="5"/>
        <v>0</v>
      </c>
      <c r="G65" s="191">
        <f t="shared" si="6"/>
        <v>93.8736</v>
      </c>
      <c r="H65" s="192">
        <f t="shared" si="7"/>
        <v>93.8736</v>
      </c>
      <c r="I65" s="191">
        <v>1.0</v>
      </c>
      <c r="J65" s="194">
        <f t="shared" si="8"/>
        <v>93.8736</v>
      </c>
      <c r="K65" s="139"/>
      <c r="L65" s="197"/>
      <c r="M65" s="198">
        <f t="shared" si="18"/>
        <v>1</v>
      </c>
      <c r="N65" s="198"/>
      <c r="O65" s="139"/>
      <c r="P65" s="139"/>
      <c r="Q65" s="176"/>
      <c r="R65" s="281">
        <v>26.5</v>
      </c>
      <c r="S65" s="176">
        <f t="shared" si="29"/>
        <v>1.8</v>
      </c>
      <c r="T65" s="160">
        <f t="shared" si="32"/>
        <v>1</v>
      </c>
      <c r="U65" s="160">
        <f t="shared" si="30"/>
        <v>1.8</v>
      </c>
      <c r="V65" s="282">
        <f t="shared" si="12"/>
        <v>93.8736</v>
      </c>
      <c r="W65" s="176">
        <f t="shared" ref="W65:X65" si="67">C65/100</f>
        <v>0.96</v>
      </c>
      <c r="X65" s="176">
        <f t="shared" si="67"/>
        <v>2.05</v>
      </c>
      <c r="Y65" s="176">
        <f t="shared" si="14"/>
        <v>1.8</v>
      </c>
      <c r="Z65" s="283">
        <f t="shared" si="15"/>
        <v>3.5424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/>
      <c r="B66" s="191" t="s">
        <v>85</v>
      </c>
      <c r="C66" s="191">
        <v>96.0</v>
      </c>
      <c r="D66" s="191">
        <v>205.0</v>
      </c>
      <c r="E66" s="191">
        <v>180.0</v>
      </c>
      <c r="F66" s="191">
        <f t="shared" si="5"/>
        <v>0</v>
      </c>
      <c r="G66" s="191">
        <f t="shared" si="6"/>
        <v>93.8736</v>
      </c>
      <c r="H66" s="192">
        <f t="shared" si="7"/>
        <v>93.8736</v>
      </c>
      <c r="I66" s="191">
        <v>1.0</v>
      </c>
      <c r="J66" s="194">
        <f t="shared" si="8"/>
        <v>93.8736</v>
      </c>
      <c r="K66" s="139"/>
      <c r="L66" s="197"/>
      <c r="M66" s="198">
        <f t="shared" si="18"/>
        <v>1</v>
      </c>
      <c r="N66" s="198"/>
      <c r="O66" s="139"/>
      <c r="P66" s="139"/>
      <c r="Q66" s="176">
        <v>96.0</v>
      </c>
      <c r="R66" s="281">
        <v>26.5</v>
      </c>
      <c r="S66" s="176">
        <f t="shared" si="29"/>
        <v>1.8</v>
      </c>
      <c r="T66" s="160">
        <f t="shared" si="32"/>
        <v>1</v>
      </c>
      <c r="U66" s="160">
        <f t="shared" si="30"/>
        <v>1.8</v>
      </c>
      <c r="V66" s="282">
        <f t="shared" si="12"/>
        <v>93.8736</v>
      </c>
      <c r="W66" s="176">
        <f t="shared" ref="W66:X66" si="68">C66/100</f>
        <v>0.96</v>
      </c>
      <c r="X66" s="176">
        <f t="shared" si="68"/>
        <v>2.05</v>
      </c>
      <c r="Y66" s="176">
        <f t="shared" si="14"/>
        <v>1.8</v>
      </c>
      <c r="Z66" s="283">
        <f t="shared" si="15"/>
        <v>3.5424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/>
      <c r="B67" s="191" t="s">
        <v>85</v>
      </c>
      <c r="C67" s="191">
        <v>96.0</v>
      </c>
      <c r="D67" s="191">
        <v>205.0</v>
      </c>
      <c r="E67" s="191">
        <v>180.0</v>
      </c>
      <c r="F67" s="191">
        <f t="shared" si="5"/>
        <v>0</v>
      </c>
      <c r="G67" s="191">
        <f t="shared" si="6"/>
        <v>93.8736</v>
      </c>
      <c r="H67" s="192">
        <f t="shared" si="7"/>
        <v>93.8736</v>
      </c>
      <c r="I67" s="191">
        <v>1.0</v>
      </c>
      <c r="J67" s="194">
        <f t="shared" si="8"/>
        <v>93.8736</v>
      </c>
      <c r="K67" s="139"/>
      <c r="L67" s="197"/>
      <c r="M67" s="198">
        <f t="shared" si="18"/>
        <v>1</v>
      </c>
      <c r="N67" s="198"/>
      <c r="O67" s="139"/>
      <c r="P67" s="139"/>
      <c r="Q67" s="176">
        <v>97.0</v>
      </c>
      <c r="R67" s="281">
        <v>26.5</v>
      </c>
      <c r="S67" s="176">
        <f t="shared" si="29"/>
        <v>1.8</v>
      </c>
      <c r="T67" s="160">
        <f t="shared" si="32"/>
        <v>1</v>
      </c>
      <c r="U67" s="160">
        <f t="shared" si="30"/>
        <v>1.8</v>
      </c>
      <c r="V67" s="282">
        <f t="shared" si="12"/>
        <v>93.8736</v>
      </c>
      <c r="W67" s="176">
        <f t="shared" ref="W67:X67" si="69">C67/100</f>
        <v>0.96</v>
      </c>
      <c r="X67" s="176">
        <f t="shared" si="69"/>
        <v>2.05</v>
      </c>
      <c r="Y67" s="176">
        <f t="shared" si="14"/>
        <v>1.8</v>
      </c>
      <c r="Z67" s="283">
        <f t="shared" si="15"/>
        <v>3.5424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91" t="s">
        <v>85</v>
      </c>
      <c r="C68" s="191">
        <v>91.0</v>
      </c>
      <c r="D68" s="191">
        <v>205.0</v>
      </c>
      <c r="E68" s="191">
        <v>180.0</v>
      </c>
      <c r="F68" s="191">
        <f t="shared" si="5"/>
        <v>0</v>
      </c>
      <c r="G68" s="191">
        <f t="shared" si="6"/>
        <v>88.98435</v>
      </c>
      <c r="H68" s="192">
        <f t="shared" si="7"/>
        <v>88.98435</v>
      </c>
      <c r="I68" s="191">
        <v>1.0</v>
      </c>
      <c r="J68" s="194">
        <f t="shared" si="8"/>
        <v>88.98435</v>
      </c>
      <c r="K68" s="139"/>
      <c r="L68" s="197"/>
      <c r="M68" s="198">
        <f t="shared" si="18"/>
        <v>1</v>
      </c>
      <c r="N68" s="198"/>
      <c r="O68" s="139"/>
      <c r="P68" s="139"/>
      <c r="Q68" s="176"/>
      <c r="R68" s="281">
        <v>26.5</v>
      </c>
      <c r="S68" s="176">
        <f t="shared" si="29"/>
        <v>1.8</v>
      </c>
      <c r="T68" s="160">
        <f t="shared" si="32"/>
        <v>1</v>
      </c>
      <c r="U68" s="160">
        <f t="shared" si="30"/>
        <v>1.8</v>
      </c>
      <c r="V68" s="282">
        <f t="shared" si="12"/>
        <v>88.98435</v>
      </c>
      <c r="W68" s="176">
        <f t="shared" ref="W68:X68" si="70">C68/100</f>
        <v>0.91</v>
      </c>
      <c r="X68" s="176">
        <f t="shared" si="70"/>
        <v>2.05</v>
      </c>
      <c r="Y68" s="176">
        <f t="shared" si="14"/>
        <v>1.8</v>
      </c>
      <c r="Z68" s="283">
        <f t="shared" si="15"/>
        <v>3.3579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91" t="s">
        <v>85</v>
      </c>
      <c r="C69" s="191">
        <v>97.0</v>
      </c>
      <c r="D69" s="191">
        <v>205.0</v>
      </c>
      <c r="E69" s="191">
        <v>180.0</v>
      </c>
      <c r="F69" s="191">
        <f t="shared" si="5"/>
        <v>0</v>
      </c>
      <c r="G69" s="191">
        <f t="shared" si="6"/>
        <v>94.85145</v>
      </c>
      <c r="H69" s="192">
        <f t="shared" si="7"/>
        <v>94.85145</v>
      </c>
      <c r="I69" s="191">
        <v>1.0</v>
      </c>
      <c r="J69" s="194">
        <f t="shared" si="8"/>
        <v>94.85145</v>
      </c>
      <c r="K69" s="139"/>
      <c r="L69" s="197"/>
      <c r="M69" s="198">
        <f t="shared" si="18"/>
        <v>1</v>
      </c>
      <c r="N69" s="198"/>
      <c r="O69" s="139"/>
      <c r="P69" s="139"/>
      <c r="Q69" s="176"/>
      <c r="R69" s="281">
        <v>26.5</v>
      </c>
      <c r="S69" s="176">
        <f t="shared" si="29"/>
        <v>1.8</v>
      </c>
      <c r="T69" s="160">
        <f t="shared" si="32"/>
        <v>1</v>
      </c>
      <c r="U69" s="160">
        <f t="shared" si="30"/>
        <v>1.8</v>
      </c>
      <c r="V69" s="282">
        <f t="shared" si="12"/>
        <v>94.85145</v>
      </c>
      <c r="W69" s="176">
        <f t="shared" ref="W69:X69" si="71">C69/100</f>
        <v>0.97</v>
      </c>
      <c r="X69" s="176">
        <f t="shared" si="71"/>
        <v>2.05</v>
      </c>
      <c r="Y69" s="176">
        <f t="shared" si="14"/>
        <v>1.8</v>
      </c>
      <c r="Z69" s="283">
        <f t="shared" si="15"/>
        <v>3.5793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1" t="s">
        <v>85</v>
      </c>
      <c r="C70" s="191">
        <v>85.0</v>
      </c>
      <c r="D70" s="191">
        <v>205.0</v>
      </c>
      <c r="E70" s="191">
        <v>180.0</v>
      </c>
      <c r="F70" s="191">
        <f t="shared" si="5"/>
        <v>0</v>
      </c>
      <c r="G70" s="191">
        <f t="shared" si="6"/>
        <v>83.11725</v>
      </c>
      <c r="H70" s="192">
        <f t="shared" si="7"/>
        <v>83.11725</v>
      </c>
      <c r="I70" s="191">
        <v>1.0</v>
      </c>
      <c r="J70" s="194">
        <f t="shared" si="8"/>
        <v>83.11725</v>
      </c>
      <c r="K70" s="139"/>
      <c r="L70" s="197"/>
      <c r="M70" s="198">
        <f t="shared" si="18"/>
        <v>1</v>
      </c>
      <c r="N70" s="198"/>
      <c r="O70" s="139"/>
      <c r="P70" s="139"/>
      <c r="Q70" s="176">
        <v>89.0</v>
      </c>
      <c r="R70" s="281">
        <v>26.5</v>
      </c>
      <c r="S70" s="176">
        <f t="shared" si="29"/>
        <v>1.8</v>
      </c>
      <c r="T70" s="160">
        <f t="shared" si="32"/>
        <v>1</v>
      </c>
      <c r="U70" s="160">
        <f t="shared" si="30"/>
        <v>1.8</v>
      </c>
      <c r="V70" s="282">
        <f t="shared" si="12"/>
        <v>83.11725</v>
      </c>
      <c r="W70" s="176">
        <f t="shared" ref="W70:X70" si="72">C70/100</f>
        <v>0.85</v>
      </c>
      <c r="X70" s="176">
        <f t="shared" si="72"/>
        <v>2.05</v>
      </c>
      <c r="Y70" s="176">
        <f t="shared" si="14"/>
        <v>1.8</v>
      </c>
      <c r="Z70" s="283">
        <f t="shared" si="15"/>
        <v>3.1365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82" t="s">
        <v>203</v>
      </c>
      <c r="C71" s="183">
        <v>84.0</v>
      </c>
      <c r="D71" s="183">
        <v>206.0</v>
      </c>
      <c r="E71" s="183">
        <v>210.0</v>
      </c>
      <c r="F71" s="183">
        <f t="shared" si="5"/>
        <v>0.8</v>
      </c>
      <c r="G71" s="183">
        <f t="shared" si="6"/>
        <v>81.7614</v>
      </c>
      <c r="H71" s="184">
        <f t="shared" si="7"/>
        <v>65.40912</v>
      </c>
      <c r="I71" s="183">
        <v>1.0</v>
      </c>
      <c r="J71" s="194">
        <f t="shared" si="8"/>
        <v>65.40912</v>
      </c>
      <c r="K71" s="139"/>
      <c r="L71" s="197"/>
      <c r="M71" s="198">
        <f t="shared" si="18"/>
        <v>1</v>
      </c>
      <c r="N71" s="198"/>
      <c r="O71" s="139"/>
      <c r="P71" s="139"/>
      <c r="Q71" s="176"/>
      <c r="R71" s="281">
        <v>22.5</v>
      </c>
      <c r="S71" s="176">
        <f t="shared" si="29"/>
        <v>2.1</v>
      </c>
      <c r="T71" s="160">
        <f t="shared" si="32"/>
        <v>1</v>
      </c>
      <c r="U71" s="160">
        <f t="shared" si="30"/>
        <v>2.1</v>
      </c>
      <c r="V71" s="282">
        <f t="shared" si="12"/>
        <v>81.7614</v>
      </c>
      <c r="W71" s="176">
        <f t="shared" ref="W71:X71" si="73">C71/100</f>
        <v>0.84</v>
      </c>
      <c r="X71" s="176">
        <f t="shared" si="73"/>
        <v>2.06</v>
      </c>
      <c r="Y71" s="176">
        <f t="shared" si="14"/>
        <v>2.1</v>
      </c>
      <c r="Z71" s="283">
        <f t="shared" si="15"/>
        <v>3.63384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41.0</v>
      </c>
      <c r="B72" s="191" t="s">
        <v>199</v>
      </c>
      <c r="C72" s="191">
        <v>102.0</v>
      </c>
      <c r="D72" s="191">
        <v>206.0</v>
      </c>
      <c r="E72" s="191">
        <v>153.0</v>
      </c>
      <c r="F72" s="191">
        <f t="shared" si="5"/>
        <v>0</v>
      </c>
      <c r="G72" s="191">
        <f t="shared" si="6"/>
        <v>72.33381</v>
      </c>
      <c r="H72" s="192">
        <f t="shared" si="7"/>
        <v>72.33381</v>
      </c>
      <c r="I72" s="191">
        <v>1.0</v>
      </c>
      <c r="J72" s="194">
        <f t="shared" si="8"/>
        <v>72.33381</v>
      </c>
      <c r="K72" s="139"/>
      <c r="L72" s="197"/>
      <c r="M72" s="198">
        <f t="shared" si="18"/>
        <v>1</v>
      </c>
      <c r="N72" s="198"/>
      <c r="O72" s="139"/>
      <c r="P72" s="139"/>
      <c r="Q72" s="176"/>
      <c r="R72" s="281">
        <v>22.5</v>
      </c>
      <c r="S72" s="176">
        <f t="shared" si="29"/>
        <v>1.53</v>
      </c>
      <c r="T72" s="160">
        <f t="shared" si="32"/>
        <v>1</v>
      </c>
      <c r="U72" s="160">
        <f t="shared" si="30"/>
        <v>1.53</v>
      </c>
      <c r="V72" s="282">
        <f t="shared" si="12"/>
        <v>72.33381</v>
      </c>
      <c r="W72" s="176">
        <f t="shared" ref="W72:X72" si="74">C72/100</f>
        <v>1.02</v>
      </c>
      <c r="X72" s="176">
        <f t="shared" si="74"/>
        <v>2.06</v>
      </c>
      <c r="Y72" s="176">
        <f t="shared" si="14"/>
        <v>1.53</v>
      </c>
      <c r="Z72" s="283">
        <f t="shared" si="15"/>
        <v>3.214836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42.0</v>
      </c>
      <c r="B73" s="191" t="s">
        <v>199</v>
      </c>
      <c r="C73" s="191">
        <v>92.0</v>
      </c>
      <c r="D73" s="191">
        <v>206.0</v>
      </c>
      <c r="E73" s="191">
        <v>211.0</v>
      </c>
      <c r="F73" s="191">
        <f t="shared" si="5"/>
        <v>0</v>
      </c>
      <c r="G73" s="191">
        <f t="shared" si="6"/>
        <v>89.97462</v>
      </c>
      <c r="H73" s="192">
        <f t="shared" si="7"/>
        <v>89.97462</v>
      </c>
      <c r="I73" s="191">
        <v>1.0</v>
      </c>
      <c r="J73" s="194">
        <f t="shared" si="8"/>
        <v>89.97462</v>
      </c>
      <c r="K73" s="139"/>
      <c r="L73" s="197"/>
      <c r="M73" s="198">
        <f t="shared" si="18"/>
        <v>1</v>
      </c>
      <c r="N73" s="198"/>
      <c r="O73" s="139"/>
      <c r="P73" s="139"/>
      <c r="Q73" s="176"/>
      <c r="R73" s="281">
        <v>22.5</v>
      </c>
      <c r="S73" s="176">
        <f t="shared" si="29"/>
        <v>2.11</v>
      </c>
      <c r="T73" s="160">
        <f t="shared" si="32"/>
        <v>1</v>
      </c>
      <c r="U73" s="160">
        <f t="shared" si="30"/>
        <v>2.11</v>
      </c>
      <c r="V73" s="282">
        <f t="shared" si="12"/>
        <v>89.97462</v>
      </c>
      <c r="W73" s="176">
        <f t="shared" ref="W73:X73" si="75">C73/100</f>
        <v>0.92</v>
      </c>
      <c r="X73" s="176">
        <f t="shared" si="75"/>
        <v>2.06</v>
      </c>
      <c r="Y73" s="176">
        <f t="shared" si="14"/>
        <v>2.11</v>
      </c>
      <c r="Z73" s="283">
        <f t="shared" si="15"/>
        <v>3.998872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43.0</v>
      </c>
      <c r="B74" s="191" t="s">
        <v>199</v>
      </c>
      <c r="C74" s="191">
        <v>104.0</v>
      </c>
      <c r="D74" s="191">
        <v>206.0</v>
      </c>
      <c r="E74" s="191">
        <v>211.0</v>
      </c>
      <c r="F74" s="191">
        <f t="shared" si="5"/>
        <v>0</v>
      </c>
      <c r="G74" s="191">
        <f t="shared" si="6"/>
        <v>101.71044</v>
      </c>
      <c r="H74" s="192">
        <f t="shared" si="7"/>
        <v>101.71044</v>
      </c>
      <c r="I74" s="191">
        <v>1.0</v>
      </c>
      <c r="J74" s="194">
        <f t="shared" si="8"/>
        <v>101.71044</v>
      </c>
      <c r="K74" s="139"/>
      <c r="L74" s="197"/>
      <c r="M74" s="198">
        <f t="shared" si="18"/>
        <v>1</v>
      </c>
      <c r="N74" s="198"/>
      <c r="O74" s="139"/>
      <c r="P74" s="139"/>
      <c r="Q74" s="176"/>
      <c r="R74" s="281">
        <v>22.5</v>
      </c>
      <c r="S74" s="176">
        <f t="shared" si="29"/>
        <v>2.11</v>
      </c>
      <c r="T74" s="160">
        <f t="shared" si="32"/>
        <v>1</v>
      </c>
      <c r="U74" s="160">
        <f t="shared" si="30"/>
        <v>2.11</v>
      </c>
      <c r="V74" s="282">
        <f t="shared" si="12"/>
        <v>101.71044</v>
      </c>
      <c r="W74" s="176">
        <f t="shared" ref="W74:X74" si="76">C74/100</f>
        <v>1.04</v>
      </c>
      <c r="X74" s="176">
        <f t="shared" si="76"/>
        <v>2.06</v>
      </c>
      <c r="Y74" s="176">
        <f t="shared" si="14"/>
        <v>2.11</v>
      </c>
      <c r="Z74" s="283">
        <f t="shared" si="15"/>
        <v>4.520464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44.0</v>
      </c>
      <c r="B75" s="191" t="s">
        <v>199</v>
      </c>
      <c r="C75" s="191">
        <v>109.0</v>
      </c>
      <c r="D75" s="191">
        <v>206.0</v>
      </c>
      <c r="E75" s="191">
        <v>210.0</v>
      </c>
      <c r="F75" s="191">
        <f t="shared" si="5"/>
        <v>0</v>
      </c>
      <c r="G75" s="191">
        <f t="shared" si="6"/>
        <v>106.09515</v>
      </c>
      <c r="H75" s="192">
        <f t="shared" si="7"/>
        <v>106.09515</v>
      </c>
      <c r="I75" s="191">
        <v>1.0</v>
      </c>
      <c r="J75" s="194">
        <f t="shared" si="8"/>
        <v>106.09515</v>
      </c>
      <c r="K75" s="139"/>
      <c r="L75" s="197"/>
      <c r="M75" s="198">
        <f t="shared" si="18"/>
        <v>1</v>
      </c>
      <c r="N75" s="198"/>
      <c r="O75" s="139"/>
      <c r="P75" s="139"/>
      <c r="Q75" s="176"/>
      <c r="R75" s="281">
        <v>22.5</v>
      </c>
      <c r="S75" s="176">
        <f t="shared" si="29"/>
        <v>2.1</v>
      </c>
      <c r="T75" s="160">
        <f t="shared" si="32"/>
        <v>1</v>
      </c>
      <c r="U75" s="160">
        <f t="shared" si="30"/>
        <v>2.1</v>
      </c>
      <c r="V75" s="282">
        <f t="shared" si="12"/>
        <v>106.09515</v>
      </c>
      <c r="W75" s="176">
        <f t="shared" ref="W75:X75" si="77">C75/100</f>
        <v>1.09</v>
      </c>
      <c r="X75" s="176">
        <f t="shared" si="77"/>
        <v>2.06</v>
      </c>
      <c r="Y75" s="176">
        <f t="shared" si="14"/>
        <v>2.1</v>
      </c>
      <c r="Z75" s="283">
        <f t="shared" si="15"/>
        <v>4.71534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45.0</v>
      </c>
      <c r="B76" s="191" t="s">
        <v>199</v>
      </c>
      <c r="C76" s="191">
        <v>100.0</v>
      </c>
      <c r="D76" s="191">
        <v>206.0</v>
      </c>
      <c r="E76" s="191">
        <v>210.0</v>
      </c>
      <c r="F76" s="191">
        <f t="shared" si="5"/>
        <v>0</v>
      </c>
      <c r="G76" s="191">
        <f t="shared" si="6"/>
        <v>97.335</v>
      </c>
      <c r="H76" s="192">
        <f t="shared" si="7"/>
        <v>97.335</v>
      </c>
      <c r="I76" s="191">
        <v>1.0</v>
      </c>
      <c r="J76" s="194">
        <f t="shared" si="8"/>
        <v>97.335</v>
      </c>
      <c r="K76" s="139"/>
      <c r="L76" s="197"/>
      <c r="M76" s="198">
        <f t="shared" si="18"/>
        <v>1</v>
      </c>
      <c r="N76" s="198"/>
      <c r="O76" s="139"/>
      <c r="P76" s="139"/>
      <c r="Q76" s="176"/>
      <c r="R76" s="281">
        <v>22.5</v>
      </c>
      <c r="S76" s="176">
        <f t="shared" si="29"/>
        <v>2.1</v>
      </c>
      <c r="T76" s="160">
        <f t="shared" si="32"/>
        <v>1</v>
      </c>
      <c r="U76" s="160">
        <f t="shared" si="30"/>
        <v>2.1</v>
      </c>
      <c r="V76" s="282">
        <f t="shared" si="12"/>
        <v>97.335</v>
      </c>
      <c r="W76" s="176">
        <f t="shared" ref="W76:X76" si="78">C76/100</f>
        <v>1</v>
      </c>
      <c r="X76" s="176">
        <f t="shared" si="78"/>
        <v>2.06</v>
      </c>
      <c r="Y76" s="176">
        <f t="shared" si="14"/>
        <v>2.1</v>
      </c>
      <c r="Z76" s="283">
        <f t="shared" si="15"/>
        <v>4.326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46.0</v>
      </c>
      <c r="B77" s="191" t="s">
        <v>199</v>
      </c>
      <c r="C77" s="191">
        <v>109.0</v>
      </c>
      <c r="D77" s="191">
        <v>206.0</v>
      </c>
      <c r="E77" s="191">
        <v>211.0</v>
      </c>
      <c r="F77" s="191">
        <f t="shared" si="5"/>
        <v>0</v>
      </c>
      <c r="G77" s="191">
        <f t="shared" si="6"/>
        <v>106.600365</v>
      </c>
      <c r="H77" s="192">
        <f t="shared" si="7"/>
        <v>106.600365</v>
      </c>
      <c r="I77" s="191">
        <v>2.0</v>
      </c>
      <c r="J77" s="194">
        <f t="shared" si="8"/>
        <v>213.20073</v>
      </c>
      <c r="K77" s="139"/>
      <c r="L77" s="197"/>
      <c r="M77" s="198">
        <f t="shared" si="18"/>
        <v>2</v>
      </c>
      <c r="N77" s="198"/>
      <c r="O77" s="139"/>
      <c r="P77" s="139"/>
      <c r="Q77" s="176"/>
      <c r="R77" s="281">
        <v>22.5</v>
      </c>
      <c r="S77" s="176">
        <f t="shared" si="29"/>
        <v>2.11</v>
      </c>
      <c r="T77" s="160">
        <f t="shared" si="32"/>
        <v>2</v>
      </c>
      <c r="U77" s="160">
        <f t="shared" si="30"/>
        <v>4.22</v>
      </c>
      <c r="V77" s="282">
        <f t="shared" si="12"/>
        <v>106.600365</v>
      </c>
      <c r="W77" s="176">
        <f t="shared" ref="W77:X77" si="79">C77/100</f>
        <v>1.09</v>
      </c>
      <c r="X77" s="176">
        <f t="shared" si="79"/>
        <v>2.06</v>
      </c>
      <c r="Y77" s="176">
        <f t="shared" si="14"/>
        <v>4.22</v>
      </c>
      <c r="Z77" s="283">
        <f t="shared" si="15"/>
        <v>9.475588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47.0</v>
      </c>
      <c r="B78" s="191" t="s">
        <v>199</v>
      </c>
      <c r="C78" s="191">
        <v>109.0</v>
      </c>
      <c r="D78" s="191">
        <v>206.0</v>
      </c>
      <c r="E78" s="191">
        <v>212.0</v>
      </c>
      <c r="F78" s="191">
        <f t="shared" si="5"/>
        <v>0</v>
      </c>
      <c r="G78" s="191">
        <f t="shared" si="6"/>
        <v>107.10558</v>
      </c>
      <c r="H78" s="192">
        <f t="shared" si="7"/>
        <v>107.10558</v>
      </c>
      <c r="I78" s="191">
        <v>1.0</v>
      </c>
      <c r="J78" s="194">
        <f t="shared" si="8"/>
        <v>107.10558</v>
      </c>
      <c r="K78" s="139"/>
      <c r="L78" s="197"/>
      <c r="M78" s="198">
        <f t="shared" si="18"/>
        <v>1</v>
      </c>
      <c r="N78" s="198"/>
      <c r="O78" s="139"/>
      <c r="P78" s="139"/>
      <c r="Q78" s="176"/>
      <c r="R78" s="281">
        <v>22.5</v>
      </c>
      <c r="S78" s="176">
        <f t="shared" si="29"/>
        <v>2.12</v>
      </c>
      <c r="T78" s="160">
        <f t="shared" si="32"/>
        <v>1</v>
      </c>
      <c r="U78" s="160">
        <f t="shared" si="30"/>
        <v>2.12</v>
      </c>
      <c r="V78" s="282">
        <f t="shared" si="12"/>
        <v>107.10558</v>
      </c>
      <c r="W78" s="176">
        <f t="shared" ref="W78:X78" si="80">C78/100</f>
        <v>1.09</v>
      </c>
      <c r="X78" s="176">
        <f t="shared" si="80"/>
        <v>2.06</v>
      </c>
      <c r="Y78" s="176">
        <f t="shared" si="14"/>
        <v>2.12</v>
      </c>
      <c r="Z78" s="283">
        <f t="shared" si="15"/>
        <v>4.760248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48.0</v>
      </c>
      <c r="B79" s="191" t="s">
        <v>199</v>
      </c>
      <c r="C79" s="191">
        <v>106.0</v>
      </c>
      <c r="D79" s="191">
        <v>206.0</v>
      </c>
      <c r="E79" s="191">
        <v>212.0</v>
      </c>
      <c r="F79" s="191">
        <f t="shared" si="5"/>
        <v>0</v>
      </c>
      <c r="G79" s="191">
        <f t="shared" si="6"/>
        <v>104.15772</v>
      </c>
      <c r="H79" s="192">
        <f t="shared" si="7"/>
        <v>104.15772</v>
      </c>
      <c r="I79" s="191">
        <v>1.0</v>
      </c>
      <c r="J79" s="194">
        <f t="shared" si="8"/>
        <v>104.15772</v>
      </c>
      <c r="K79" s="139"/>
      <c r="L79" s="197"/>
      <c r="M79" s="198">
        <f t="shared" si="18"/>
        <v>1</v>
      </c>
      <c r="N79" s="198"/>
      <c r="O79" s="139"/>
      <c r="P79" s="139"/>
      <c r="Q79" s="176"/>
      <c r="R79" s="281">
        <v>22.5</v>
      </c>
      <c r="S79" s="176">
        <f t="shared" si="29"/>
        <v>2.12</v>
      </c>
      <c r="T79" s="160">
        <f t="shared" si="32"/>
        <v>1</v>
      </c>
      <c r="U79" s="160">
        <f t="shared" si="30"/>
        <v>2.12</v>
      </c>
      <c r="V79" s="282">
        <f t="shared" si="12"/>
        <v>104.15772</v>
      </c>
      <c r="W79" s="176">
        <f t="shared" ref="W79:X79" si="81">C79/100</f>
        <v>1.06</v>
      </c>
      <c r="X79" s="176">
        <f t="shared" si="81"/>
        <v>2.06</v>
      </c>
      <c r="Y79" s="176">
        <f t="shared" si="14"/>
        <v>2.12</v>
      </c>
      <c r="Z79" s="283">
        <f t="shared" si="15"/>
        <v>4.629232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49.0</v>
      </c>
      <c r="B80" s="191" t="s">
        <v>199</v>
      </c>
      <c r="C80" s="191">
        <v>110.0</v>
      </c>
      <c r="D80" s="191">
        <v>206.0</v>
      </c>
      <c r="E80" s="191">
        <v>212.0</v>
      </c>
      <c r="F80" s="191">
        <f t="shared" si="5"/>
        <v>0</v>
      </c>
      <c r="G80" s="191">
        <f t="shared" si="6"/>
        <v>108.0882</v>
      </c>
      <c r="H80" s="192">
        <f t="shared" si="7"/>
        <v>108.0882</v>
      </c>
      <c r="I80" s="191">
        <v>1.0</v>
      </c>
      <c r="J80" s="194">
        <f t="shared" si="8"/>
        <v>108.0882</v>
      </c>
      <c r="K80" s="139"/>
      <c r="L80" s="197"/>
      <c r="M80" s="198">
        <f t="shared" si="18"/>
        <v>1</v>
      </c>
      <c r="N80" s="198"/>
      <c r="O80" s="139"/>
      <c r="P80" s="139"/>
      <c r="Q80" s="176">
        <v>116.0</v>
      </c>
      <c r="R80" s="281">
        <v>22.5</v>
      </c>
      <c r="S80" s="176">
        <f t="shared" si="29"/>
        <v>2.12</v>
      </c>
      <c r="T80" s="160">
        <f t="shared" si="32"/>
        <v>1</v>
      </c>
      <c r="U80" s="160">
        <f t="shared" si="30"/>
        <v>2.12</v>
      </c>
      <c r="V80" s="282">
        <f t="shared" si="12"/>
        <v>108.0882</v>
      </c>
      <c r="W80" s="176">
        <f t="shared" ref="W80:X80" si="82">C80/100</f>
        <v>1.1</v>
      </c>
      <c r="X80" s="176">
        <f t="shared" si="82"/>
        <v>2.06</v>
      </c>
      <c r="Y80" s="176">
        <f t="shared" si="14"/>
        <v>2.12</v>
      </c>
      <c r="Z80" s="283">
        <f t="shared" si="15"/>
        <v>4.80392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/>
      <c r="B81" s="191" t="s">
        <v>199</v>
      </c>
      <c r="C81" s="191">
        <v>110.0</v>
      </c>
      <c r="D81" s="191">
        <v>206.0</v>
      </c>
      <c r="E81" s="191">
        <v>212.0</v>
      </c>
      <c r="F81" s="191">
        <f t="shared" si="5"/>
        <v>0</v>
      </c>
      <c r="G81" s="191">
        <f t="shared" si="6"/>
        <v>108.0882</v>
      </c>
      <c r="H81" s="192">
        <f t="shared" si="7"/>
        <v>108.0882</v>
      </c>
      <c r="I81" s="191">
        <v>1.0</v>
      </c>
      <c r="J81" s="194">
        <f t="shared" si="8"/>
        <v>108.0882</v>
      </c>
      <c r="K81" s="139"/>
      <c r="L81" s="197"/>
      <c r="M81" s="198">
        <f t="shared" si="18"/>
        <v>1</v>
      </c>
      <c r="N81" s="198"/>
      <c r="O81" s="139"/>
      <c r="P81" s="139"/>
      <c r="Q81" s="176"/>
      <c r="R81" s="281">
        <v>22.5</v>
      </c>
      <c r="S81" s="176">
        <f t="shared" si="29"/>
        <v>2.12</v>
      </c>
      <c r="T81" s="160">
        <f t="shared" si="32"/>
        <v>1</v>
      </c>
      <c r="U81" s="160">
        <f t="shared" si="30"/>
        <v>2.12</v>
      </c>
      <c r="V81" s="282">
        <f t="shared" si="12"/>
        <v>108.0882</v>
      </c>
      <c r="W81" s="176">
        <f t="shared" ref="W81:X81" si="83">C81/100</f>
        <v>1.1</v>
      </c>
      <c r="X81" s="176">
        <f t="shared" si="83"/>
        <v>2.06</v>
      </c>
      <c r="Y81" s="176">
        <f t="shared" si="14"/>
        <v>2.12</v>
      </c>
      <c r="Z81" s="283">
        <f t="shared" si="15"/>
        <v>4.80392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60">
        <v>50.0</v>
      </c>
      <c r="B82" s="191" t="s">
        <v>199</v>
      </c>
      <c r="C82" s="191">
        <v>110.0</v>
      </c>
      <c r="D82" s="191">
        <v>206.0</v>
      </c>
      <c r="E82" s="191">
        <v>211.0</v>
      </c>
      <c r="F82" s="191">
        <f t="shared" si="5"/>
        <v>0</v>
      </c>
      <c r="G82" s="191">
        <f t="shared" si="6"/>
        <v>107.57835</v>
      </c>
      <c r="H82" s="192">
        <f t="shared" si="7"/>
        <v>107.57835</v>
      </c>
      <c r="I82" s="191">
        <v>2.0</v>
      </c>
      <c r="J82" s="194">
        <f t="shared" si="8"/>
        <v>215.1567</v>
      </c>
      <c r="K82" s="139"/>
      <c r="L82" s="197"/>
      <c r="M82" s="198">
        <f t="shared" si="18"/>
        <v>2</v>
      </c>
      <c r="N82" s="198"/>
      <c r="O82" s="139"/>
      <c r="P82" s="139"/>
      <c r="Q82" s="176"/>
      <c r="R82" s="281">
        <v>22.5</v>
      </c>
      <c r="S82" s="176">
        <f t="shared" si="29"/>
        <v>2.11</v>
      </c>
      <c r="T82" s="160">
        <f t="shared" si="32"/>
        <v>2</v>
      </c>
      <c r="U82" s="160">
        <f t="shared" si="30"/>
        <v>4.22</v>
      </c>
      <c r="V82" s="282">
        <f t="shared" si="12"/>
        <v>107.57835</v>
      </c>
      <c r="W82" s="176">
        <f t="shared" ref="W82:X82" si="84">C82/100</f>
        <v>1.1</v>
      </c>
      <c r="X82" s="176">
        <f t="shared" si="84"/>
        <v>2.06</v>
      </c>
      <c r="Y82" s="176">
        <f t="shared" si="14"/>
        <v>4.22</v>
      </c>
      <c r="Z82" s="283">
        <f t="shared" si="15"/>
        <v>9.56252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customHeight="1">
      <c r="A83" s="160"/>
      <c r="B83" s="191" t="s">
        <v>199</v>
      </c>
      <c r="C83" s="191">
        <v>110.0</v>
      </c>
      <c r="D83" s="191">
        <v>206.0</v>
      </c>
      <c r="E83" s="191">
        <v>211.0</v>
      </c>
      <c r="F83" s="191">
        <f t="shared" si="5"/>
        <v>0</v>
      </c>
      <c r="G83" s="191">
        <f t="shared" si="6"/>
        <v>107.57835</v>
      </c>
      <c r="H83" s="192">
        <f t="shared" si="7"/>
        <v>107.57835</v>
      </c>
      <c r="I83" s="191">
        <v>1.0</v>
      </c>
      <c r="J83" s="194">
        <f t="shared" si="8"/>
        <v>107.57835</v>
      </c>
      <c r="K83" s="139"/>
      <c r="L83" s="197"/>
      <c r="M83" s="198">
        <f t="shared" si="18"/>
        <v>1</v>
      </c>
      <c r="N83" s="198"/>
      <c r="O83" s="139"/>
      <c r="P83" s="139"/>
      <c r="Q83" s="176">
        <v>114.0</v>
      </c>
      <c r="R83" s="281">
        <v>22.5</v>
      </c>
      <c r="S83" s="176">
        <f t="shared" si="29"/>
        <v>2.11</v>
      </c>
      <c r="T83" s="160">
        <f t="shared" si="32"/>
        <v>1</v>
      </c>
      <c r="U83" s="160">
        <f t="shared" si="30"/>
        <v>2.11</v>
      </c>
      <c r="V83" s="282">
        <f t="shared" si="12"/>
        <v>107.57835</v>
      </c>
      <c r="W83" s="176">
        <f t="shared" ref="W83:X83" si="85">C83/100</f>
        <v>1.1</v>
      </c>
      <c r="X83" s="176">
        <f t="shared" si="85"/>
        <v>2.06</v>
      </c>
      <c r="Y83" s="176">
        <f t="shared" si="14"/>
        <v>2.11</v>
      </c>
      <c r="Z83" s="283">
        <f t="shared" si="15"/>
        <v>4.78126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customHeight="1">
      <c r="A84" s="160">
        <v>51.0</v>
      </c>
      <c r="B84" s="191" t="s">
        <v>199</v>
      </c>
      <c r="C84" s="191">
        <v>102.0</v>
      </c>
      <c r="D84" s="191">
        <v>206.0</v>
      </c>
      <c r="E84" s="191">
        <v>126.0</v>
      </c>
      <c r="F84" s="191">
        <f t="shared" si="5"/>
        <v>0</v>
      </c>
      <c r="G84" s="191">
        <f t="shared" si="6"/>
        <v>59.56902</v>
      </c>
      <c r="H84" s="192">
        <f t="shared" si="7"/>
        <v>59.56902</v>
      </c>
      <c r="I84" s="191">
        <v>1.0</v>
      </c>
      <c r="J84" s="194">
        <f t="shared" si="8"/>
        <v>59.56902</v>
      </c>
      <c r="K84" s="139"/>
      <c r="L84" s="197"/>
      <c r="M84" s="198">
        <f t="shared" si="18"/>
        <v>1</v>
      </c>
      <c r="N84" s="198"/>
      <c r="O84" s="139"/>
      <c r="P84" s="139"/>
      <c r="Q84" s="176"/>
      <c r="R84" s="281">
        <v>22.5</v>
      </c>
      <c r="S84" s="176">
        <f t="shared" si="29"/>
        <v>1.26</v>
      </c>
      <c r="T84" s="160">
        <f t="shared" si="32"/>
        <v>1</v>
      </c>
      <c r="U84" s="160">
        <f t="shared" si="30"/>
        <v>1.26</v>
      </c>
      <c r="V84" s="282">
        <f t="shared" si="12"/>
        <v>59.56902</v>
      </c>
      <c r="W84" s="176">
        <f t="shared" ref="W84:X84" si="86">C84/100</f>
        <v>1.02</v>
      </c>
      <c r="X84" s="176">
        <f t="shared" si="86"/>
        <v>2.06</v>
      </c>
      <c r="Y84" s="176">
        <f t="shared" si="14"/>
        <v>1.26</v>
      </c>
      <c r="Z84" s="283">
        <f t="shared" si="15"/>
        <v>2.647512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customHeight="1">
      <c r="A85" s="160">
        <v>52.0</v>
      </c>
      <c r="B85" s="191" t="s">
        <v>199</v>
      </c>
      <c r="C85" s="191">
        <v>103.0</v>
      </c>
      <c r="D85" s="191">
        <v>206.0</v>
      </c>
      <c r="E85" s="191">
        <v>211.0</v>
      </c>
      <c r="F85" s="191">
        <f t="shared" si="5"/>
        <v>0</v>
      </c>
      <c r="G85" s="191">
        <f t="shared" si="6"/>
        <v>100.732455</v>
      </c>
      <c r="H85" s="192">
        <f t="shared" si="7"/>
        <v>100.732455</v>
      </c>
      <c r="I85" s="191">
        <v>1.0</v>
      </c>
      <c r="J85" s="194">
        <f t="shared" si="8"/>
        <v>100.732455</v>
      </c>
      <c r="K85" s="139"/>
      <c r="L85" s="197"/>
      <c r="M85" s="198">
        <f t="shared" si="18"/>
        <v>1</v>
      </c>
      <c r="N85" s="198"/>
      <c r="O85" s="139"/>
      <c r="P85" s="139"/>
      <c r="Q85" s="176">
        <v>95.0</v>
      </c>
      <c r="R85" s="281">
        <v>22.5</v>
      </c>
      <c r="S85" s="176">
        <f t="shared" si="29"/>
        <v>2.11</v>
      </c>
      <c r="T85" s="160">
        <f t="shared" si="32"/>
        <v>1</v>
      </c>
      <c r="U85" s="160">
        <f t="shared" si="30"/>
        <v>2.11</v>
      </c>
      <c r="V85" s="282">
        <f t="shared" si="12"/>
        <v>100.732455</v>
      </c>
      <c r="W85" s="176">
        <f t="shared" ref="W85:X85" si="87">C85/100</f>
        <v>1.03</v>
      </c>
      <c r="X85" s="176">
        <f t="shared" si="87"/>
        <v>2.06</v>
      </c>
      <c r="Y85" s="176">
        <f t="shared" si="14"/>
        <v>2.11</v>
      </c>
      <c r="Z85" s="283">
        <f t="shared" si="15"/>
        <v>4.476998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customHeight="1">
      <c r="A86" s="160">
        <v>53.0</v>
      </c>
      <c r="B86" s="191" t="s">
        <v>199</v>
      </c>
      <c r="C86" s="191">
        <v>103.0</v>
      </c>
      <c r="D86" s="191">
        <v>206.0</v>
      </c>
      <c r="E86" s="191">
        <v>212.0</v>
      </c>
      <c r="F86" s="191">
        <f t="shared" si="5"/>
        <v>0</v>
      </c>
      <c r="G86" s="191">
        <f t="shared" si="6"/>
        <v>101.20986</v>
      </c>
      <c r="H86" s="192">
        <f t="shared" si="7"/>
        <v>101.20986</v>
      </c>
      <c r="I86" s="191">
        <v>1.0</v>
      </c>
      <c r="J86" s="194">
        <f t="shared" si="8"/>
        <v>101.20986</v>
      </c>
      <c r="K86" s="139"/>
      <c r="L86" s="197"/>
      <c r="M86" s="198">
        <f t="shared" si="18"/>
        <v>1</v>
      </c>
      <c r="N86" s="198"/>
      <c r="O86" s="139"/>
      <c r="P86" s="139"/>
      <c r="Q86" s="176">
        <v>112.0</v>
      </c>
      <c r="R86" s="281">
        <v>22.5</v>
      </c>
      <c r="S86" s="176">
        <f t="shared" si="29"/>
        <v>2.12</v>
      </c>
      <c r="T86" s="160">
        <f t="shared" si="32"/>
        <v>1</v>
      </c>
      <c r="U86" s="160">
        <f t="shared" si="30"/>
        <v>2.12</v>
      </c>
      <c r="V86" s="282">
        <f t="shared" si="12"/>
        <v>101.20986</v>
      </c>
      <c r="W86" s="176">
        <f t="shared" ref="W86:X86" si="88">C86/100</f>
        <v>1.03</v>
      </c>
      <c r="X86" s="176">
        <f t="shared" si="88"/>
        <v>2.06</v>
      </c>
      <c r="Y86" s="176">
        <f t="shared" si="14"/>
        <v>2.12</v>
      </c>
      <c r="Z86" s="283">
        <f t="shared" si="15"/>
        <v>4.498216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customHeight="1">
      <c r="A87" s="160">
        <v>54.0</v>
      </c>
      <c r="B87" s="191" t="s">
        <v>199</v>
      </c>
      <c r="C87" s="191">
        <v>116.0</v>
      </c>
      <c r="D87" s="191">
        <v>206.0</v>
      </c>
      <c r="E87" s="191">
        <v>212.0</v>
      </c>
      <c r="F87" s="191">
        <f t="shared" si="5"/>
        <v>0</v>
      </c>
      <c r="G87" s="191">
        <f t="shared" si="6"/>
        <v>113.98392</v>
      </c>
      <c r="H87" s="192">
        <f t="shared" si="7"/>
        <v>113.98392</v>
      </c>
      <c r="I87" s="191">
        <v>1.0</v>
      </c>
      <c r="J87" s="194">
        <f t="shared" si="8"/>
        <v>113.98392</v>
      </c>
      <c r="K87" s="139"/>
      <c r="L87" s="197"/>
      <c r="M87" s="198">
        <f t="shared" si="18"/>
        <v>1</v>
      </c>
      <c r="N87" s="198"/>
      <c r="O87" s="139"/>
      <c r="P87" s="139"/>
      <c r="Q87" s="176">
        <v>95.0</v>
      </c>
      <c r="R87" s="281">
        <v>22.5</v>
      </c>
      <c r="S87" s="176">
        <f t="shared" si="29"/>
        <v>2.12</v>
      </c>
      <c r="T87" s="160">
        <f t="shared" si="32"/>
        <v>1</v>
      </c>
      <c r="U87" s="160">
        <f t="shared" si="30"/>
        <v>2.12</v>
      </c>
      <c r="V87" s="282">
        <f t="shared" si="12"/>
        <v>113.98392</v>
      </c>
      <c r="W87" s="176">
        <f t="shared" ref="W87:X87" si="89">C87/100</f>
        <v>1.16</v>
      </c>
      <c r="X87" s="176">
        <f t="shared" si="89"/>
        <v>2.06</v>
      </c>
      <c r="Y87" s="176">
        <f t="shared" si="14"/>
        <v>2.12</v>
      </c>
      <c r="Z87" s="283">
        <f t="shared" si="15"/>
        <v>5.065952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customHeight="1">
      <c r="A88" s="160"/>
      <c r="B88" s="176"/>
      <c r="C88" s="176"/>
      <c r="D88" s="176"/>
      <c r="E88" s="176"/>
      <c r="F88" s="176"/>
      <c r="G88" s="176"/>
      <c r="H88" s="179"/>
      <c r="I88" s="160"/>
      <c r="J88" s="203">
        <f>+Q119</f>
        <v>137.2</v>
      </c>
      <c r="K88" s="139"/>
      <c r="L88" s="139"/>
      <c r="M88" s="139"/>
      <c r="N88" s="139"/>
      <c r="O88" s="139"/>
      <c r="P88" s="139"/>
      <c r="Q88" s="139"/>
      <c r="R88" s="204"/>
      <c r="S88" s="187">
        <f t="shared" si="29"/>
        <v>0</v>
      </c>
      <c r="T88" s="181" t="str">
        <f t="shared" si="32"/>
        <v/>
      </c>
      <c r="U88" s="181">
        <f t="shared" si="30"/>
        <v>0</v>
      </c>
      <c r="V88" s="186"/>
      <c r="W88" s="187">
        <f t="shared" ref="W88:X88" si="90">C88/100</f>
        <v>0</v>
      </c>
      <c r="X88" s="187">
        <f t="shared" si="90"/>
        <v>0</v>
      </c>
      <c r="Y88" s="187">
        <f t="shared" si="14"/>
        <v>0</v>
      </c>
      <c r="Z88" s="18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60"/>
      <c r="B89" s="205"/>
      <c r="C89" s="205"/>
      <c r="D89" s="205"/>
      <c r="E89" s="205"/>
      <c r="F89" s="205"/>
      <c r="G89" s="205"/>
      <c r="H89" s="206"/>
      <c r="I89" s="207">
        <f>SUM(I20:I87)</f>
        <v>283</v>
      </c>
      <c r="J89" s="208">
        <f>SUM(J20:J88)</f>
        <v>40035.448</v>
      </c>
      <c r="K89" s="209"/>
      <c r="L89" s="209"/>
      <c r="M89" s="209"/>
      <c r="N89" s="209"/>
      <c r="O89" s="209"/>
      <c r="P89" s="209"/>
      <c r="Q89" s="209"/>
      <c r="R89" s="141"/>
      <c r="S89" s="209">
        <f>+SUM(S20:S88)</f>
        <v>164.98</v>
      </c>
      <c r="T89" s="209">
        <f t="shared" ref="T89:U89" si="91">SUM(T20:T88)</f>
        <v>411.788096</v>
      </c>
      <c r="U89" s="209" t="str">
        <f t="shared" si="91"/>
        <v>#VALUE!</v>
      </c>
      <c r="V89" s="209"/>
      <c r="W89" s="209"/>
      <c r="X89" s="209"/>
      <c r="Y89" s="209"/>
      <c r="Z89" s="210" t="str">
        <f>SUM(Z20:Z88)</f>
        <v>#VALUE!</v>
      </c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</row>
    <row r="90" ht="29.25" customHeight="1">
      <c r="A90" s="139"/>
      <c r="B90" s="139"/>
      <c r="C90" s="139"/>
      <c r="D90" s="139"/>
      <c r="E90" s="139"/>
      <c r="F90" s="139"/>
      <c r="G90" s="139"/>
      <c r="H90" s="140"/>
      <c r="I90" s="139"/>
      <c r="J90" s="139"/>
      <c r="K90" s="139"/>
      <c r="L90" s="139"/>
      <c r="M90" s="139"/>
      <c r="N90" s="139"/>
      <c r="O90" s="139"/>
      <c r="P90" s="139"/>
      <c r="Q90" s="139"/>
      <c r="R90" s="141"/>
      <c r="S90" s="186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9.25" customHeight="1">
      <c r="A91" s="139"/>
      <c r="B91" s="139"/>
      <c r="C91" s="139"/>
      <c r="D91" s="139"/>
      <c r="E91" s="139"/>
      <c r="F91" s="139"/>
      <c r="G91" s="139"/>
      <c r="H91" s="140"/>
      <c r="I91" s="139"/>
      <c r="J91" s="139"/>
      <c r="K91" s="139"/>
      <c r="L91" s="139"/>
      <c r="M91" s="139"/>
      <c r="N91" s="139"/>
      <c r="O91" s="139"/>
      <c r="P91" s="139"/>
      <c r="Q91" s="139"/>
      <c r="R91" s="204"/>
      <c r="S91" s="139"/>
      <c r="T91" s="139" t="s">
        <v>48</v>
      </c>
      <c r="U91" s="139" t="s">
        <v>72</v>
      </c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9.25" customHeight="1">
      <c r="A92" s="139"/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139"/>
      <c r="R92" s="141"/>
      <c r="S92" s="139"/>
      <c r="T92" s="211"/>
      <c r="U92" s="212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9.25" customHeight="1">
      <c r="A93" s="139" t="s">
        <v>32</v>
      </c>
      <c r="B93" s="139"/>
      <c r="C93" s="139"/>
      <c r="D93" s="139" t="s">
        <v>33</v>
      </c>
      <c r="E93" s="139"/>
      <c r="F93" s="139"/>
      <c r="G93" s="139"/>
      <c r="H93" s="140"/>
      <c r="I93" s="139"/>
      <c r="J93" s="139"/>
      <c r="K93" s="139"/>
      <c r="L93" s="139"/>
      <c r="M93" s="139"/>
      <c r="N93" s="139"/>
      <c r="O93" s="139"/>
      <c r="P93" s="139"/>
      <c r="Q93" s="139"/>
      <c r="R93" s="141"/>
      <c r="S93" s="139" t="s">
        <v>34</v>
      </c>
      <c r="T93" s="213">
        <f>+J89</f>
        <v>40035.448</v>
      </c>
      <c r="U93" s="212" t="str">
        <f>+U89</f>
        <v>#VALUE!</v>
      </c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9.25" customHeight="1">
      <c r="A94" s="139"/>
      <c r="B94" s="139"/>
      <c r="C94" s="139"/>
      <c r="D94" s="139"/>
      <c r="E94" s="139"/>
      <c r="F94" s="139"/>
      <c r="G94" s="139"/>
      <c r="H94" s="140"/>
      <c r="I94" s="139"/>
      <c r="J94" s="139"/>
      <c r="K94" s="139"/>
      <c r="L94" s="139"/>
      <c r="M94" s="139"/>
      <c r="N94" s="139"/>
      <c r="O94" s="139"/>
      <c r="P94" s="139"/>
      <c r="Q94" s="139"/>
      <c r="R94" s="204"/>
      <c r="S94" s="139"/>
      <c r="T94" s="214">
        <f>+I89</f>
        <v>283</v>
      </c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39.0" customHeight="1">
      <c r="A95" s="176"/>
      <c r="B95" s="160" t="s">
        <v>12</v>
      </c>
      <c r="C95" s="177" t="s">
        <v>73</v>
      </c>
      <c r="D95" s="52"/>
      <c r="E95" s="53"/>
      <c r="F95" s="178"/>
      <c r="G95" s="178"/>
      <c r="H95" s="179" t="s">
        <v>14</v>
      </c>
      <c r="I95" s="160" t="s">
        <v>15</v>
      </c>
      <c r="J95" s="160" t="s">
        <v>16</v>
      </c>
      <c r="K95" s="139"/>
      <c r="L95" s="139"/>
      <c r="M95" s="139"/>
      <c r="N95" s="139"/>
      <c r="O95" s="139"/>
      <c r="P95" s="139"/>
      <c r="Q95" s="139"/>
      <c r="R95" s="141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customHeight="1">
      <c r="A96" s="154">
        <v>1.0</v>
      </c>
      <c r="B96" s="215" t="s">
        <v>65</v>
      </c>
      <c r="C96" s="215">
        <v>86.0</v>
      </c>
      <c r="D96" s="215">
        <v>194.0</v>
      </c>
      <c r="E96" s="215">
        <v>263.0</v>
      </c>
      <c r="F96" s="215">
        <f t="shared" ref="F96:F100" si="92">1-VALUE(IF(RIGHT(B96, 1)="%", RIGHT(B96, 3), 0))</f>
        <v>0.2</v>
      </c>
      <c r="G96" s="215">
        <f t="shared" ref="G96:G100" si="93">+Q96*C96/100*D96/100*E96/100</f>
        <v>0</v>
      </c>
      <c r="H96" s="216">
        <f t="shared" ref="H96:H100" si="94">IF(F96=0, G96, F96*G96)</f>
        <v>0</v>
      </c>
      <c r="I96" s="215">
        <v>1.0</v>
      </c>
      <c r="J96" s="217">
        <f t="shared" ref="J96:J100" si="95">+I96*H96</f>
        <v>0</v>
      </c>
      <c r="K96" s="139"/>
      <c r="L96" s="176">
        <f t="shared" ref="L96:L97" si="96">D96*25.4/1000</f>
        <v>4.9276</v>
      </c>
      <c r="M96" s="160">
        <f t="shared" ref="M96:M97" si="97">+I96</f>
        <v>1</v>
      </c>
      <c r="N96" s="160">
        <f t="shared" ref="N96:N97" si="98">M96*L96</f>
        <v>4.9276</v>
      </c>
      <c r="O96" s="139"/>
      <c r="P96" s="139"/>
      <c r="Q96" s="139"/>
      <c r="R96" s="141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customHeight="1">
      <c r="A97" s="154">
        <v>2.0</v>
      </c>
      <c r="B97" s="215" t="s">
        <v>65</v>
      </c>
      <c r="C97" s="215">
        <v>100.0</v>
      </c>
      <c r="D97" s="215">
        <v>202.0</v>
      </c>
      <c r="E97" s="215">
        <v>3000.0</v>
      </c>
      <c r="F97" s="215">
        <f t="shared" si="92"/>
        <v>0.2</v>
      </c>
      <c r="G97" s="215">
        <f t="shared" si="93"/>
        <v>0</v>
      </c>
      <c r="H97" s="216">
        <f t="shared" si="94"/>
        <v>0</v>
      </c>
      <c r="I97" s="215">
        <v>1.0</v>
      </c>
      <c r="J97" s="217">
        <f t="shared" si="95"/>
        <v>0</v>
      </c>
      <c r="K97" s="139"/>
      <c r="L97" s="176">
        <f t="shared" si="96"/>
        <v>5.1308</v>
      </c>
      <c r="M97" s="160">
        <f t="shared" si="97"/>
        <v>1</v>
      </c>
      <c r="N97" s="160">
        <f t="shared" si="98"/>
        <v>5.1308</v>
      </c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customHeight="1">
      <c r="A98" s="154"/>
      <c r="B98" s="215" t="s">
        <v>64</v>
      </c>
      <c r="C98" s="215">
        <v>90.0</v>
      </c>
      <c r="D98" s="215">
        <v>202.0</v>
      </c>
      <c r="E98" s="215">
        <v>201.0</v>
      </c>
      <c r="F98" s="215">
        <f t="shared" si="92"/>
        <v>0.2</v>
      </c>
      <c r="G98" s="215">
        <f t="shared" si="93"/>
        <v>0</v>
      </c>
      <c r="H98" s="216">
        <f t="shared" si="94"/>
        <v>0</v>
      </c>
      <c r="I98" s="215">
        <v>1.0</v>
      </c>
      <c r="J98" s="217">
        <f t="shared" si="95"/>
        <v>0</v>
      </c>
      <c r="K98" s="139"/>
      <c r="L98" s="176"/>
      <c r="M98" s="160"/>
      <c r="N98" s="160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customHeight="1">
      <c r="A99" s="154">
        <v>3.0</v>
      </c>
      <c r="B99" s="218" t="s">
        <v>93</v>
      </c>
      <c r="C99" s="218">
        <v>70.0</v>
      </c>
      <c r="D99" s="218">
        <v>205.0</v>
      </c>
      <c r="E99" s="218">
        <v>180.0</v>
      </c>
      <c r="F99" s="218">
        <f t="shared" si="92"/>
        <v>0.2</v>
      </c>
      <c r="G99" s="218">
        <f t="shared" si="93"/>
        <v>0</v>
      </c>
      <c r="H99" s="219">
        <f t="shared" si="94"/>
        <v>0</v>
      </c>
      <c r="I99" s="218">
        <v>1.0</v>
      </c>
      <c r="J99" s="194">
        <f t="shared" si="95"/>
        <v>0</v>
      </c>
      <c r="K99" s="139"/>
      <c r="L99" s="176">
        <f t="shared" ref="L99:L100" si="99">D99*25.4/1000</f>
        <v>5.207</v>
      </c>
      <c r="M99" s="160">
        <f t="shared" ref="M99:M100" si="100">+I99</f>
        <v>1</v>
      </c>
      <c r="N99" s="160">
        <f t="shared" ref="N99:N100" si="101">M99*L99</f>
        <v>5.207</v>
      </c>
      <c r="O99" s="139"/>
      <c r="P99" s="139"/>
      <c r="Q99" s="139"/>
      <c r="R99" s="139"/>
      <c r="S99" s="220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customHeight="1">
      <c r="A100" s="154">
        <v>4.0</v>
      </c>
      <c r="B100" s="218" t="s">
        <v>203</v>
      </c>
      <c r="C100" s="218">
        <v>84.0</v>
      </c>
      <c r="D100" s="218">
        <v>206.0</v>
      </c>
      <c r="E100" s="218">
        <v>210.0</v>
      </c>
      <c r="F100" s="218">
        <f t="shared" si="92"/>
        <v>0.2</v>
      </c>
      <c r="G100" s="218">
        <f t="shared" si="93"/>
        <v>0</v>
      </c>
      <c r="H100" s="219">
        <f t="shared" si="94"/>
        <v>0</v>
      </c>
      <c r="I100" s="218">
        <v>1.0</v>
      </c>
      <c r="J100" s="194">
        <f t="shared" si="95"/>
        <v>0</v>
      </c>
      <c r="K100" s="139"/>
      <c r="L100" s="176">
        <f t="shared" si="99"/>
        <v>5.2324</v>
      </c>
      <c r="M100" s="160">
        <f t="shared" si="100"/>
        <v>1</v>
      </c>
      <c r="N100" s="160">
        <f t="shared" si="101"/>
        <v>5.2324</v>
      </c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4.75" customHeight="1">
      <c r="A101" s="160"/>
      <c r="B101" s="197"/>
      <c r="C101" s="197"/>
      <c r="D101" s="197"/>
      <c r="E101" s="197"/>
      <c r="F101" s="197"/>
      <c r="G101" s="197"/>
      <c r="H101" s="269" t="s">
        <v>38</v>
      </c>
      <c r="I101" s="197"/>
      <c r="J101" s="226">
        <f>SUM(J96:J100)</f>
        <v>0</v>
      </c>
      <c r="K101" s="139"/>
      <c r="L101" s="139"/>
      <c r="M101" s="139"/>
      <c r="N101" s="139"/>
      <c r="O101" s="139"/>
      <c r="P101" s="139"/>
      <c r="Q101" s="139"/>
      <c r="R101" s="141"/>
      <c r="S101" s="227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18.75" customHeight="1">
      <c r="A102" s="174"/>
      <c r="B102" s="144"/>
      <c r="C102" s="144"/>
      <c r="D102" s="144"/>
      <c r="E102" s="144"/>
      <c r="F102" s="144"/>
      <c r="G102" s="144"/>
      <c r="H102" s="145"/>
      <c r="I102" s="144"/>
      <c r="J102" s="175"/>
      <c r="K102" s="139"/>
      <c r="L102" s="139"/>
      <c r="M102" s="139"/>
      <c r="N102" s="139"/>
      <c r="O102" s="139"/>
      <c r="P102" s="139"/>
      <c r="Q102" s="139"/>
      <c r="R102" s="141"/>
      <c r="S102" s="227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18.7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227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18.7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227"/>
      <c r="S104" s="227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18.75" customHeight="1">
      <c r="A105" s="139" t="s">
        <v>39</v>
      </c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39"/>
      <c r="R105" s="227"/>
      <c r="S105" s="227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18.75" customHeight="1">
      <c r="A106" s="139"/>
      <c r="B106" s="139"/>
      <c r="C106" s="139"/>
      <c r="D106" s="139"/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39"/>
      <c r="R106" s="227"/>
      <c r="S106" s="227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42.0" customHeight="1">
      <c r="A107" s="176"/>
      <c r="B107" s="160" t="s">
        <v>12</v>
      </c>
      <c r="C107" s="177" t="s">
        <v>74</v>
      </c>
      <c r="D107" s="52"/>
      <c r="E107" s="53"/>
      <c r="F107" s="228"/>
      <c r="G107" s="228"/>
      <c r="H107" s="179" t="s">
        <v>14</v>
      </c>
      <c r="I107" s="224" t="s">
        <v>15</v>
      </c>
      <c r="J107" s="160" t="s">
        <v>16</v>
      </c>
      <c r="K107" s="139"/>
      <c r="L107" s="139"/>
      <c r="M107" s="139"/>
      <c r="N107" s="139"/>
      <c r="O107" s="139"/>
      <c r="P107" s="139"/>
      <c r="Q107" s="139"/>
      <c r="R107" s="227"/>
      <c r="S107" s="227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4.75" customHeight="1">
      <c r="A108" s="160">
        <v>1.0</v>
      </c>
      <c r="B108" s="229" t="s">
        <v>56</v>
      </c>
      <c r="C108" s="181"/>
      <c r="D108" s="181"/>
      <c r="E108" s="181"/>
      <c r="F108" s="181"/>
      <c r="G108" s="181"/>
      <c r="H108" s="232">
        <v>48.0</v>
      </c>
      <c r="I108" s="181">
        <v>1.0</v>
      </c>
      <c r="J108" s="194">
        <f t="shared" ref="J108:J117" si="102">+I108*H108</f>
        <v>48</v>
      </c>
      <c r="K108" s="176"/>
      <c r="L108" s="176"/>
      <c r="M108" s="176"/>
      <c r="N108" s="176"/>
      <c r="O108" s="176"/>
      <c r="P108" s="176"/>
      <c r="Q108" s="284"/>
      <c r="R108" s="227"/>
      <c r="S108" s="227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4.75" customHeight="1">
      <c r="A109" s="160">
        <v>2.0</v>
      </c>
      <c r="B109" s="215" t="s">
        <v>56</v>
      </c>
      <c r="C109" s="181"/>
      <c r="D109" s="181"/>
      <c r="E109" s="181"/>
      <c r="F109" s="181"/>
      <c r="G109" s="181"/>
      <c r="H109" s="232">
        <v>10.0</v>
      </c>
      <c r="I109" s="181">
        <v>1.0</v>
      </c>
      <c r="J109" s="194">
        <f t="shared" si="102"/>
        <v>10</v>
      </c>
      <c r="K109" s="176"/>
      <c r="L109" s="176"/>
      <c r="M109" s="176"/>
      <c r="N109" s="176"/>
      <c r="O109" s="176"/>
      <c r="P109" s="176"/>
      <c r="Q109" s="284"/>
      <c r="R109" s="227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4.75" customHeight="1">
      <c r="A110" s="160">
        <v>3.0</v>
      </c>
      <c r="B110" s="229" t="s">
        <v>56</v>
      </c>
      <c r="C110" s="181"/>
      <c r="D110" s="181"/>
      <c r="E110" s="181"/>
      <c r="F110" s="181"/>
      <c r="G110" s="181"/>
      <c r="H110" s="232">
        <v>52.0</v>
      </c>
      <c r="I110" s="181">
        <v>1.0</v>
      </c>
      <c r="J110" s="194">
        <f t="shared" si="102"/>
        <v>52</v>
      </c>
      <c r="K110" s="176"/>
      <c r="L110" s="176"/>
      <c r="M110" s="176"/>
      <c r="N110" s="176"/>
      <c r="O110" s="176"/>
      <c r="P110" s="176"/>
      <c r="Q110" s="284"/>
      <c r="R110" s="227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4.75" customHeight="1">
      <c r="A111" s="160">
        <v>4.0</v>
      </c>
      <c r="B111" s="215" t="s">
        <v>56</v>
      </c>
      <c r="C111" s="181"/>
      <c r="D111" s="181"/>
      <c r="E111" s="181"/>
      <c r="F111" s="181"/>
      <c r="G111" s="181"/>
      <c r="H111" s="232">
        <v>23.0</v>
      </c>
      <c r="I111" s="181">
        <v>1.0</v>
      </c>
      <c r="J111" s="194">
        <f t="shared" si="102"/>
        <v>23</v>
      </c>
      <c r="K111" s="176"/>
      <c r="L111" s="176"/>
      <c r="M111" s="176"/>
      <c r="N111" s="176"/>
      <c r="O111" s="176"/>
      <c r="P111" s="176"/>
      <c r="Q111" s="284"/>
      <c r="R111" s="227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4.75" customHeight="1">
      <c r="A112" s="160">
        <v>5.0</v>
      </c>
      <c r="B112" s="229" t="s">
        <v>55</v>
      </c>
      <c r="C112" s="181"/>
      <c r="D112" s="181"/>
      <c r="E112" s="181"/>
      <c r="F112" s="181"/>
      <c r="G112" s="181"/>
      <c r="H112" s="232">
        <v>48.0</v>
      </c>
      <c r="I112" s="181">
        <v>1.0</v>
      </c>
      <c r="J112" s="194">
        <f t="shared" si="102"/>
        <v>48</v>
      </c>
      <c r="K112" s="176"/>
      <c r="L112" s="176"/>
      <c r="M112" s="176"/>
      <c r="N112" s="176"/>
      <c r="O112" s="176"/>
      <c r="P112" s="176"/>
      <c r="Q112" s="284"/>
      <c r="R112" s="227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4.75" customHeight="1">
      <c r="A113" s="160">
        <v>6.0</v>
      </c>
      <c r="B113" s="215" t="s">
        <v>55</v>
      </c>
      <c r="C113" s="181"/>
      <c r="D113" s="181"/>
      <c r="E113" s="181"/>
      <c r="F113" s="181"/>
      <c r="G113" s="181"/>
      <c r="H113" s="232">
        <v>30.0</v>
      </c>
      <c r="I113" s="181">
        <v>1.0</v>
      </c>
      <c r="J113" s="194">
        <f t="shared" si="102"/>
        <v>30</v>
      </c>
      <c r="K113" s="176"/>
      <c r="L113" s="176"/>
      <c r="M113" s="176"/>
      <c r="N113" s="176"/>
      <c r="O113" s="176"/>
      <c r="P113" s="176"/>
      <c r="Q113" s="284"/>
      <c r="R113" s="227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4.75" customHeight="1">
      <c r="A114" s="160">
        <v>7.0</v>
      </c>
      <c r="B114" s="182" t="s">
        <v>85</v>
      </c>
      <c r="C114" s="181"/>
      <c r="D114" s="181"/>
      <c r="E114" s="181"/>
      <c r="F114" s="181"/>
      <c r="G114" s="181"/>
      <c r="H114" s="232">
        <v>35.0</v>
      </c>
      <c r="I114" s="181">
        <v>1.0</v>
      </c>
      <c r="J114" s="194">
        <f t="shared" si="102"/>
        <v>35</v>
      </c>
      <c r="K114" s="176"/>
      <c r="L114" s="176"/>
      <c r="M114" s="176"/>
      <c r="N114" s="176"/>
      <c r="O114" s="176"/>
      <c r="P114" s="176"/>
      <c r="Q114" s="284"/>
      <c r="R114" s="227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4.75" customHeight="1">
      <c r="A115" s="160">
        <v>8.0</v>
      </c>
      <c r="B115" s="218" t="s">
        <v>85</v>
      </c>
      <c r="C115" s="181"/>
      <c r="D115" s="181"/>
      <c r="E115" s="181"/>
      <c r="F115" s="181"/>
      <c r="G115" s="181"/>
      <c r="H115" s="232">
        <v>20.0</v>
      </c>
      <c r="I115" s="181">
        <v>1.0</v>
      </c>
      <c r="J115" s="194">
        <f t="shared" si="102"/>
        <v>20</v>
      </c>
      <c r="K115" s="176"/>
      <c r="L115" s="176"/>
      <c r="M115" s="176"/>
      <c r="N115" s="176"/>
      <c r="O115" s="176"/>
      <c r="P115" s="176"/>
      <c r="Q115" s="284"/>
      <c r="R115" s="227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4.75" customHeight="1">
      <c r="A116" s="160">
        <v>9.0</v>
      </c>
      <c r="B116" s="182" t="s">
        <v>199</v>
      </c>
      <c r="C116" s="181"/>
      <c r="D116" s="181"/>
      <c r="E116" s="181"/>
      <c r="F116" s="181"/>
      <c r="G116" s="181"/>
      <c r="H116" s="232">
        <v>50.0</v>
      </c>
      <c r="I116" s="181">
        <v>1.0</v>
      </c>
      <c r="J116" s="194">
        <f t="shared" si="102"/>
        <v>50</v>
      </c>
      <c r="K116" s="176"/>
      <c r="L116" s="176"/>
      <c r="M116" s="176"/>
      <c r="N116" s="176"/>
      <c r="O116" s="176"/>
      <c r="P116" s="176"/>
      <c r="Q116" s="284"/>
      <c r="R116" s="227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4.75" customHeight="1">
      <c r="A117" s="160">
        <v>10.0</v>
      </c>
      <c r="B117" s="218" t="s">
        <v>199</v>
      </c>
      <c r="C117" s="181"/>
      <c r="D117" s="181"/>
      <c r="E117" s="181"/>
      <c r="F117" s="181"/>
      <c r="G117" s="181"/>
      <c r="H117" s="232">
        <v>27.0</v>
      </c>
      <c r="I117" s="181">
        <v>1.0</v>
      </c>
      <c r="J117" s="194">
        <f t="shared" si="102"/>
        <v>27</v>
      </c>
      <c r="K117" s="176"/>
      <c r="L117" s="176"/>
      <c r="M117" s="176"/>
      <c r="N117" s="176"/>
      <c r="O117" s="176"/>
      <c r="P117" s="176"/>
      <c r="Q117" s="284"/>
      <c r="R117" s="227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18.75" customHeight="1">
      <c r="A118" s="139"/>
      <c r="B118" s="139"/>
      <c r="C118" s="139"/>
      <c r="D118" s="139"/>
      <c r="E118" s="139"/>
      <c r="F118" s="139"/>
      <c r="G118" s="139"/>
      <c r="H118" s="140" t="s">
        <v>38</v>
      </c>
      <c r="I118" s="139"/>
      <c r="J118" s="235">
        <f>SUM(J108:J117)</f>
        <v>343</v>
      </c>
      <c r="K118" s="236"/>
      <c r="L118" s="236"/>
      <c r="M118" s="236"/>
      <c r="N118" s="236"/>
      <c r="O118" s="236"/>
      <c r="P118" s="236"/>
      <c r="Q118" s="236"/>
      <c r="R118" s="139"/>
      <c r="S118" s="227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18.75" customHeight="1">
      <c r="A119" s="144"/>
      <c r="B119" s="144"/>
      <c r="C119" s="144"/>
      <c r="D119" s="144"/>
      <c r="E119" s="144"/>
      <c r="F119" s="144"/>
      <c r="G119" s="144"/>
      <c r="H119" s="145"/>
      <c r="I119" s="173"/>
      <c r="J119" s="205">
        <f>+J118*60%</f>
        <v>205.8</v>
      </c>
      <c r="K119" s="205"/>
      <c r="L119" s="205"/>
      <c r="M119" s="205"/>
      <c r="N119" s="205"/>
      <c r="O119" s="205"/>
      <c r="P119" s="205"/>
      <c r="Q119" s="205">
        <f>+J118*40%</f>
        <v>137.2</v>
      </c>
      <c r="R119" s="139"/>
      <c r="S119" s="227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18.75" customHeight="1">
      <c r="A120" s="139"/>
      <c r="B120" s="139"/>
      <c r="C120" s="139"/>
      <c r="D120" s="139"/>
      <c r="E120" s="139"/>
      <c r="F120" s="139"/>
      <c r="G120" s="139"/>
      <c r="H120" s="140"/>
      <c r="I120" s="139"/>
      <c r="J120" s="139"/>
      <c r="K120" s="139"/>
      <c r="L120" s="139"/>
      <c r="M120" s="139"/>
      <c r="N120" s="139"/>
      <c r="O120" s="139"/>
      <c r="P120" s="139"/>
      <c r="Q120" s="139"/>
      <c r="R120" s="139"/>
      <c r="S120" s="227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18.75" customHeight="1">
      <c r="A121" s="139"/>
      <c r="B121" s="139"/>
      <c r="C121" s="139"/>
      <c r="D121" s="139"/>
      <c r="E121" s="139"/>
      <c r="F121" s="139"/>
      <c r="G121" s="139"/>
      <c r="H121" s="140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227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19.5" customHeight="1">
      <c r="A122" s="238" t="s">
        <v>41</v>
      </c>
      <c r="B122" s="139"/>
      <c r="C122" s="139"/>
      <c r="D122" s="139"/>
      <c r="E122" s="139"/>
      <c r="F122" s="139"/>
      <c r="G122" s="139"/>
      <c r="H122" s="140"/>
      <c r="I122" s="139"/>
      <c r="J122" s="139"/>
      <c r="K122" s="139"/>
      <c r="L122" s="139"/>
      <c r="M122" s="139"/>
      <c r="N122" s="139"/>
      <c r="O122" s="139"/>
      <c r="P122" s="139"/>
      <c r="Q122" s="139"/>
      <c r="R122" s="139"/>
      <c r="S122" s="227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57.0" customHeight="1">
      <c r="A123" s="239"/>
      <c r="B123" s="240" t="s">
        <v>42</v>
      </c>
      <c r="C123" s="240" t="s">
        <v>43</v>
      </c>
      <c r="D123" s="240" t="s">
        <v>44</v>
      </c>
      <c r="E123" s="240" t="s">
        <v>45</v>
      </c>
      <c r="F123" s="240"/>
      <c r="G123" s="240"/>
      <c r="H123" s="241" t="s">
        <v>46</v>
      </c>
      <c r="I123" s="242" t="s">
        <v>47</v>
      </c>
      <c r="J123" s="139"/>
      <c r="K123" s="139"/>
      <c r="L123" s="139"/>
      <c r="M123" s="139"/>
      <c r="N123" s="139"/>
      <c r="O123" s="139"/>
      <c r="P123" s="139"/>
      <c r="Q123" s="139"/>
      <c r="R123" s="141"/>
      <c r="S123" s="227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18.75" customHeight="1">
      <c r="A124" s="243" t="s">
        <v>48</v>
      </c>
      <c r="B124" s="244">
        <f>+E13</f>
        <v>44741.03968</v>
      </c>
      <c r="C124" s="245">
        <f>+J89</f>
        <v>40035.448</v>
      </c>
      <c r="D124" s="245">
        <f>+J101</f>
        <v>0</v>
      </c>
      <c r="E124" s="246">
        <f>J119</f>
        <v>205.8</v>
      </c>
      <c r="F124" s="246"/>
      <c r="G124" s="246"/>
      <c r="H124" s="247">
        <f>+I13</f>
        <v>925.5324121</v>
      </c>
      <c r="I124" s="248">
        <f>+B124-C124-D124-E124-H124</f>
        <v>3574.25927</v>
      </c>
      <c r="J124" s="139"/>
      <c r="K124" s="139"/>
      <c r="L124" s="139"/>
      <c r="M124" s="139"/>
      <c r="N124" s="139"/>
      <c r="O124" s="139"/>
      <c r="P124" s="139"/>
      <c r="Q124" s="139"/>
      <c r="R124" s="141"/>
      <c r="S124" s="227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19.5" customHeight="1">
      <c r="A125" s="249" t="s">
        <v>49</v>
      </c>
      <c r="B125" s="250"/>
      <c r="C125" s="251">
        <f>+C124/B124</f>
        <v>0.8948260542</v>
      </c>
      <c r="D125" s="251">
        <f>+D124/B124</f>
        <v>0</v>
      </c>
      <c r="E125" s="251">
        <f>+E124/B124</f>
        <v>0.004599803703</v>
      </c>
      <c r="F125" s="251"/>
      <c r="G125" s="251"/>
      <c r="H125" s="252">
        <f>+H124/B124</f>
        <v>0.0206864306</v>
      </c>
      <c r="I125" s="253">
        <f>+I124/B124</f>
        <v>0.07988771149</v>
      </c>
      <c r="J125" s="139"/>
      <c r="K125" s="139"/>
      <c r="L125" s="139"/>
      <c r="M125" s="139"/>
      <c r="N125" s="139"/>
      <c r="O125" s="139"/>
      <c r="P125" s="139"/>
      <c r="Q125" s="139"/>
      <c r="R125" s="141"/>
      <c r="S125" s="227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19.5" customHeight="1">
      <c r="A126" s="163"/>
      <c r="B126" s="221"/>
      <c r="C126" s="254"/>
      <c r="D126" s="254"/>
      <c r="E126" s="254"/>
      <c r="F126" s="254"/>
      <c r="G126" s="254"/>
      <c r="H126" s="255"/>
      <c r="I126" s="256"/>
      <c r="J126" s="139"/>
      <c r="K126" s="139"/>
      <c r="L126" s="139"/>
      <c r="M126" s="139"/>
      <c r="N126" s="139"/>
      <c r="O126" s="139"/>
      <c r="P126" s="139"/>
      <c r="Q126" s="139"/>
      <c r="R126" s="141"/>
      <c r="S126" s="227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18.75" customHeight="1">
      <c r="A127" s="257"/>
      <c r="B127" s="258"/>
      <c r="C127" s="258"/>
      <c r="D127" s="258" t="s">
        <v>50</v>
      </c>
      <c r="E127" s="258" t="s">
        <v>48</v>
      </c>
      <c r="F127" s="258"/>
      <c r="G127" s="258"/>
      <c r="H127" s="259">
        <f>+D124+E124+H124+I124</f>
        <v>4705.591682</v>
      </c>
      <c r="I127" s="260"/>
      <c r="J127" s="139"/>
      <c r="K127" s="139"/>
      <c r="L127" s="139"/>
      <c r="M127" s="139"/>
      <c r="N127" s="139"/>
      <c r="O127" s="139"/>
      <c r="P127" s="139"/>
      <c r="Q127" s="139"/>
      <c r="R127" s="141"/>
      <c r="S127" s="140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18.75" customHeight="1">
      <c r="A128" s="261"/>
      <c r="B128" s="139"/>
      <c r="C128" s="139"/>
      <c r="D128" s="139"/>
      <c r="E128" s="139" t="s">
        <v>49</v>
      </c>
      <c r="F128" s="139"/>
      <c r="G128" s="139"/>
      <c r="H128" s="255">
        <f>+H127/B124</f>
        <v>0.1051739458</v>
      </c>
      <c r="I128" s="262"/>
      <c r="J128" s="139"/>
      <c r="K128" s="139"/>
      <c r="L128" s="139"/>
      <c r="M128" s="139"/>
      <c r="N128" s="139"/>
      <c r="O128" s="139"/>
      <c r="P128" s="139"/>
      <c r="Q128" s="139"/>
      <c r="R128" s="141"/>
      <c r="S128" s="140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18.75" customHeight="1">
      <c r="A129" s="261"/>
      <c r="B129" s="139"/>
      <c r="C129" s="139" t="s">
        <v>51</v>
      </c>
      <c r="D129" s="139"/>
      <c r="E129" s="139"/>
      <c r="F129" s="139"/>
      <c r="G129" s="139"/>
      <c r="H129" s="140"/>
      <c r="I129" s="262"/>
      <c r="J129" s="139"/>
      <c r="K129" s="139"/>
      <c r="L129" s="139"/>
      <c r="M129" s="139"/>
      <c r="N129" s="139"/>
      <c r="O129" s="139"/>
      <c r="P129" s="139"/>
      <c r="Q129" s="139"/>
      <c r="R129" s="141"/>
      <c r="S129" s="140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18.75" customHeight="1">
      <c r="A130" s="261"/>
      <c r="B130" s="139"/>
      <c r="C130" s="139"/>
      <c r="D130" s="139" t="s">
        <v>52</v>
      </c>
      <c r="E130" s="139"/>
      <c r="F130" s="139"/>
      <c r="G130" s="139"/>
      <c r="H130" s="140">
        <f>+H129*(H127-H124)</f>
        <v>0</v>
      </c>
      <c r="I130" s="262"/>
      <c r="J130" s="139"/>
      <c r="K130" s="139"/>
      <c r="L130" s="139"/>
      <c r="M130" s="139"/>
      <c r="N130" s="139"/>
      <c r="O130" s="139"/>
      <c r="P130" s="139"/>
      <c r="Q130" s="139"/>
      <c r="R130" s="141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19.5" customHeight="1">
      <c r="A131" s="263"/>
      <c r="B131" s="264"/>
      <c r="C131" s="264"/>
      <c r="D131" s="264"/>
      <c r="E131" s="264"/>
      <c r="F131" s="264"/>
      <c r="G131" s="264"/>
      <c r="H131" s="265"/>
      <c r="I131" s="266"/>
      <c r="J131" s="139"/>
      <c r="K131" s="139"/>
      <c r="L131" s="139"/>
      <c r="M131" s="139"/>
      <c r="N131" s="139"/>
      <c r="O131" s="139"/>
      <c r="P131" s="139"/>
      <c r="Q131" s="139"/>
      <c r="R131" s="141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18.75" customHeight="1">
      <c r="A132" s="139"/>
      <c r="B132" s="139"/>
      <c r="C132" s="139"/>
      <c r="D132" s="139"/>
      <c r="E132" s="139"/>
      <c r="F132" s="139"/>
      <c r="G132" s="139"/>
      <c r="H132" s="140"/>
      <c r="I132" s="139"/>
      <c r="J132" s="139"/>
      <c r="K132" s="139"/>
      <c r="L132" s="139"/>
      <c r="M132" s="139"/>
      <c r="N132" s="139"/>
      <c r="O132" s="139"/>
      <c r="P132" s="139"/>
      <c r="Q132" s="139"/>
      <c r="R132" s="141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18.75" customHeight="1">
      <c r="A133" s="139"/>
      <c r="B133" s="139"/>
      <c r="C133" s="139"/>
      <c r="D133" s="139"/>
      <c r="E133" s="139"/>
      <c r="F133" s="139"/>
      <c r="G133" s="139"/>
      <c r="H133" s="140"/>
      <c r="I133" s="139"/>
      <c r="J133" s="139"/>
      <c r="K133" s="139"/>
      <c r="L133" s="139"/>
      <c r="M133" s="139"/>
      <c r="N133" s="139"/>
      <c r="O133" s="139"/>
      <c r="P133" s="139"/>
      <c r="Q133" s="139"/>
      <c r="R133" s="141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18.75" customHeight="1">
      <c r="A134" s="139"/>
      <c r="B134" s="139"/>
      <c r="C134" s="139"/>
      <c r="D134" s="139"/>
      <c r="E134" s="139"/>
      <c r="F134" s="139"/>
      <c r="G134" s="139"/>
      <c r="H134" s="140"/>
      <c r="I134" s="139"/>
      <c r="J134" s="139"/>
      <c r="K134" s="139"/>
      <c r="L134" s="139"/>
      <c r="M134" s="139"/>
      <c r="N134" s="139"/>
      <c r="O134" s="139"/>
      <c r="P134" s="139"/>
      <c r="Q134" s="139"/>
      <c r="R134" s="141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7"/>
      <c r="R135" s="268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7"/>
      <c r="R136" s="268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7"/>
      <c r="R137" s="268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7"/>
      <c r="R138" s="268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7"/>
      <c r="R139" s="268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7"/>
      <c r="R140" s="268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7"/>
      <c r="R141" s="268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7"/>
      <c r="R142" s="268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7"/>
      <c r="R143" s="268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7"/>
      <c r="R144" s="268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7"/>
      <c r="R145" s="268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7"/>
      <c r="R146" s="268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7"/>
      <c r="R147" s="268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7"/>
      <c r="R148" s="268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7"/>
      <c r="R149" s="268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7"/>
      <c r="R150" s="268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7"/>
      <c r="R151" s="268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7"/>
      <c r="R152" s="268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7"/>
      <c r="R153" s="268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7"/>
      <c r="R154" s="268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7"/>
      <c r="R155" s="268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7"/>
      <c r="R156" s="268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7"/>
      <c r="R157" s="268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7"/>
      <c r="R158" s="26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7"/>
      <c r="R159" s="26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7"/>
      <c r="R160" s="26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7"/>
      <c r="R161" s="26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7"/>
      <c r="R162" s="26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7"/>
      <c r="R163" s="26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7"/>
      <c r="R164" s="26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7"/>
      <c r="R165" s="26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7"/>
      <c r="R166" s="26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7"/>
      <c r="R167" s="26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7"/>
      <c r="R168" s="26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7"/>
      <c r="R169" s="26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7"/>
      <c r="R170" s="26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7"/>
      <c r="R171" s="26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7"/>
      <c r="R172" s="26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7"/>
      <c r="R173" s="26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7"/>
      <c r="R174" s="26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7"/>
      <c r="R175" s="26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7"/>
      <c r="R176" s="26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7"/>
      <c r="R177" s="26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7"/>
      <c r="R178" s="26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7"/>
      <c r="R179" s="26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7"/>
      <c r="R180" s="26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7"/>
      <c r="R181" s="26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7"/>
      <c r="R182" s="26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7"/>
      <c r="R183" s="26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7"/>
      <c r="R184" s="26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7"/>
      <c r="R185" s="26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7"/>
      <c r="R186" s="26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7"/>
      <c r="R187" s="26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7"/>
      <c r="R188" s="26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7"/>
      <c r="R189" s="26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7"/>
      <c r="R190" s="26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7"/>
      <c r="R191" s="26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7"/>
      <c r="R192" s="26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7"/>
      <c r="R193" s="26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7"/>
      <c r="R194" s="26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7"/>
      <c r="R252" s="26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7"/>
      <c r="R253" s="26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7"/>
      <c r="R254" s="26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7"/>
      <c r="R255" s="26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7"/>
      <c r="R256" s="26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7"/>
      <c r="R257" s="26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7"/>
      <c r="R258" s="26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7"/>
      <c r="R259" s="26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7"/>
      <c r="R260" s="26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7"/>
      <c r="R261" s="26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7"/>
      <c r="R262" s="26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7"/>
      <c r="R263" s="26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7"/>
      <c r="R264" s="26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7"/>
      <c r="R265" s="26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7"/>
      <c r="R266" s="26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7"/>
      <c r="R267" s="26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7"/>
      <c r="R268" s="26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7"/>
      <c r="R269" s="26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7"/>
      <c r="R270" s="26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7"/>
      <c r="R271" s="26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7"/>
      <c r="R272" s="26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7"/>
      <c r="R273" s="26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7"/>
      <c r="R274" s="26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7"/>
      <c r="R275" s="26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7"/>
      <c r="R276" s="26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7"/>
      <c r="R277" s="26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7"/>
      <c r="R278" s="26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7"/>
      <c r="R279" s="26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7"/>
      <c r="R280" s="26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7"/>
      <c r="R281" s="26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7"/>
      <c r="R282" s="26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7"/>
      <c r="R283" s="26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7"/>
      <c r="R284" s="26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7"/>
      <c r="R285" s="26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7"/>
      <c r="R286" s="26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7"/>
      <c r="R287" s="26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7"/>
      <c r="R288" s="26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7"/>
      <c r="R289" s="26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7"/>
      <c r="R290" s="26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7"/>
      <c r="R291" s="26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7"/>
      <c r="R292" s="26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7"/>
      <c r="R293" s="26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7"/>
      <c r="R294" s="26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7"/>
      <c r="R295" s="26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7"/>
      <c r="R296" s="26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7"/>
      <c r="R297" s="26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7"/>
      <c r="R298" s="26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7"/>
      <c r="R299" s="26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7"/>
      <c r="R300" s="26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7"/>
      <c r="R301" s="26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7"/>
      <c r="R302" s="26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7"/>
      <c r="R303" s="268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7"/>
      <c r="R304" s="268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7"/>
      <c r="R305" s="268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7"/>
      <c r="R306" s="268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7"/>
      <c r="R307" s="268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7"/>
      <c r="R308" s="268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7"/>
      <c r="R309" s="268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7"/>
      <c r="R310" s="268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7"/>
      <c r="R311" s="268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7"/>
      <c r="R312" s="268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7"/>
      <c r="R313" s="268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7"/>
      <c r="R314" s="268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7"/>
      <c r="R315" s="268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7"/>
      <c r="R316" s="268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7"/>
      <c r="R317" s="268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7"/>
      <c r="R318" s="268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7"/>
      <c r="R319" s="268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7"/>
      <c r="R320" s="268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7"/>
      <c r="R321" s="268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7"/>
      <c r="R322" s="268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7"/>
      <c r="R323" s="268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7"/>
      <c r="R324" s="268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7"/>
      <c r="R325" s="268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7"/>
      <c r="R326" s="268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7"/>
      <c r="R327" s="268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7"/>
      <c r="R328" s="268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7"/>
      <c r="R329" s="268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7"/>
      <c r="R330" s="268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3:D13"/>
    <mergeCell ref="E14:H14"/>
    <mergeCell ref="C19:E19"/>
    <mergeCell ref="C95:E95"/>
    <mergeCell ref="C107:E107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44372.0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217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56</v>
      </c>
      <c r="C8" s="154">
        <v>29.5</v>
      </c>
      <c r="D8" s="155">
        <v>0.0146</v>
      </c>
      <c r="E8" s="156">
        <f>253.53*51</f>
        <v>12930.03</v>
      </c>
      <c r="F8" s="156"/>
      <c r="G8" s="156"/>
      <c r="H8" s="157">
        <v>51.0</v>
      </c>
      <c r="I8" s="158">
        <f t="shared" ref="I8:I10" si="1">+D8*E8</f>
        <v>188.778438</v>
      </c>
      <c r="J8" s="159">
        <f t="shared" ref="J8:J10" si="2">E8-I8</f>
        <v>12741.25156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55</v>
      </c>
      <c r="C9" s="154">
        <v>29.5</v>
      </c>
      <c r="D9" s="155">
        <v>0.0155</v>
      </c>
      <c r="E9" s="156">
        <f>254.185*75</f>
        <v>19063.875</v>
      </c>
      <c r="F9" s="156"/>
      <c r="G9" s="156"/>
      <c r="H9" s="157">
        <v>75.0</v>
      </c>
      <c r="I9" s="158">
        <f t="shared" si="1"/>
        <v>295.4900625</v>
      </c>
      <c r="J9" s="159">
        <f t="shared" si="2"/>
        <v>18768.38494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24</v>
      </c>
      <c r="C10" s="154">
        <v>25.5</v>
      </c>
      <c r="D10" s="155">
        <v>0.0547</v>
      </c>
      <c r="E10" s="156">
        <f>227.9581*10</f>
        <v>2279.581</v>
      </c>
      <c r="F10" s="156"/>
      <c r="G10" s="156"/>
      <c r="H10" s="157">
        <v>10.0</v>
      </c>
      <c r="I10" s="158">
        <f t="shared" si="1"/>
        <v>124.6930807</v>
      </c>
      <c r="J10" s="159">
        <f t="shared" si="2"/>
        <v>2154.887919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18.75" customHeight="1">
      <c r="A11" s="163"/>
      <c r="B11" s="164"/>
      <c r="C11" s="165"/>
      <c r="D11" s="166"/>
      <c r="E11" s="167">
        <f>SUM(E8:E10)</f>
        <v>34273.486</v>
      </c>
      <c r="F11" s="168"/>
      <c r="G11" s="168"/>
      <c r="H11" s="169"/>
      <c r="I11" s="170">
        <f t="shared" ref="I11:J11" si="3">SUM(I8:I10)</f>
        <v>608.9615812</v>
      </c>
      <c r="J11" s="171">
        <f t="shared" si="3"/>
        <v>33664.52442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18.75" customHeight="1">
      <c r="A12" s="172"/>
      <c r="B12" s="144"/>
      <c r="C12" s="144"/>
      <c r="D12" s="173"/>
      <c r="E12" s="174"/>
      <c r="F12" s="151"/>
      <c r="G12" s="151"/>
      <c r="H12" s="147"/>
      <c r="I12" s="175"/>
      <c r="J12" s="139"/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18.75" customHeight="1">
      <c r="A13" s="139"/>
      <c r="B13" s="139"/>
      <c r="C13" s="139"/>
      <c r="D13" s="139"/>
      <c r="E13" s="139"/>
      <c r="F13" s="139"/>
      <c r="G13" s="139"/>
      <c r="H13" s="140"/>
      <c r="I13" s="139"/>
      <c r="J13" s="139"/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39" t="s">
        <v>11</v>
      </c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40.5" customHeight="1">
      <c r="A17" s="176"/>
      <c r="B17" s="160" t="s">
        <v>12</v>
      </c>
      <c r="C17" s="177" t="s">
        <v>62</v>
      </c>
      <c r="D17" s="52"/>
      <c r="E17" s="53"/>
      <c r="F17" s="178"/>
      <c r="G17" s="178"/>
      <c r="H17" s="179" t="s">
        <v>14</v>
      </c>
      <c r="I17" s="160" t="s">
        <v>15</v>
      </c>
      <c r="J17" s="160" t="s">
        <v>16</v>
      </c>
      <c r="K17" s="139"/>
      <c r="L17" s="160" t="s">
        <v>17</v>
      </c>
      <c r="M17" s="160" t="s">
        <v>15</v>
      </c>
      <c r="N17" s="176" t="s">
        <v>18</v>
      </c>
      <c r="O17" s="139"/>
      <c r="P17" s="139"/>
      <c r="Q17" s="176" t="s">
        <v>129</v>
      </c>
      <c r="R17" s="180"/>
      <c r="S17" s="160" t="s">
        <v>17</v>
      </c>
      <c r="T17" s="160" t="s">
        <v>15</v>
      </c>
      <c r="U17" s="176" t="s">
        <v>18</v>
      </c>
      <c r="V17" s="139"/>
      <c r="W17" s="176" t="s">
        <v>19</v>
      </c>
      <c r="X17" s="176" t="s">
        <v>20</v>
      </c>
      <c r="Y17" s="176" t="s">
        <v>21</v>
      </c>
      <c r="Z17" s="176" t="s">
        <v>218</v>
      </c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27.0" customHeight="1">
      <c r="A18" s="160">
        <v>1.0</v>
      </c>
      <c r="B18" s="182" t="s">
        <v>65</v>
      </c>
      <c r="C18" s="183">
        <v>89.0</v>
      </c>
      <c r="D18" s="183">
        <v>202.0</v>
      </c>
      <c r="E18" s="183">
        <v>252.0</v>
      </c>
      <c r="F18" s="183">
        <f t="shared" ref="F18:F71" si="5">VALUE(IF(RIGHT(B18, 1)="%", RIGHT(B18, 3), 0))</f>
        <v>0.8</v>
      </c>
      <c r="G18" s="183">
        <f t="shared" ref="G18:G71" si="6">+R18*C18/100*D18/100*E18/100</f>
        <v>133.648452</v>
      </c>
      <c r="H18" s="184">
        <f t="shared" ref="H18:H71" si="7">IF(F18=0, G18, F18*G18)</f>
        <v>106.9187616</v>
      </c>
      <c r="I18" s="183">
        <v>1.0</v>
      </c>
      <c r="J18" s="185">
        <f t="shared" ref="J18:J71" si="8">+I18*H18</f>
        <v>106.9187616</v>
      </c>
      <c r="K18" s="139"/>
      <c r="L18" s="176">
        <f>D18*25.4/1000</f>
        <v>5.1308</v>
      </c>
      <c r="M18" s="160">
        <f>+I18</f>
        <v>1</v>
      </c>
      <c r="N18" s="160">
        <f>M18*L18</f>
        <v>5.1308</v>
      </c>
      <c r="O18" s="139"/>
      <c r="P18" s="139"/>
      <c r="Q18" s="176"/>
      <c r="R18" s="281">
        <v>29.5</v>
      </c>
      <c r="S18" s="176">
        <f t="shared" ref="S18:S72" si="9">E18/100</f>
        <v>2.52</v>
      </c>
      <c r="T18" s="160">
        <f t="shared" ref="T18:T72" si="10">I18</f>
        <v>1</v>
      </c>
      <c r="U18" s="160">
        <f t="shared" ref="U18:U72" si="11">T18*S18</f>
        <v>2.52</v>
      </c>
      <c r="V18" s="282">
        <f t="shared" ref="V18:V71" si="12">R18*C18/100*D18/100*E18/100</f>
        <v>133.648452</v>
      </c>
      <c r="W18" s="176">
        <f t="shared" ref="W18:X18" si="4">C18/100</f>
        <v>0.89</v>
      </c>
      <c r="X18" s="176">
        <f t="shared" si="4"/>
        <v>2.02</v>
      </c>
      <c r="Y18" s="176">
        <f t="shared" ref="Y18:Y72" si="14">U18</f>
        <v>2.52</v>
      </c>
      <c r="Z18" s="283">
        <f t="shared" ref="Z18:Z72" si="15">W18*X18*Y18</f>
        <v>4.530456</v>
      </c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27.0" customHeight="1">
      <c r="A19" s="160">
        <v>2.0</v>
      </c>
      <c r="B19" s="191" t="s">
        <v>56</v>
      </c>
      <c r="C19" s="191">
        <v>101.0</v>
      </c>
      <c r="D19" s="191">
        <v>202.0</v>
      </c>
      <c r="E19" s="191">
        <v>202.0</v>
      </c>
      <c r="F19" s="191">
        <f t="shared" si="5"/>
        <v>0</v>
      </c>
      <c r="G19" s="191">
        <f t="shared" si="6"/>
        <v>121.575518</v>
      </c>
      <c r="H19" s="192">
        <f t="shared" si="7"/>
        <v>121.575518</v>
      </c>
      <c r="I19" s="191">
        <v>20.0</v>
      </c>
      <c r="J19" s="194">
        <f t="shared" si="8"/>
        <v>2431.51036</v>
      </c>
      <c r="K19" s="139"/>
      <c r="L19" s="176"/>
      <c r="M19" s="160"/>
      <c r="N19" s="160"/>
      <c r="O19" s="139"/>
      <c r="P19" s="139"/>
      <c r="Q19" s="176"/>
      <c r="R19" s="281">
        <v>29.5</v>
      </c>
      <c r="S19" s="176">
        <f t="shared" si="9"/>
        <v>2.02</v>
      </c>
      <c r="T19" s="160">
        <f t="shared" si="10"/>
        <v>20</v>
      </c>
      <c r="U19" s="160">
        <f t="shared" si="11"/>
        <v>40.4</v>
      </c>
      <c r="V19" s="282">
        <f t="shared" si="12"/>
        <v>121.575518</v>
      </c>
      <c r="W19" s="176">
        <f t="shared" ref="W19:X19" si="13">C19/100</f>
        <v>1.01</v>
      </c>
      <c r="X19" s="176">
        <f t="shared" si="13"/>
        <v>2.02</v>
      </c>
      <c r="Y19" s="176">
        <f t="shared" si="14"/>
        <v>40.4</v>
      </c>
      <c r="Z19" s="283">
        <f t="shared" si="15"/>
        <v>82.42408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27.0" customHeight="1">
      <c r="A20" s="160">
        <v>3.0</v>
      </c>
      <c r="B20" s="191" t="s">
        <v>56</v>
      </c>
      <c r="C20" s="191">
        <v>101.0</v>
      </c>
      <c r="D20" s="191">
        <v>202.0</v>
      </c>
      <c r="E20" s="191">
        <v>202.0</v>
      </c>
      <c r="F20" s="191">
        <f t="shared" si="5"/>
        <v>0</v>
      </c>
      <c r="G20" s="191">
        <f t="shared" si="6"/>
        <v>121.575518</v>
      </c>
      <c r="H20" s="192">
        <f t="shared" si="7"/>
        <v>121.575518</v>
      </c>
      <c r="I20" s="191">
        <v>1.0</v>
      </c>
      <c r="J20" s="194">
        <f t="shared" si="8"/>
        <v>121.575518</v>
      </c>
      <c r="K20" s="139"/>
      <c r="L20" s="176">
        <f t="shared" ref="L20:L42" si="17">D20*25.4/1000</f>
        <v>5.1308</v>
      </c>
      <c r="M20" s="160">
        <f t="shared" ref="M20:M55" si="18">+I20</f>
        <v>1</v>
      </c>
      <c r="N20" s="160">
        <f t="shared" ref="N20:N42" si="19">M20*L20</f>
        <v>5.1308</v>
      </c>
      <c r="O20" s="139"/>
      <c r="P20" s="139"/>
      <c r="Q20" s="176">
        <v>126.0</v>
      </c>
      <c r="R20" s="281">
        <v>29.5</v>
      </c>
      <c r="S20" s="176">
        <f t="shared" si="9"/>
        <v>2.02</v>
      </c>
      <c r="T20" s="160">
        <f t="shared" si="10"/>
        <v>1</v>
      </c>
      <c r="U20" s="160">
        <f t="shared" si="11"/>
        <v>2.02</v>
      </c>
      <c r="V20" s="282">
        <f t="shared" si="12"/>
        <v>121.575518</v>
      </c>
      <c r="W20" s="176">
        <f t="shared" ref="W20:X20" si="16">C20/100</f>
        <v>1.01</v>
      </c>
      <c r="X20" s="176">
        <f t="shared" si="16"/>
        <v>2.02</v>
      </c>
      <c r="Y20" s="176">
        <f t="shared" si="14"/>
        <v>2.02</v>
      </c>
      <c r="Z20" s="283">
        <f t="shared" si="15"/>
        <v>4.121204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4.0</v>
      </c>
      <c r="B21" s="191" t="s">
        <v>56</v>
      </c>
      <c r="C21" s="191">
        <v>101.0</v>
      </c>
      <c r="D21" s="191">
        <v>202.0</v>
      </c>
      <c r="E21" s="191">
        <v>202.0</v>
      </c>
      <c r="F21" s="191">
        <f t="shared" si="5"/>
        <v>0</v>
      </c>
      <c r="G21" s="191">
        <f t="shared" si="6"/>
        <v>121.575518</v>
      </c>
      <c r="H21" s="192">
        <f t="shared" si="7"/>
        <v>121.575518</v>
      </c>
      <c r="I21" s="191">
        <v>2.0</v>
      </c>
      <c r="J21" s="194">
        <f t="shared" si="8"/>
        <v>243.151036</v>
      </c>
      <c r="K21" s="139"/>
      <c r="L21" s="176">
        <f t="shared" si="17"/>
        <v>5.1308</v>
      </c>
      <c r="M21" s="160">
        <f t="shared" si="18"/>
        <v>2</v>
      </c>
      <c r="N21" s="160">
        <f t="shared" si="19"/>
        <v>10.2616</v>
      </c>
      <c r="O21" s="139"/>
      <c r="P21" s="139"/>
      <c r="Q21" s="176">
        <v>125.0</v>
      </c>
      <c r="R21" s="281">
        <v>29.5</v>
      </c>
      <c r="S21" s="176">
        <f t="shared" si="9"/>
        <v>2.02</v>
      </c>
      <c r="T21" s="160">
        <f t="shared" si="10"/>
        <v>2</v>
      </c>
      <c r="U21" s="160">
        <f t="shared" si="11"/>
        <v>4.04</v>
      </c>
      <c r="V21" s="282">
        <f t="shared" si="12"/>
        <v>121.575518</v>
      </c>
      <c r="W21" s="176">
        <f t="shared" ref="W21:X21" si="20">C21/100</f>
        <v>1.01</v>
      </c>
      <c r="X21" s="176">
        <f t="shared" si="20"/>
        <v>2.02</v>
      </c>
      <c r="Y21" s="176">
        <f t="shared" si="14"/>
        <v>4.04</v>
      </c>
      <c r="Z21" s="283">
        <f t="shared" si="15"/>
        <v>8.242408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5.0</v>
      </c>
      <c r="B22" s="191" t="s">
        <v>56</v>
      </c>
      <c r="C22" s="191">
        <v>101.0</v>
      </c>
      <c r="D22" s="191">
        <v>202.0</v>
      </c>
      <c r="E22" s="191">
        <v>201.0</v>
      </c>
      <c r="F22" s="191">
        <f t="shared" si="5"/>
        <v>0</v>
      </c>
      <c r="G22" s="191">
        <f t="shared" si="6"/>
        <v>120.973659</v>
      </c>
      <c r="H22" s="192">
        <f t="shared" si="7"/>
        <v>120.973659</v>
      </c>
      <c r="I22" s="191">
        <v>14.0</v>
      </c>
      <c r="J22" s="194">
        <f t="shared" si="8"/>
        <v>1693.631226</v>
      </c>
      <c r="K22" s="139"/>
      <c r="L22" s="176">
        <f t="shared" si="17"/>
        <v>5.1308</v>
      </c>
      <c r="M22" s="160">
        <f t="shared" si="18"/>
        <v>14</v>
      </c>
      <c r="N22" s="160">
        <f t="shared" si="19"/>
        <v>71.8312</v>
      </c>
      <c r="O22" s="139"/>
      <c r="P22" s="139"/>
      <c r="Q22" s="176"/>
      <c r="R22" s="281">
        <v>29.5</v>
      </c>
      <c r="S22" s="176">
        <f t="shared" si="9"/>
        <v>2.01</v>
      </c>
      <c r="T22" s="160">
        <f t="shared" si="10"/>
        <v>14</v>
      </c>
      <c r="U22" s="160">
        <f t="shared" si="11"/>
        <v>28.14</v>
      </c>
      <c r="V22" s="282">
        <f t="shared" si="12"/>
        <v>120.973659</v>
      </c>
      <c r="W22" s="176">
        <f t="shared" ref="W22:X22" si="21">C22/100</f>
        <v>1.01</v>
      </c>
      <c r="X22" s="176">
        <f t="shared" si="21"/>
        <v>2.02</v>
      </c>
      <c r="Y22" s="176">
        <f t="shared" si="14"/>
        <v>28.14</v>
      </c>
      <c r="Z22" s="283">
        <f t="shared" si="15"/>
        <v>57.411228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6.0</v>
      </c>
      <c r="B23" s="191" t="s">
        <v>56</v>
      </c>
      <c r="C23" s="191">
        <v>101.0</v>
      </c>
      <c r="D23" s="191">
        <v>202.0</v>
      </c>
      <c r="E23" s="191">
        <v>201.0</v>
      </c>
      <c r="F23" s="191">
        <f t="shared" si="5"/>
        <v>0</v>
      </c>
      <c r="G23" s="191">
        <f t="shared" si="6"/>
        <v>120.973659</v>
      </c>
      <c r="H23" s="192">
        <f t="shared" si="7"/>
        <v>120.973659</v>
      </c>
      <c r="I23" s="191">
        <v>2.0</v>
      </c>
      <c r="J23" s="194">
        <f t="shared" si="8"/>
        <v>241.947318</v>
      </c>
      <c r="K23" s="139"/>
      <c r="L23" s="176">
        <f t="shared" si="17"/>
        <v>5.1308</v>
      </c>
      <c r="M23" s="160">
        <f t="shared" si="18"/>
        <v>2</v>
      </c>
      <c r="N23" s="160">
        <f t="shared" si="19"/>
        <v>10.2616</v>
      </c>
      <c r="O23" s="139"/>
      <c r="P23" s="139"/>
      <c r="Q23" s="176">
        <v>125.0</v>
      </c>
      <c r="R23" s="281">
        <v>29.5</v>
      </c>
      <c r="S23" s="176">
        <f t="shared" si="9"/>
        <v>2.01</v>
      </c>
      <c r="T23" s="160">
        <f t="shared" si="10"/>
        <v>2</v>
      </c>
      <c r="U23" s="160">
        <f t="shared" si="11"/>
        <v>4.02</v>
      </c>
      <c r="V23" s="282">
        <f t="shared" si="12"/>
        <v>120.973659</v>
      </c>
      <c r="W23" s="176">
        <f t="shared" ref="W23:X23" si="22">C23/100</f>
        <v>1.01</v>
      </c>
      <c r="X23" s="176">
        <f t="shared" si="22"/>
        <v>2.02</v>
      </c>
      <c r="Y23" s="176">
        <f t="shared" si="14"/>
        <v>4.02</v>
      </c>
      <c r="Z23" s="283">
        <f t="shared" si="15"/>
        <v>8.201604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7.0</v>
      </c>
      <c r="B24" s="191" t="s">
        <v>56</v>
      </c>
      <c r="C24" s="191">
        <v>100.0</v>
      </c>
      <c r="D24" s="191">
        <v>202.0</v>
      </c>
      <c r="E24" s="191">
        <v>202.0</v>
      </c>
      <c r="F24" s="191">
        <f t="shared" si="5"/>
        <v>0</v>
      </c>
      <c r="G24" s="191">
        <f t="shared" si="6"/>
        <v>120.3718</v>
      </c>
      <c r="H24" s="192">
        <f t="shared" si="7"/>
        <v>120.3718</v>
      </c>
      <c r="I24" s="191">
        <v>5.0</v>
      </c>
      <c r="J24" s="194">
        <f t="shared" si="8"/>
        <v>601.859</v>
      </c>
      <c r="K24" s="139"/>
      <c r="L24" s="176">
        <f t="shared" si="17"/>
        <v>5.1308</v>
      </c>
      <c r="M24" s="160">
        <f t="shared" si="18"/>
        <v>5</v>
      </c>
      <c r="N24" s="160">
        <f t="shared" si="19"/>
        <v>25.654</v>
      </c>
      <c r="O24" s="139"/>
      <c r="P24" s="139"/>
      <c r="Q24" s="176"/>
      <c r="R24" s="281">
        <v>29.5</v>
      </c>
      <c r="S24" s="176">
        <f t="shared" si="9"/>
        <v>2.02</v>
      </c>
      <c r="T24" s="160">
        <f t="shared" si="10"/>
        <v>5</v>
      </c>
      <c r="U24" s="160">
        <f t="shared" si="11"/>
        <v>10.1</v>
      </c>
      <c r="V24" s="282">
        <f t="shared" si="12"/>
        <v>120.3718</v>
      </c>
      <c r="W24" s="176">
        <f t="shared" ref="W24:X24" si="23">C24/100</f>
        <v>1</v>
      </c>
      <c r="X24" s="176">
        <f t="shared" si="23"/>
        <v>2.02</v>
      </c>
      <c r="Y24" s="176">
        <f t="shared" si="14"/>
        <v>10.1</v>
      </c>
      <c r="Z24" s="283">
        <f t="shared" si="15"/>
        <v>20.402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8.0</v>
      </c>
      <c r="B25" s="191" t="s">
        <v>56</v>
      </c>
      <c r="C25" s="191">
        <v>101.0</v>
      </c>
      <c r="D25" s="191">
        <v>202.0</v>
      </c>
      <c r="E25" s="191">
        <v>250.0</v>
      </c>
      <c r="F25" s="191">
        <f t="shared" si="5"/>
        <v>0</v>
      </c>
      <c r="G25" s="191">
        <f t="shared" si="6"/>
        <v>150.46475</v>
      </c>
      <c r="H25" s="192">
        <f t="shared" si="7"/>
        <v>150.46475</v>
      </c>
      <c r="I25" s="191">
        <v>1.0</v>
      </c>
      <c r="J25" s="194">
        <f t="shared" si="8"/>
        <v>150.46475</v>
      </c>
      <c r="K25" s="139"/>
      <c r="L25" s="176">
        <f t="shared" si="17"/>
        <v>5.1308</v>
      </c>
      <c r="M25" s="160">
        <f t="shared" si="18"/>
        <v>1</v>
      </c>
      <c r="N25" s="160">
        <f t="shared" si="19"/>
        <v>5.1308</v>
      </c>
      <c r="O25" s="139"/>
      <c r="P25" s="139"/>
      <c r="Q25" s="176"/>
      <c r="R25" s="281">
        <v>29.5</v>
      </c>
      <c r="S25" s="176">
        <f t="shared" si="9"/>
        <v>2.5</v>
      </c>
      <c r="T25" s="160">
        <f t="shared" si="10"/>
        <v>1</v>
      </c>
      <c r="U25" s="160">
        <f t="shared" si="11"/>
        <v>2.5</v>
      </c>
      <c r="V25" s="282">
        <f t="shared" si="12"/>
        <v>150.46475</v>
      </c>
      <c r="W25" s="176">
        <f t="shared" ref="W25:X25" si="24">C25/100</f>
        <v>1.01</v>
      </c>
      <c r="X25" s="176">
        <f t="shared" si="24"/>
        <v>2.02</v>
      </c>
      <c r="Y25" s="176">
        <f t="shared" si="14"/>
        <v>2.5</v>
      </c>
      <c r="Z25" s="283">
        <f t="shared" si="15"/>
        <v>5.1005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9.0</v>
      </c>
      <c r="B26" s="191" t="s">
        <v>56</v>
      </c>
      <c r="C26" s="191">
        <v>102.0</v>
      </c>
      <c r="D26" s="191">
        <v>202.0</v>
      </c>
      <c r="E26" s="191">
        <v>201.0</v>
      </c>
      <c r="F26" s="191">
        <f t="shared" si="5"/>
        <v>0</v>
      </c>
      <c r="G26" s="191">
        <f t="shared" si="6"/>
        <v>122.171418</v>
      </c>
      <c r="H26" s="192">
        <f t="shared" si="7"/>
        <v>122.171418</v>
      </c>
      <c r="I26" s="191">
        <v>2.0</v>
      </c>
      <c r="J26" s="194">
        <f t="shared" si="8"/>
        <v>244.342836</v>
      </c>
      <c r="K26" s="139"/>
      <c r="L26" s="176">
        <f t="shared" si="17"/>
        <v>5.1308</v>
      </c>
      <c r="M26" s="160">
        <f t="shared" si="18"/>
        <v>2</v>
      </c>
      <c r="N26" s="160">
        <f t="shared" si="19"/>
        <v>10.2616</v>
      </c>
      <c r="O26" s="139"/>
      <c r="P26" s="139"/>
      <c r="Q26" s="176"/>
      <c r="R26" s="281">
        <v>29.5</v>
      </c>
      <c r="S26" s="176">
        <f t="shared" si="9"/>
        <v>2.01</v>
      </c>
      <c r="T26" s="160">
        <f t="shared" si="10"/>
        <v>2</v>
      </c>
      <c r="U26" s="160">
        <f t="shared" si="11"/>
        <v>4.02</v>
      </c>
      <c r="V26" s="282">
        <f t="shared" si="12"/>
        <v>122.171418</v>
      </c>
      <c r="W26" s="176">
        <f t="shared" ref="W26:X26" si="25">C26/100</f>
        <v>1.02</v>
      </c>
      <c r="X26" s="176">
        <f t="shared" si="25"/>
        <v>2.02</v>
      </c>
      <c r="Y26" s="176">
        <f t="shared" si="14"/>
        <v>4.02</v>
      </c>
      <c r="Z26" s="283">
        <f t="shared" si="15"/>
        <v>8.282808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10.0</v>
      </c>
      <c r="B27" s="191" t="s">
        <v>56</v>
      </c>
      <c r="C27" s="191">
        <v>100.0</v>
      </c>
      <c r="D27" s="191">
        <v>202.0</v>
      </c>
      <c r="E27" s="191">
        <v>201.0</v>
      </c>
      <c r="F27" s="191">
        <f t="shared" si="5"/>
        <v>0</v>
      </c>
      <c r="G27" s="191">
        <f t="shared" si="6"/>
        <v>119.7759</v>
      </c>
      <c r="H27" s="192">
        <f t="shared" si="7"/>
        <v>119.7759</v>
      </c>
      <c r="I27" s="191">
        <v>1.0</v>
      </c>
      <c r="J27" s="194">
        <f t="shared" si="8"/>
        <v>119.7759</v>
      </c>
      <c r="K27" s="139"/>
      <c r="L27" s="176">
        <f t="shared" si="17"/>
        <v>5.1308</v>
      </c>
      <c r="M27" s="160">
        <f t="shared" si="18"/>
        <v>1</v>
      </c>
      <c r="N27" s="160">
        <f t="shared" si="19"/>
        <v>5.1308</v>
      </c>
      <c r="O27" s="139"/>
      <c r="P27" s="139"/>
      <c r="Q27" s="176"/>
      <c r="R27" s="281">
        <v>29.5</v>
      </c>
      <c r="S27" s="176">
        <f t="shared" si="9"/>
        <v>2.01</v>
      </c>
      <c r="T27" s="160">
        <f t="shared" si="10"/>
        <v>1</v>
      </c>
      <c r="U27" s="160">
        <f t="shared" si="11"/>
        <v>2.01</v>
      </c>
      <c r="V27" s="282">
        <f t="shared" si="12"/>
        <v>119.7759</v>
      </c>
      <c r="W27" s="176">
        <f t="shared" ref="W27:X27" si="26">C27/100</f>
        <v>1</v>
      </c>
      <c r="X27" s="176">
        <f t="shared" si="26"/>
        <v>2.02</v>
      </c>
      <c r="Y27" s="176">
        <f t="shared" si="14"/>
        <v>2.01</v>
      </c>
      <c r="Z27" s="283">
        <f t="shared" si="15"/>
        <v>4.0602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11.0</v>
      </c>
      <c r="B28" s="191" t="s">
        <v>56</v>
      </c>
      <c r="C28" s="191">
        <v>82.0</v>
      </c>
      <c r="D28" s="191">
        <v>202.0</v>
      </c>
      <c r="E28" s="191">
        <v>256.0</v>
      </c>
      <c r="F28" s="191">
        <f t="shared" si="5"/>
        <v>0</v>
      </c>
      <c r="G28" s="191">
        <f t="shared" si="6"/>
        <v>125.091328</v>
      </c>
      <c r="H28" s="192">
        <f t="shared" si="7"/>
        <v>125.091328</v>
      </c>
      <c r="I28" s="191">
        <v>1.0</v>
      </c>
      <c r="J28" s="194">
        <f t="shared" si="8"/>
        <v>125.091328</v>
      </c>
      <c r="K28" s="139"/>
      <c r="L28" s="176">
        <f t="shared" si="17"/>
        <v>5.1308</v>
      </c>
      <c r="M28" s="160">
        <f t="shared" si="18"/>
        <v>1</v>
      </c>
      <c r="N28" s="160">
        <f t="shared" si="19"/>
        <v>5.1308</v>
      </c>
      <c r="O28" s="139"/>
      <c r="P28" s="139"/>
      <c r="Q28" s="176"/>
      <c r="R28" s="281">
        <v>29.5</v>
      </c>
      <c r="S28" s="176">
        <f t="shared" si="9"/>
        <v>2.56</v>
      </c>
      <c r="T28" s="160">
        <f t="shared" si="10"/>
        <v>1</v>
      </c>
      <c r="U28" s="160">
        <f t="shared" si="11"/>
        <v>2.56</v>
      </c>
      <c r="V28" s="282">
        <f t="shared" si="12"/>
        <v>125.091328</v>
      </c>
      <c r="W28" s="176">
        <f t="shared" ref="W28:X28" si="27">C28/100</f>
        <v>0.82</v>
      </c>
      <c r="X28" s="176">
        <f t="shared" si="27"/>
        <v>2.02</v>
      </c>
      <c r="Y28" s="176">
        <f t="shared" si="14"/>
        <v>2.56</v>
      </c>
      <c r="Z28" s="283">
        <f t="shared" si="15"/>
        <v>4.240384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12.0</v>
      </c>
      <c r="B29" s="191" t="s">
        <v>56</v>
      </c>
      <c r="C29" s="191">
        <v>99.0</v>
      </c>
      <c r="D29" s="191">
        <v>202.0</v>
      </c>
      <c r="E29" s="191">
        <v>202.0</v>
      </c>
      <c r="F29" s="191">
        <f t="shared" si="5"/>
        <v>0</v>
      </c>
      <c r="G29" s="191">
        <f t="shared" si="6"/>
        <v>119.168082</v>
      </c>
      <c r="H29" s="192">
        <f t="shared" si="7"/>
        <v>119.168082</v>
      </c>
      <c r="I29" s="191">
        <v>3.0</v>
      </c>
      <c r="J29" s="194">
        <f t="shared" si="8"/>
        <v>357.504246</v>
      </c>
      <c r="K29" s="139"/>
      <c r="L29" s="176">
        <f t="shared" si="17"/>
        <v>5.1308</v>
      </c>
      <c r="M29" s="160">
        <f t="shared" si="18"/>
        <v>3</v>
      </c>
      <c r="N29" s="160">
        <f t="shared" si="19"/>
        <v>15.3924</v>
      </c>
      <c r="O29" s="139"/>
      <c r="P29" s="139"/>
      <c r="Q29" s="176"/>
      <c r="R29" s="281">
        <v>29.5</v>
      </c>
      <c r="S29" s="176">
        <f t="shared" si="9"/>
        <v>2.02</v>
      </c>
      <c r="T29" s="160">
        <f t="shared" si="10"/>
        <v>3</v>
      </c>
      <c r="U29" s="160">
        <f t="shared" si="11"/>
        <v>6.06</v>
      </c>
      <c r="V29" s="282">
        <f t="shared" si="12"/>
        <v>119.168082</v>
      </c>
      <c r="W29" s="176">
        <f t="shared" ref="W29:X29" si="28">C29/100</f>
        <v>0.99</v>
      </c>
      <c r="X29" s="176">
        <f t="shared" si="28"/>
        <v>2.02</v>
      </c>
      <c r="Y29" s="176">
        <f t="shared" si="14"/>
        <v>6.06</v>
      </c>
      <c r="Z29" s="283">
        <f t="shared" si="15"/>
        <v>12.118788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13.0</v>
      </c>
      <c r="B30" s="191" t="s">
        <v>56</v>
      </c>
      <c r="C30" s="191">
        <v>99.0</v>
      </c>
      <c r="D30" s="191">
        <v>202.0</v>
      </c>
      <c r="E30" s="191">
        <v>251.0</v>
      </c>
      <c r="F30" s="191">
        <f t="shared" si="5"/>
        <v>0</v>
      </c>
      <c r="G30" s="191">
        <f t="shared" si="6"/>
        <v>148.075191</v>
      </c>
      <c r="H30" s="192">
        <f t="shared" si="7"/>
        <v>148.075191</v>
      </c>
      <c r="I30" s="191">
        <v>1.0</v>
      </c>
      <c r="J30" s="194">
        <f t="shared" si="8"/>
        <v>148.075191</v>
      </c>
      <c r="K30" s="139"/>
      <c r="L30" s="176">
        <f t="shared" si="17"/>
        <v>5.1308</v>
      </c>
      <c r="M30" s="160">
        <f t="shared" si="18"/>
        <v>1</v>
      </c>
      <c r="N30" s="160">
        <f t="shared" si="19"/>
        <v>5.1308</v>
      </c>
      <c r="O30" s="139"/>
      <c r="P30" s="139"/>
      <c r="Q30" s="176"/>
      <c r="R30" s="281">
        <v>29.5</v>
      </c>
      <c r="S30" s="176">
        <f t="shared" si="9"/>
        <v>2.51</v>
      </c>
      <c r="T30" s="160">
        <f t="shared" si="10"/>
        <v>1</v>
      </c>
      <c r="U30" s="160">
        <f t="shared" si="11"/>
        <v>2.51</v>
      </c>
      <c r="V30" s="282">
        <f t="shared" si="12"/>
        <v>148.075191</v>
      </c>
      <c r="W30" s="176">
        <f t="shared" ref="W30:X30" si="29">C30/100</f>
        <v>0.99</v>
      </c>
      <c r="X30" s="176">
        <f t="shared" si="29"/>
        <v>2.02</v>
      </c>
      <c r="Y30" s="176">
        <f t="shared" si="14"/>
        <v>2.51</v>
      </c>
      <c r="Z30" s="283">
        <f t="shared" si="15"/>
        <v>5.019498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14.0</v>
      </c>
      <c r="B31" s="191" t="s">
        <v>56</v>
      </c>
      <c r="C31" s="191">
        <v>98.0</v>
      </c>
      <c r="D31" s="191">
        <v>202.0</v>
      </c>
      <c r="E31" s="191">
        <v>251.0</v>
      </c>
      <c r="F31" s="191">
        <f t="shared" si="5"/>
        <v>0</v>
      </c>
      <c r="G31" s="191">
        <f t="shared" si="6"/>
        <v>146.579482</v>
      </c>
      <c r="H31" s="192">
        <f t="shared" si="7"/>
        <v>146.579482</v>
      </c>
      <c r="I31" s="191">
        <v>20.0</v>
      </c>
      <c r="J31" s="194">
        <f t="shared" si="8"/>
        <v>2931.58964</v>
      </c>
      <c r="K31" s="139"/>
      <c r="L31" s="176">
        <f t="shared" si="17"/>
        <v>5.1308</v>
      </c>
      <c r="M31" s="160">
        <f t="shared" si="18"/>
        <v>20</v>
      </c>
      <c r="N31" s="160">
        <f t="shared" si="19"/>
        <v>102.616</v>
      </c>
      <c r="O31" s="139"/>
      <c r="P31" s="139"/>
      <c r="Q31" s="176"/>
      <c r="R31" s="281">
        <v>29.5</v>
      </c>
      <c r="S31" s="176">
        <f t="shared" si="9"/>
        <v>2.51</v>
      </c>
      <c r="T31" s="160">
        <f t="shared" si="10"/>
        <v>20</v>
      </c>
      <c r="U31" s="160">
        <f t="shared" si="11"/>
        <v>50.2</v>
      </c>
      <c r="V31" s="282">
        <f t="shared" si="12"/>
        <v>146.579482</v>
      </c>
      <c r="W31" s="176">
        <f t="shared" ref="W31:X31" si="30">C31/100</f>
        <v>0.98</v>
      </c>
      <c r="X31" s="176">
        <f t="shared" si="30"/>
        <v>2.02</v>
      </c>
      <c r="Y31" s="176">
        <f t="shared" si="14"/>
        <v>50.2</v>
      </c>
      <c r="Z31" s="283">
        <f t="shared" si="15"/>
        <v>99.37592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15.0</v>
      </c>
      <c r="B32" s="191" t="s">
        <v>56</v>
      </c>
      <c r="C32" s="191">
        <v>99.0</v>
      </c>
      <c r="D32" s="191">
        <v>202.0</v>
      </c>
      <c r="E32" s="191">
        <v>201.0</v>
      </c>
      <c r="F32" s="191">
        <f t="shared" si="5"/>
        <v>0</v>
      </c>
      <c r="G32" s="191">
        <f t="shared" si="6"/>
        <v>118.578141</v>
      </c>
      <c r="H32" s="192">
        <f t="shared" si="7"/>
        <v>118.578141</v>
      </c>
      <c r="I32" s="191">
        <v>3.0</v>
      </c>
      <c r="J32" s="194">
        <f t="shared" si="8"/>
        <v>355.734423</v>
      </c>
      <c r="K32" s="139"/>
      <c r="L32" s="176">
        <f t="shared" si="17"/>
        <v>5.1308</v>
      </c>
      <c r="M32" s="160">
        <f t="shared" si="18"/>
        <v>3</v>
      </c>
      <c r="N32" s="160">
        <f t="shared" si="19"/>
        <v>15.3924</v>
      </c>
      <c r="O32" s="139"/>
      <c r="P32" s="139"/>
      <c r="Q32" s="176"/>
      <c r="R32" s="281">
        <v>29.5</v>
      </c>
      <c r="S32" s="176">
        <f t="shared" si="9"/>
        <v>2.01</v>
      </c>
      <c r="T32" s="160">
        <f t="shared" si="10"/>
        <v>3</v>
      </c>
      <c r="U32" s="160">
        <f t="shared" si="11"/>
        <v>6.03</v>
      </c>
      <c r="V32" s="282">
        <f t="shared" si="12"/>
        <v>118.578141</v>
      </c>
      <c r="W32" s="176">
        <f t="shared" ref="W32:X32" si="31">C32/100</f>
        <v>0.99</v>
      </c>
      <c r="X32" s="176">
        <f t="shared" si="31"/>
        <v>2.02</v>
      </c>
      <c r="Y32" s="176">
        <f t="shared" si="14"/>
        <v>6.03</v>
      </c>
      <c r="Z32" s="283">
        <f t="shared" si="15"/>
        <v>12.058794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16.0</v>
      </c>
      <c r="B33" s="191" t="s">
        <v>56</v>
      </c>
      <c r="C33" s="191">
        <v>98.0</v>
      </c>
      <c r="D33" s="191">
        <v>202.0</v>
      </c>
      <c r="E33" s="191">
        <v>202.0</v>
      </c>
      <c r="F33" s="191">
        <f t="shared" si="5"/>
        <v>0</v>
      </c>
      <c r="G33" s="191">
        <f t="shared" si="6"/>
        <v>117.964364</v>
      </c>
      <c r="H33" s="192">
        <f t="shared" si="7"/>
        <v>117.964364</v>
      </c>
      <c r="I33" s="191">
        <v>7.0</v>
      </c>
      <c r="J33" s="194">
        <f t="shared" si="8"/>
        <v>825.750548</v>
      </c>
      <c r="K33" s="139"/>
      <c r="L33" s="176">
        <f t="shared" si="17"/>
        <v>5.1308</v>
      </c>
      <c r="M33" s="160">
        <f t="shared" si="18"/>
        <v>7</v>
      </c>
      <c r="N33" s="160">
        <f t="shared" si="19"/>
        <v>35.9156</v>
      </c>
      <c r="O33" s="139"/>
      <c r="P33" s="139"/>
      <c r="Q33" s="176"/>
      <c r="R33" s="281">
        <v>29.5</v>
      </c>
      <c r="S33" s="176">
        <f t="shared" si="9"/>
        <v>2.02</v>
      </c>
      <c r="T33" s="160">
        <f t="shared" si="10"/>
        <v>7</v>
      </c>
      <c r="U33" s="160">
        <f t="shared" si="11"/>
        <v>14.14</v>
      </c>
      <c r="V33" s="282">
        <f t="shared" si="12"/>
        <v>117.964364</v>
      </c>
      <c r="W33" s="176">
        <f t="shared" ref="W33:X33" si="32">C33/100</f>
        <v>0.98</v>
      </c>
      <c r="X33" s="176">
        <f t="shared" si="32"/>
        <v>2.02</v>
      </c>
      <c r="Y33" s="176">
        <f t="shared" si="14"/>
        <v>14.14</v>
      </c>
      <c r="Z33" s="283">
        <f t="shared" si="15"/>
        <v>27.991544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17.0</v>
      </c>
      <c r="B34" s="191" t="s">
        <v>56</v>
      </c>
      <c r="C34" s="191">
        <v>97.0</v>
      </c>
      <c r="D34" s="191">
        <v>202.0</v>
      </c>
      <c r="E34" s="191">
        <v>251.0</v>
      </c>
      <c r="F34" s="191">
        <f t="shared" si="5"/>
        <v>0</v>
      </c>
      <c r="G34" s="191">
        <f t="shared" si="6"/>
        <v>145.083773</v>
      </c>
      <c r="H34" s="192">
        <f t="shared" si="7"/>
        <v>145.083773</v>
      </c>
      <c r="I34" s="191">
        <v>3.0</v>
      </c>
      <c r="J34" s="194">
        <f t="shared" si="8"/>
        <v>435.251319</v>
      </c>
      <c r="K34" s="139"/>
      <c r="L34" s="176">
        <f t="shared" si="17"/>
        <v>5.1308</v>
      </c>
      <c r="M34" s="160">
        <f t="shared" si="18"/>
        <v>3</v>
      </c>
      <c r="N34" s="160">
        <f t="shared" si="19"/>
        <v>15.3924</v>
      </c>
      <c r="O34" s="139"/>
      <c r="P34" s="139"/>
      <c r="Q34" s="176"/>
      <c r="R34" s="281">
        <v>29.5</v>
      </c>
      <c r="S34" s="176">
        <f t="shared" si="9"/>
        <v>2.51</v>
      </c>
      <c r="T34" s="160">
        <f t="shared" si="10"/>
        <v>3</v>
      </c>
      <c r="U34" s="160">
        <f t="shared" si="11"/>
        <v>7.53</v>
      </c>
      <c r="V34" s="282">
        <f t="shared" si="12"/>
        <v>145.083773</v>
      </c>
      <c r="W34" s="176">
        <f t="shared" ref="W34:X34" si="33">C34/100</f>
        <v>0.97</v>
      </c>
      <c r="X34" s="176">
        <f t="shared" si="33"/>
        <v>2.02</v>
      </c>
      <c r="Y34" s="176">
        <f t="shared" si="14"/>
        <v>7.53</v>
      </c>
      <c r="Z34" s="283">
        <f t="shared" si="15"/>
        <v>14.754282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18.0</v>
      </c>
      <c r="B35" s="191" t="s">
        <v>56</v>
      </c>
      <c r="C35" s="191">
        <v>98.0</v>
      </c>
      <c r="D35" s="191">
        <v>202.0</v>
      </c>
      <c r="E35" s="191">
        <v>201.0</v>
      </c>
      <c r="F35" s="191">
        <f t="shared" si="5"/>
        <v>0</v>
      </c>
      <c r="G35" s="191">
        <f t="shared" si="6"/>
        <v>117.380382</v>
      </c>
      <c r="H35" s="192">
        <f t="shared" si="7"/>
        <v>117.380382</v>
      </c>
      <c r="I35" s="191">
        <v>1.0</v>
      </c>
      <c r="J35" s="194">
        <f t="shared" si="8"/>
        <v>117.380382</v>
      </c>
      <c r="K35" s="139"/>
      <c r="L35" s="176">
        <f t="shared" si="17"/>
        <v>5.1308</v>
      </c>
      <c r="M35" s="160">
        <f t="shared" si="18"/>
        <v>1</v>
      </c>
      <c r="N35" s="160">
        <f t="shared" si="19"/>
        <v>5.1308</v>
      </c>
      <c r="O35" s="139"/>
      <c r="P35" s="139"/>
      <c r="Q35" s="176"/>
      <c r="R35" s="281">
        <v>29.5</v>
      </c>
      <c r="S35" s="176">
        <f t="shared" si="9"/>
        <v>2.01</v>
      </c>
      <c r="T35" s="160">
        <f t="shared" si="10"/>
        <v>1</v>
      </c>
      <c r="U35" s="160">
        <f t="shared" si="11"/>
        <v>2.01</v>
      </c>
      <c r="V35" s="282">
        <f t="shared" si="12"/>
        <v>117.380382</v>
      </c>
      <c r="W35" s="176">
        <f t="shared" ref="W35:X35" si="34">C35/100</f>
        <v>0.98</v>
      </c>
      <c r="X35" s="176">
        <f t="shared" si="34"/>
        <v>2.02</v>
      </c>
      <c r="Y35" s="176">
        <f t="shared" si="14"/>
        <v>2.01</v>
      </c>
      <c r="Z35" s="283">
        <f t="shared" si="15"/>
        <v>3.978996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19.0</v>
      </c>
      <c r="B36" s="191" t="s">
        <v>56</v>
      </c>
      <c r="C36" s="191">
        <v>95.0</v>
      </c>
      <c r="D36" s="191">
        <v>202.0</v>
      </c>
      <c r="E36" s="191">
        <v>251.0</v>
      </c>
      <c r="F36" s="191">
        <f t="shared" si="5"/>
        <v>0</v>
      </c>
      <c r="G36" s="191">
        <f t="shared" si="6"/>
        <v>142.092355</v>
      </c>
      <c r="H36" s="192">
        <f t="shared" si="7"/>
        <v>142.092355</v>
      </c>
      <c r="I36" s="191">
        <v>1.0</v>
      </c>
      <c r="J36" s="194">
        <f t="shared" si="8"/>
        <v>142.092355</v>
      </c>
      <c r="K36" s="139"/>
      <c r="L36" s="176">
        <f t="shared" si="17"/>
        <v>5.1308</v>
      </c>
      <c r="M36" s="160">
        <f t="shared" si="18"/>
        <v>1</v>
      </c>
      <c r="N36" s="160">
        <f t="shared" si="19"/>
        <v>5.1308</v>
      </c>
      <c r="O36" s="139"/>
      <c r="P36" s="139"/>
      <c r="Q36" s="176"/>
      <c r="R36" s="281">
        <v>29.5</v>
      </c>
      <c r="S36" s="176">
        <f t="shared" si="9"/>
        <v>2.51</v>
      </c>
      <c r="T36" s="160">
        <f t="shared" si="10"/>
        <v>1</v>
      </c>
      <c r="U36" s="160">
        <f t="shared" si="11"/>
        <v>2.51</v>
      </c>
      <c r="V36" s="282">
        <f t="shared" si="12"/>
        <v>142.092355</v>
      </c>
      <c r="W36" s="176">
        <f t="shared" ref="W36:X36" si="35">C36/100</f>
        <v>0.95</v>
      </c>
      <c r="X36" s="176">
        <f t="shared" si="35"/>
        <v>2.02</v>
      </c>
      <c r="Y36" s="176">
        <f t="shared" si="14"/>
        <v>2.51</v>
      </c>
      <c r="Z36" s="283">
        <f t="shared" si="15"/>
        <v>4.81669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20.0</v>
      </c>
      <c r="B37" s="191" t="s">
        <v>56</v>
      </c>
      <c r="C37" s="191">
        <v>101.0</v>
      </c>
      <c r="D37" s="191">
        <v>202.0</v>
      </c>
      <c r="E37" s="191">
        <v>251.0</v>
      </c>
      <c r="F37" s="191">
        <f t="shared" si="5"/>
        <v>0</v>
      </c>
      <c r="G37" s="191">
        <f t="shared" si="6"/>
        <v>151.066609</v>
      </c>
      <c r="H37" s="192">
        <f t="shared" si="7"/>
        <v>151.066609</v>
      </c>
      <c r="I37" s="191">
        <v>1.0</v>
      </c>
      <c r="J37" s="194">
        <f t="shared" si="8"/>
        <v>151.066609</v>
      </c>
      <c r="K37" s="139"/>
      <c r="L37" s="176">
        <f t="shared" si="17"/>
        <v>5.1308</v>
      </c>
      <c r="M37" s="160">
        <f t="shared" si="18"/>
        <v>1</v>
      </c>
      <c r="N37" s="160">
        <f t="shared" si="19"/>
        <v>5.1308</v>
      </c>
      <c r="O37" s="139"/>
      <c r="P37" s="139"/>
      <c r="Q37" s="176"/>
      <c r="R37" s="281">
        <v>29.5</v>
      </c>
      <c r="S37" s="176">
        <f t="shared" si="9"/>
        <v>2.51</v>
      </c>
      <c r="T37" s="160">
        <f t="shared" si="10"/>
        <v>1</v>
      </c>
      <c r="U37" s="160">
        <f t="shared" si="11"/>
        <v>2.51</v>
      </c>
      <c r="V37" s="282">
        <f t="shared" si="12"/>
        <v>151.066609</v>
      </c>
      <c r="W37" s="176">
        <f t="shared" ref="W37:X37" si="36">C37/100</f>
        <v>1.01</v>
      </c>
      <c r="X37" s="176">
        <f t="shared" si="36"/>
        <v>2.02</v>
      </c>
      <c r="Y37" s="176">
        <f t="shared" si="14"/>
        <v>2.51</v>
      </c>
      <c r="Z37" s="283">
        <f t="shared" si="15"/>
        <v>5.120902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21.0</v>
      </c>
      <c r="B38" s="191" t="s">
        <v>56</v>
      </c>
      <c r="C38" s="191">
        <v>100.0</v>
      </c>
      <c r="D38" s="191">
        <v>202.0</v>
      </c>
      <c r="E38" s="191">
        <v>201.0</v>
      </c>
      <c r="F38" s="191">
        <f t="shared" si="5"/>
        <v>0</v>
      </c>
      <c r="G38" s="191">
        <f t="shared" si="6"/>
        <v>119.7759</v>
      </c>
      <c r="H38" s="192">
        <f t="shared" si="7"/>
        <v>119.7759</v>
      </c>
      <c r="I38" s="191">
        <v>2.0</v>
      </c>
      <c r="J38" s="194">
        <f t="shared" si="8"/>
        <v>239.5518</v>
      </c>
      <c r="K38" s="139"/>
      <c r="L38" s="176">
        <f t="shared" si="17"/>
        <v>5.1308</v>
      </c>
      <c r="M38" s="160">
        <f t="shared" si="18"/>
        <v>2</v>
      </c>
      <c r="N38" s="160">
        <f t="shared" si="19"/>
        <v>10.2616</v>
      </c>
      <c r="O38" s="139"/>
      <c r="P38" s="139"/>
      <c r="Q38" s="176"/>
      <c r="R38" s="281">
        <v>29.5</v>
      </c>
      <c r="S38" s="176">
        <f t="shared" si="9"/>
        <v>2.01</v>
      </c>
      <c r="T38" s="160">
        <f t="shared" si="10"/>
        <v>2</v>
      </c>
      <c r="U38" s="160">
        <f t="shared" si="11"/>
        <v>4.02</v>
      </c>
      <c r="V38" s="282">
        <f t="shared" si="12"/>
        <v>119.7759</v>
      </c>
      <c r="W38" s="176">
        <f t="shared" ref="W38:X38" si="37">C38/100</f>
        <v>1</v>
      </c>
      <c r="X38" s="176">
        <f t="shared" si="37"/>
        <v>2.02</v>
      </c>
      <c r="Y38" s="176">
        <f t="shared" si="14"/>
        <v>4.02</v>
      </c>
      <c r="Z38" s="283">
        <f t="shared" si="15"/>
        <v>8.1204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22.0</v>
      </c>
      <c r="B39" s="182" t="s">
        <v>64</v>
      </c>
      <c r="C39" s="191">
        <v>97.0</v>
      </c>
      <c r="D39" s="191">
        <v>202.0</v>
      </c>
      <c r="E39" s="277">
        <v>3000.0</v>
      </c>
      <c r="F39" s="277">
        <f t="shared" si="5"/>
        <v>0.8</v>
      </c>
      <c r="G39" s="277">
        <f t="shared" si="6"/>
        <v>1734.069</v>
      </c>
      <c r="H39" s="192">
        <f t="shared" si="7"/>
        <v>1387.2552</v>
      </c>
      <c r="I39" s="191">
        <v>4.0</v>
      </c>
      <c r="J39" s="194">
        <f t="shared" si="8"/>
        <v>5549.0208</v>
      </c>
      <c r="K39" s="139"/>
      <c r="L39" s="176">
        <f t="shared" si="17"/>
        <v>5.1308</v>
      </c>
      <c r="M39" s="160">
        <f t="shared" si="18"/>
        <v>4</v>
      </c>
      <c r="N39" s="160">
        <f t="shared" si="19"/>
        <v>20.5232</v>
      </c>
      <c r="O39" s="139"/>
      <c r="P39" s="139"/>
      <c r="Q39" s="176"/>
      <c r="R39" s="281">
        <v>29.5</v>
      </c>
      <c r="S39" s="176">
        <f t="shared" si="9"/>
        <v>30</v>
      </c>
      <c r="T39" s="160">
        <f t="shared" si="10"/>
        <v>4</v>
      </c>
      <c r="U39" s="160">
        <f t="shared" si="11"/>
        <v>120</v>
      </c>
      <c r="V39" s="282">
        <f t="shared" si="12"/>
        <v>1734.069</v>
      </c>
      <c r="W39" s="176">
        <f t="shared" ref="W39:X39" si="38">C39/100</f>
        <v>0.97</v>
      </c>
      <c r="X39" s="176">
        <f t="shared" si="38"/>
        <v>2.02</v>
      </c>
      <c r="Y39" s="176">
        <f t="shared" si="14"/>
        <v>120</v>
      </c>
      <c r="Z39" s="283">
        <f t="shared" si="15"/>
        <v>235.128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23.0</v>
      </c>
      <c r="B40" s="191" t="s">
        <v>55</v>
      </c>
      <c r="C40" s="191">
        <v>97.0</v>
      </c>
      <c r="D40" s="191">
        <v>202.0</v>
      </c>
      <c r="E40" s="277">
        <v>1900.0</v>
      </c>
      <c r="F40" s="277">
        <f t="shared" si="5"/>
        <v>0</v>
      </c>
      <c r="G40" s="277">
        <f t="shared" si="6"/>
        <v>1098.2437</v>
      </c>
      <c r="H40" s="192">
        <f t="shared" si="7"/>
        <v>1098.2437</v>
      </c>
      <c r="I40" s="191">
        <v>1.0</v>
      </c>
      <c r="J40" s="194">
        <f t="shared" si="8"/>
        <v>1098.2437</v>
      </c>
      <c r="K40" s="139"/>
      <c r="L40" s="176">
        <f t="shared" si="17"/>
        <v>5.1308</v>
      </c>
      <c r="M40" s="160">
        <f t="shared" si="18"/>
        <v>1</v>
      </c>
      <c r="N40" s="160">
        <f t="shared" si="19"/>
        <v>5.1308</v>
      </c>
      <c r="O40" s="139"/>
      <c r="P40" s="139"/>
      <c r="Q40" s="176"/>
      <c r="R40" s="281">
        <v>29.5</v>
      </c>
      <c r="S40" s="176">
        <f t="shared" si="9"/>
        <v>19</v>
      </c>
      <c r="T40" s="160">
        <f t="shared" si="10"/>
        <v>1</v>
      </c>
      <c r="U40" s="160">
        <f t="shared" si="11"/>
        <v>19</v>
      </c>
      <c r="V40" s="282">
        <f t="shared" si="12"/>
        <v>1098.2437</v>
      </c>
      <c r="W40" s="176">
        <f t="shared" ref="W40:X40" si="39">C40/100</f>
        <v>0.97</v>
      </c>
      <c r="X40" s="176">
        <f t="shared" si="39"/>
        <v>2.02</v>
      </c>
      <c r="Y40" s="176">
        <f t="shared" si="14"/>
        <v>19</v>
      </c>
      <c r="Z40" s="283">
        <f t="shared" si="15"/>
        <v>37.2286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24.0</v>
      </c>
      <c r="B41" s="191" t="s">
        <v>55</v>
      </c>
      <c r="C41" s="191">
        <v>58.0</v>
      </c>
      <c r="D41" s="191">
        <v>202.0</v>
      </c>
      <c r="E41" s="191">
        <v>219.0</v>
      </c>
      <c r="F41" s="191">
        <f t="shared" si="5"/>
        <v>0</v>
      </c>
      <c r="G41" s="191">
        <f t="shared" si="6"/>
        <v>75.691218</v>
      </c>
      <c r="H41" s="192">
        <f t="shared" si="7"/>
        <v>75.691218</v>
      </c>
      <c r="I41" s="191">
        <v>1.0</v>
      </c>
      <c r="J41" s="194">
        <f t="shared" si="8"/>
        <v>75.691218</v>
      </c>
      <c r="K41" s="139"/>
      <c r="L41" s="176">
        <f t="shared" si="17"/>
        <v>5.1308</v>
      </c>
      <c r="M41" s="160">
        <f t="shared" si="18"/>
        <v>1</v>
      </c>
      <c r="N41" s="160">
        <f t="shared" si="19"/>
        <v>5.1308</v>
      </c>
      <c r="O41" s="139"/>
      <c r="P41" s="139"/>
      <c r="Q41" s="176"/>
      <c r="R41" s="281">
        <v>29.5</v>
      </c>
      <c r="S41" s="176">
        <f t="shared" si="9"/>
        <v>2.19</v>
      </c>
      <c r="T41" s="160">
        <f t="shared" si="10"/>
        <v>1</v>
      </c>
      <c r="U41" s="160">
        <f t="shared" si="11"/>
        <v>2.19</v>
      </c>
      <c r="V41" s="282">
        <f t="shared" si="12"/>
        <v>75.691218</v>
      </c>
      <c r="W41" s="176">
        <f t="shared" ref="W41:X41" si="40">C41/100</f>
        <v>0.58</v>
      </c>
      <c r="X41" s="176">
        <f t="shared" si="40"/>
        <v>2.02</v>
      </c>
      <c r="Y41" s="176">
        <f t="shared" si="14"/>
        <v>2.19</v>
      </c>
      <c r="Z41" s="283">
        <f t="shared" si="15"/>
        <v>2.565804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25.0</v>
      </c>
      <c r="B42" s="191" t="s">
        <v>55</v>
      </c>
      <c r="C42" s="191">
        <v>98.0</v>
      </c>
      <c r="D42" s="191">
        <v>202.0</v>
      </c>
      <c r="E42" s="191">
        <v>232.0</v>
      </c>
      <c r="F42" s="191">
        <f t="shared" si="5"/>
        <v>0</v>
      </c>
      <c r="G42" s="191">
        <f t="shared" si="6"/>
        <v>135.483824</v>
      </c>
      <c r="H42" s="192">
        <f t="shared" si="7"/>
        <v>135.483824</v>
      </c>
      <c r="I42" s="191">
        <v>15.0</v>
      </c>
      <c r="J42" s="194">
        <f t="shared" si="8"/>
        <v>2032.25736</v>
      </c>
      <c r="K42" s="139"/>
      <c r="L42" s="176">
        <f t="shared" si="17"/>
        <v>5.1308</v>
      </c>
      <c r="M42" s="160">
        <f t="shared" si="18"/>
        <v>15</v>
      </c>
      <c r="N42" s="160">
        <f t="shared" si="19"/>
        <v>76.962</v>
      </c>
      <c r="O42" s="139"/>
      <c r="P42" s="139"/>
      <c r="Q42" s="176"/>
      <c r="R42" s="281">
        <v>29.5</v>
      </c>
      <c r="S42" s="176">
        <f t="shared" si="9"/>
        <v>2.32</v>
      </c>
      <c r="T42" s="160">
        <f t="shared" si="10"/>
        <v>15</v>
      </c>
      <c r="U42" s="160">
        <f t="shared" si="11"/>
        <v>34.8</v>
      </c>
      <c r="V42" s="282">
        <f t="shared" si="12"/>
        <v>135.483824</v>
      </c>
      <c r="W42" s="176">
        <f t="shared" ref="W42:X42" si="41">C42/100</f>
        <v>0.98</v>
      </c>
      <c r="X42" s="176">
        <f t="shared" si="41"/>
        <v>2.02</v>
      </c>
      <c r="Y42" s="176">
        <f t="shared" si="14"/>
        <v>34.8</v>
      </c>
      <c r="Z42" s="283">
        <f t="shared" si="15"/>
        <v>68.89008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26.0</v>
      </c>
      <c r="B43" s="191" t="s">
        <v>55</v>
      </c>
      <c r="C43" s="191">
        <v>98.0</v>
      </c>
      <c r="D43" s="191">
        <v>202.0</v>
      </c>
      <c r="E43" s="191">
        <v>232.0</v>
      </c>
      <c r="F43" s="191">
        <f t="shared" si="5"/>
        <v>0</v>
      </c>
      <c r="G43" s="191">
        <f t="shared" si="6"/>
        <v>135.483824</v>
      </c>
      <c r="H43" s="192">
        <f t="shared" si="7"/>
        <v>135.483824</v>
      </c>
      <c r="I43" s="191">
        <v>1.0</v>
      </c>
      <c r="J43" s="194">
        <f t="shared" si="8"/>
        <v>135.483824</v>
      </c>
      <c r="K43" s="139"/>
      <c r="L43" s="197"/>
      <c r="M43" s="198">
        <f t="shared" si="18"/>
        <v>1</v>
      </c>
      <c r="N43" s="198"/>
      <c r="O43" s="139"/>
      <c r="P43" s="139"/>
      <c r="Q43" s="176">
        <v>136.0</v>
      </c>
      <c r="R43" s="281">
        <v>29.5</v>
      </c>
      <c r="S43" s="176">
        <f t="shared" si="9"/>
        <v>2.32</v>
      </c>
      <c r="T43" s="160">
        <f t="shared" si="10"/>
        <v>1</v>
      </c>
      <c r="U43" s="160">
        <f t="shared" si="11"/>
        <v>2.32</v>
      </c>
      <c r="V43" s="282">
        <f t="shared" si="12"/>
        <v>135.483824</v>
      </c>
      <c r="W43" s="176">
        <f t="shared" ref="W43:X43" si="42">C43/100</f>
        <v>0.98</v>
      </c>
      <c r="X43" s="176">
        <f t="shared" si="42"/>
        <v>2.02</v>
      </c>
      <c r="Y43" s="176">
        <f t="shared" si="14"/>
        <v>2.32</v>
      </c>
      <c r="Z43" s="283">
        <f t="shared" si="15"/>
        <v>4.592672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27.0</v>
      </c>
      <c r="B44" s="191" t="s">
        <v>55</v>
      </c>
      <c r="C44" s="191">
        <v>97.0</v>
      </c>
      <c r="D44" s="191">
        <v>202.0</v>
      </c>
      <c r="E44" s="191">
        <v>232.0</v>
      </c>
      <c r="F44" s="191">
        <f t="shared" si="5"/>
        <v>0</v>
      </c>
      <c r="G44" s="191">
        <f t="shared" si="6"/>
        <v>134.101336</v>
      </c>
      <c r="H44" s="192">
        <f t="shared" si="7"/>
        <v>134.101336</v>
      </c>
      <c r="I44" s="191">
        <v>5.0</v>
      </c>
      <c r="J44" s="194">
        <f t="shared" si="8"/>
        <v>670.50668</v>
      </c>
      <c r="K44" s="139"/>
      <c r="L44" s="197"/>
      <c r="M44" s="198">
        <f t="shared" si="18"/>
        <v>5</v>
      </c>
      <c r="N44" s="198"/>
      <c r="O44" s="139"/>
      <c r="P44" s="139"/>
      <c r="Q44" s="176"/>
      <c r="R44" s="281">
        <v>29.5</v>
      </c>
      <c r="S44" s="176">
        <f t="shared" si="9"/>
        <v>2.32</v>
      </c>
      <c r="T44" s="160">
        <f t="shared" si="10"/>
        <v>5</v>
      </c>
      <c r="U44" s="160">
        <f t="shared" si="11"/>
        <v>11.6</v>
      </c>
      <c r="V44" s="282">
        <f t="shared" si="12"/>
        <v>134.101336</v>
      </c>
      <c r="W44" s="176">
        <f t="shared" ref="W44:X44" si="43">C44/100</f>
        <v>0.97</v>
      </c>
      <c r="X44" s="176">
        <f t="shared" si="43"/>
        <v>2.02</v>
      </c>
      <c r="Y44" s="176">
        <f t="shared" si="14"/>
        <v>11.6</v>
      </c>
      <c r="Z44" s="283">
        <f t="shared" si="15"/>
        <v>22.72904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28.0</v>
      </c>
      <c r="B45" s="191" t="s">
        <v>55</v>
      </c>
      <c r="C45" s="191">
        <v>95.0</v>
      </c>
      <c r="D45" s="191">
        <v>202.0</v>
      </c>
      <c r="E45" s="191">
        <v>234.0</v>
      </c>
      <c r="F45" s="191">
        <f t="shared" si="5"/>
        <v>0</v>
      </c>
      <c r="G45" s="191">
        <f t="shared" si="6"/>
        <v>132.46857</v>
      </c>
      <c r="H45" s="192">
        <f t="shared" si="7"/>
        <v>132.46857</v>
      </c>
      <c r="I45" s="191">
        <v>1.0</v>
      </c>
      <c r="J45" s="194">
        <f t="shared" si="8"/>
        <v>132.46857</v>
      </c>
      <c r="K45" s="139"/>
      <c r="L45" s="197"/>
      <c r="M45" s="198">
        <f t="shared" si="18"/>
        <v>1</v>
      </c>
      <c r="N45" s="198"/>
      <c r="O45" s="139"/>
      <c r="P45" s="139"/>
      <c r="Q45" s="176"/>
      <c r="R45" s="281">
        <v>29.5</v>
      </c>
      <c r="S45" s="176">
        <f t="shared" si="9"/>
        <v>2.34</v>
      </c>
      <c r="T45" s="160">
        <f t="shared" si="10"/>
        <v>1</v>
      </c>
      <c r="U45" s="160">
        <f t="shared" si="11"/>
        <v>2.34</v>
      </c>
      <c r="V45" s="282">
        <f t="shared" si="12"/>
        <v>132.46857</v>
      </c>
      <c r="W45" s="176">
        <f t="shared" ref="W45:X45" si="44">C45/100</f>
        <v>0.95</v>
      </c>
      <c r="X45" s="176">
        <f t="shared" si="44"/>
        <v>2.02</v>
      </c>
      <c r="Y45" s="176">
        <f t="shared" si="14"/>
        <v>2.34</v>
      </c>
      <c r="Z45" s="283">
        <f t="shared" si="15"/>
        <v>4.49046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29.0</v>
      </c>
      <c r="B46" s="191" t="s">
        <v>55</v>
      </c>
      <c r="C46" s="191">
        <v>95.0</v>
      </c>
      <c r="D46" s="191">
        <v>202.0</v>
      </c>
      <c r="E46" s="191">
        <v>232.0</v>
      </c>
      <c r="F46" s="191">
        <f t="shared" si="5"/>
        <v>0</v>
      </c>
      <c r="G46" s="191">
        <f t="shared" si="6"/>
        <v>131.33636</v>
      </c>
      <c r="H46" s="192">
        <f t="shared" si="7"/>
        <v>131.33636</v>
      </c>
      <c r="I46" s="191">
        <v>10.0</v>
      </c>
      <c r="J46" s="194">
        <f t="shared" si="8"/>
        <v>1313.3636</v>
      </c>
      <c r="K46" s="139"/>
      <c r="L46" s="197"/>
      <c r="M46" s="198">
        <f t="shared" si="18"/>
        <v>10</v>
      </c>
      <c r="N46" s="198"/>
      <c r="O46" s="139"/>
      <c r="P46" s="139"/>
      <c r="Q46" s="176"/>
      <c r="R46" s="281">
        <v>29.5</v>
      </c>
      <c r="S46" s="176">
        <f t="shared" si="9"/>
        <v>2.32</v>
      </c>
      <c r="T46" s="160">
        <f t="shared" si="10"/>
        <v>10</v>
      </c>
      <c r="U46" s="160">
        <f t="shared" si="11"/>
        <v>23.2</v>
      </c>
      <c r="V46" s="282">
        <f t="shared" si="12"/>
        <v>131.33636</v>
      </c>
      <c r="W46" s="176">
        <f t="shared" ref="W46:X46" si="45">C46/100</f>
        <v>0.95</v>
      </c>
      <c r="X46" s="176">
        <f t="shared" si="45"/>
        <v>2.02</v>
      </c>
      <c r="Y46" s="176">
        <f t="shared" si="14"/>
        <v>23.2</v>
      </c>
      <c r="Z46" s="283">
        <f t="shared" si="15"/>
        <v>44.5208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30.0</v>
      </c>
      <c r="B47" s="191" t="s">
        <v>55</v>
      </c>
      <c r="C47" s="191">
        <v>95.0</v>
      </c>
      <c r="D47" s="191">
        <v>202.0</v>
      </c>
      <c r="E47" s="191">
        <v>232.0</v>
      </c>
      <c r="F47" s="191">
        <f t="shared" si="5"/>
        <v>0</v>
      </c>
      <c r="G47" s="191">
        <f t="shared" si="6"/>
        <v>131.33636</v>
      </c>
      <c r="H47" s="192">
        <f t="shared" si="7"/>
        <v>131.33636</v>
      </c>
      <c r="I47" s="191">
        <v>1.0</v>
      </c>
      <c r="J47" s="194">
        <f t="shared" si="8"/>
        <v>131.33636</v>
      </c>
      <c r="K47" s="139"/>
      <c r="L47" s="197"/>
      <c r="M47" s="198">
        <f t="shared" si="18"/>
        <v>1</v>
      </c>
      <c r="N47" s="198"/>
      <c r="O47" s="139"/>
      <c r="P47" s="139"/>
      <c r="Q47" s="176">
        <v>132.0</v>
      </c>
      <c r="R47" s="281">
        <v>29.5</v>
      </c>
      <c r="S47" s="176">
        <f t="shared" si="9"/>
        <v>2.32</v>
      </c>
      <c r="T47" s="160">
        <f t="shared" si="10"/>
        <v>1</v>
      </c>
      <c r="U47" s="160">
        <f t="shared" si="11"/>
        <v>2.32</v>
      </c>
      <c r="V47" s="282">
        <f t="shared" si="12"/>
        <v>131.33636</v>
      </c>
      <c r="W47" s="176">
        <f t="shared" ref="W47:X47" si="46">C47/100</f>
        <v>0.95</v>
      </c>
      <c r="X47" s="176">
        <f t="shared" si="46"/>
        <v>2.02</v>
      </c>
      <c r="Y47" s="176">
        <f t="shared" si="14"/>
        <v>2.32</v>
      </c>
      <c r="Z47" s="283">
        <f t="shared" si="15"/>
        <v>4.45208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31.0</v>
      </c>
      <c r="B48" s="191" t="s">
        <v>55</v>
      </c>
      <c r="C48" s="191">
        <v>95.0</v>
      </c>
      <c r="D48" s="191">
        <v>202.0</v>
      </c>
      <c r="E48" s="191">
        <v>232.0</v>
      </c>
      <c r="F48" s="191">
        <f t="shared" si="5"/>
        <v>0</v>
      </c>
      <c r="G48" s="191">
        <f t="shared" si="6"/>
        <v>131.33636</v>
      </c>
      <c r="H48" s="192">
        <f t="shared" si="7"/>
        <v>131.33636</v>
      </c>
      <c r="I48" s="191">
        <v>1.0</v>
      </c>
      <c r="J48" s="194">
        <f t="shared" si="8"/>
        <v>131.33636</v>
      </c>
      <c r="K48" s="139"/>
      <c r="L48" s="197"/>
      <c r="M48" s="198">
        <f t="shared" si="18"/>
        <v>1</v>
      </c>
      <c r="N48" s="198"/>
      <c r="O48" s="139"/>
      <c r="P48" s="139"/>
      <c r="Q48" s="176">
        <v>133.0</v>
      </c>
      <c r="R48" s="281">
        <v>29.5</v>
      </c>
      <c r="S48" s="176">
        <f t="shared" si="9"/>
        <v>2.32</v>
      </c>
      <c r="T48" s="160">
        <f t="shared" si="10"/>
        <v>1</v>
      </c>
      <c r="U48" s="160">
        <f t="shared" si="11"/>
        <v>2.32</v>
      </c>
      <c r="V48" s="282">
        <f t="shared" si="12"/>
        <v>131.33636</v>
      </c>
      <c r="W48" s="176">
        <f t="shared" ref="W48:X48" si="47">C48/100</f>
        <v>0.95</v>
      </c>
      <c r="X48" s="176">
        <f t="shared" si="47"/>
        <v>2.02</v>
      </c>
      <c r="Y48" s="176">
        <f t="shared" si="14"/>
        <v>2.32</v>
      </c>
      <c r="Z48" s="283">
        <f t="shared" si="15"/>
        <v>4.45208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32.0</v>
      </c>
      <c r="B49" s="191" t="s">
        <v>55</v>
      </c>
      <c r="C49" s="191">
        <v>96.0</v>
      </c>
      <c r="D49" s="191">
        <v>202.0</v>
      </c>
      <c r="E49" s="191">
        <v>232.0</v>
      </c>
      <c r="F49" s="191">
        <f t="shared" si="5"/>
        <v>0</v>
      </c>
      <c r="G49" s="191">
        <f t="shared" si="6"/>
        <v>132.718848</v>
      </c>
      <c r="H49" s="192">
        <f t="shared" si="7"/>
        <v>132.718848</v>
      </c>
      <c r="I49" s="191">
        <v>5.0</v>
      </c>
      <c r="J49" s="194">
        <f t="shared" si="8"/>
        <v>663.59424</v>
      </c>
      <c r="K49" s="139"/>
      <c r="L49" s="197"/>
      <c r="M49" s="198">
        <f t="shared" si="18"/>
        <v>5</v>
      </c>
      <c r="N49" s="198"/>
      <c r="O49" s="139"/>
      <c r="P49" s="139"/>
      <c r="Q49" s="176"/>
      <c r="R49" s="281">
        <v>29.5</v>
      </c>
      <c r="S49" s="176">
        <f t="shared" si="9"/>
        <v>2.32</v>
      </c>
      <c r="T49" s="160">
        <f t="shared" si="10"/>
        <v>5</v>
      </c>
      <c r="U49" s="160">
        <f t="shared" si="11"/>
        <v>11.6</v>
      </c>
      <c r="V49" s="282">
        <f t="shared" si="12"/>
        <v>132.718848</v>
      </c>
      <c r="W49" s="176">
        <f t="shared" ref="W49:X49" si="48">C49/100</f>
        <v>0.96</v>
      </c>
      <c r="X49" s="176">
        <f t="shared" si="48"/>
        <v>2.02</v>
      </c>
      <c r="Y49" s="176">
        <f t="shared" si="14"/>
        <v>11.6</v>
      </c>
      <c r="Z49" s="283">
        <f t="shared" si="15"/>
        <v>22.49472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33.0</v>
      </c>
      <c r="B50" s="191" t="s">
        <v>55</v>
      </c>
      <c r="C50" s="191">
        <v>96.0</v>
      </c>
      <c r="D50" s="191">
        <v>202.0</v>
      </c>
      <c r="E50" s="191">
        <v>232.0</v>
      </c>
      <c r="F50" s="191">
        <f t="shared" si="5"/>
        <v>0</v>
      </c>
      <c r="G50" s="191">
        <f t="shared" si="6"/>
        <v>132.718848</v>
      </c>
      <c r="H50" s="192">
        <f t="shared" si="7"/>
        <v>132.718848</v>
      </c>
      <c r="I50" s="191">
        <v>2.0</v>
      </c>
      <c r="J50" s="194">
        <f t="shared" si="8"/>
        <v>265.437696</v>
      </c>
      <c r="K50" s="139"/>
      <c r="L50" s="197"/>
      <c r="M50" s="198">
        <f t="shared" si="18"/>
        <v>2</v>
      </c>
      <c r="N50" s="198"/>
      <c r="O50" s="139"/>
      <c r="P50" s="139"/>
      <c r="Q50" s="176">
        <v>134.0</v>
      </c>
      <c r="R50" s="281">
        <v>29.5</v>
      </c>
      <c r="S50" s="176">
        <f t="shared" si="9"/>
        <v>2.32</v>
      </c>
      <c r="T50" s="160">
        <f t="shared" si="10"/>
        <v>2</v>
      </c>
      <c r="U50" s="160">
        <f t="shared" si="11"/>
        <v>4.64</v>
      </c>
      <c r="V50" s="282">
        <f t="shared" si="12"/>
        <v>132.718848</v>
      </c>
      <c r="W50" s="176">
        <f t="shared" ref="W50:X50" si="49">C50/100</f>
        <v>0.96</v>
      </c>
      <c r="X50" s="176">
        <f t="shared" si="49"/>
        <v>2.02</v>
      </c>
      <c r="Y50" s="176">
        <f t="shared" si="14"/>
        <v>4.64</v>
      </c>
      <c r="Z50" s="283">
        <f t="shared" si="15"/>
        <v>8.997888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34.0</v>
      </c>
      <c r="B51" s="191" t="s">
        <v>55</v>
      </c>
      <c r="C51" s="191">
        <v>97.0</v>
      </c>
      <c r="D51" s="191">
        <v>202.0</v>
      </c>
      <c r="E51" s="191">
        <v>202.0</v>
      </c>
      <c r="F51" s="191">
        <f t="shared" si="5"/>
        <v>0</v>
      </c>
      <c r="G51" s="191">
        <f t="shared" si="6"/>
        <v>116.760646</v>
      </c>
      <c r="H51" s="192">
        <f t="shared" si="7"/>
        <v>116.760646</v>
      </c>
      <c r="I51" s="191">
        <v>18.0</v>
      </c>
      <c r="J51" s="194">
        <f t="shared" si="8"/>
        <v>2101.691628</v>
      </c>
      <c r="K51" s="139"/>
      <c r="L51" s="197"/>
      <c r="M51" s="198">
        <f t="shared" si="18"/>
        <v>18</v>
      </c>
      <c r="N51" s="198"/>
      <c r="O51" s="139"/>
      <c r="P51" s="139"/>
      <c r="Q51" s="176"/>
      <c r="R51" s="281">
        <v>29.5</v>
      </c>
      <c r="S51" s="176">
        <f t="shared" si="9"/>
        <v>2.02</v>
      </c>
      <c r="T51" s="160">
        <f t="shared" si="10"/>
        <v>18</v>
      </c>
      <c r="U51" s="160">
        <f t="shared" si="11"/>
        <v>36.36</v>
      </c>
      <c r="V51" s="282">
        <f t="shared" si="12"/>
        <v>116.760646</v>
      </c>
      <c r="W51" s="176">
        <f t="shared" ref="W51:X51" si="50">C51/100</f>
        <v>0.97</v>
      </c>
      <c r="X51" s="176">
        <f t="shared" si="50"/>
        <v>2.02</v>
      </c>
      <c r="Y51" s="176">
        <f t="shared" si="14"/>
        <v>36.36</v>
      </c>
      <c r="Z51" s="283">
        <f t="shared" si="15"/>
        <v>71.243784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35.0</v>
      </c>
      <c r="B52" s="191" t="s">
        <v>55</v>
      </c>
      <c r="C52" s="191">
        <v>96.0</v>
      </c>
      <c r="D52" s="191">
        <v>202.0</v>
      </c>
      <c r="E52" s="191">
        <v>202.0</v>
      </c>
      <c r="F52" s="191">
        <f t="shared" si="5"/>
        <v>0</v>
      </c>
      <c r="G52" s="191">
        <f t="shared" si="6"/>
        <v>115.556928</v>
      </c>
      <c r="H52" s="192">
        <f t="shared" si="7"/>
        <v>115.556928</v>
      </c>
      <c r="I52" s="191">
        <v>13.0</v>
      </c>
      <c r="J52" s="194">
        <f t="shared" si="8"/>
        <v>1502.240064</v>
      </c>
      <c r="K52" s="139"/>
      <c r="L52" s="197"/>
      <c r="M52" s="198">
        <f t="shared" si="18"/>
        <v>13</v>
      </c>
      <c r="N52" s="198"/>
      <c r="O52" s="139"/>
      <c r="P52" s="139"/>
      <c r="Q52" s="176"/>
      <c r="R52" s="281">
        <v>29.5</v>
      </c>
      <c r="S52" s="176">
        <f t="shared" si="9"/>
        <v>2.02</v>
      </c>
      <c r="T52" s="160">
        <f t="shared" si="10"/>
        <v>13</v>
      </c>
      <c r="U52" s="160">
        <f t="shared" si="11"/>
        <v>26.26</v>
      </c>
      <c r="V52" s="282">
        <f t="shared" si="12"/>
        <v>115.556928</v>
      </c>
      <c r="W52" s="176">
        <f t="shared" ref="W52:X52" si="51">C52/100</f>
        <v>0.96</v>
      </c>
      <c r="X52" s="176">
        <f t="shared" si="51"/>
        <v>2.02</v>
      </c>
      <c r="Y52" s="176">
        <f t="shared" si="14"/>
        <v>26.26</v>
      </c>
      <c r="Z52" s="283">
        <f t="shared" si="15"/>
        <v>50.923392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36.0</v>
      </c>
      <c r="B53" s="191" t="s">
        <v>55</v>
      </c>
      <c r="C53" s="191">
        <v>95.0</v>
      </c>
      <c r="D53" s="191">
        <v>202.0</v>
      </c>
      <c r="E53" s="191">
        <v>202.0</v>
      </c>
      <c r="F53" s="191">
        <f t="shared" si="5"/>
        <v>0</v>
      </c>
      <c r="G53" s="191">
        <f t="shared" si="6"/>
        <v>114.35321</v>
      </c>
      <c r="H53" s="192">
        <f t="shared" si="7"/>
        <v>114.35321</v>
      </c>
      <c r="I53" s="191">
        <v>1.0</v>
      </c>
      <c r="J53" s="194">
        <f t="shared" si="8"/>
        <v>114.35321</v>
      </c>
      <c r="K53" s="139"/>
      <c r="L53" s="197"/>
      <c r="M53" s="198">
        <f t="shared" si="18"/>
        <v>1</v>
      </c>
      <c r="N53" s="198"/>
      <c r="O53" s="139"/>
      <c r="P53" s="139"/>
      <c r="Q53" s="176"/>
      <c r="R53" s="281">
        <v>29.5</v>
      </c>
      <c r="S53" s="176">
        <f t="shared" si="9"/>
        <v>2.02</v>
      </c>
      <c r="T53" s="160">
        <f t="shared" si="10"/>
        <v>1</v>
      </c>
      <c r="U53" s="160">
        <f t="shared" si="11"/>
        <v>2.02</v>
      </c>
      <c r="V53" s="282">
        <f t="shared" si="12"/>
        <v>114.35321</v>
      </c>
      <c r="W53" s="176">
        <f t="shared" ref="W53:X53" si="52">C53/100</f>
        <v>0.95</v>
      </c>
      <c r="X53" s="176">
        <f t="shared" si="52"/>
        <v>2.02</v>
      </c>
      <c r="Y53" s="176">
        <f t="shared" si="14"/>
        <v>2.02</v>
      </c>
      <c r="Z53" s="283">
        <f t="shared" si="15"/>
        <v>3.87638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37.0</v>
      </c>
      <c r="B54" s="191" t="s">
        <v>55</v>
      </c>
      <c r="C54" s="191">
        <v>96.0</v>
      </c>
      <c r="D54" s="191">
        <v>202.0</v>
      </c>
      <c r="E54" s="191">
        <v>305.0</v>
      </c>
      <c r="F54" s="191">
        <f t="shared" si="5"/>
        <v>0</v>
      </c>
      <c r="G54" s="191">
        <f t="shared" si="6"/>
        <v>174.47952</v>
      </c>
      <c r="H54" s="192">
        <f t="shared" si="7"/>
        <v>174.47952</v>
      </c>
      <c r="I54" s="191">
        <v>1.0</v>
      </c>
      <c r="J54" s="194">
        <f t="shared" si="8"/>
        <v>174.47952</v>
      </c>
      <c r="K54" s="139"/>
      <c r="L54" s="197"/>
      <c r="M54" s="198">
        <f t="shared" si="18"/>
        <v>1</v>
      </c>
      <c r="N54" s="198"/>
      <c r="O54" s="139"/>
      <c r="P54" s="139"/>
      <c r="Q54" s="176"/>
      <c r="R54" s="281">
        <v>29.5</v>
      </c>
      <c r="S54" s="176">
        <f t="shared" si="9"/>
        <v>3.05</v>
      </c>
      <c r="T54" s="160">
        <f t="shared" si="10"/>
        <v>1</v>
      </c>
      <c r="U54" s="160">
        <f t="shared" si="11"/>
        <v>3.05</v>
      </c>
      <c r="V54" s="282">
        <f t="shared" si="12"/>
        <v>174.47952</v>
      </c>
      <c r="W54" s="176">
        <f t="shared" ref="W54:X54" si="53">C54/100</f>
        <v>0.96</v>
      </c>
      <c r="X54" s="176">
        <f t="shared" si="53"/>
        <v>2.02</v>
      </c>
      <c r="Y54" s="176">
        <f t="shared" si="14"/>
        <v>3.05</v>
      </c>
      <c r="Z54" s="283">
        <f t="shared" si="15"/>
        <v>5.91456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38.0</v>
      </c>
      <c r="B55" s="191" t="s">
        <v>55</v>
      </c>
      <c r="C55" s="191">
        <v>96.0</v>
      </c>
      <c r="D55" s="191">
        <v>202.0</v>
      </c>
      <c r="E55" s="191">
        <v>201.0</v>
      </c>
      <c r="F55" s="191">
        <f t="shared" si="5"/>
        <v>0</v>
      </c>
      <c r="G55" s="191">
        <f t="shared" si="6"/>
        <v>114.984864</v>
      </c>
      <c r="H55" s="192">
        <f t="shared" si="7"/>
        <v>114.984864</v>
      </c>
      <c r="I55" s="191">
        <v>1.0</v>
      </c>
      <c r="J55" s="194">
        <f t="shared" si="8"/>
        <v>114.984864</v>
      </c>
      <c r="K55" s="139"/>
      <c r="L55" s="197"/>
      <c r="M55" s="198">
        <f t="shared" si="18"/>
        <v>1</v>
      </c>
      <c r="N55" s="198"/>
      <c r="O55" s="139"/>
      <c r="P55" s="139"/>
      <c r="Q55" s="176"/>
      <c r="R55" s="281">
        <v>29.5</v>
      </c>
      <c r="S55" s="176">
        <f t="shared" si="9"/>
        <v>2.01</v>
      </c>
      <c r="T55" s="160">
        <f t="shared" si="10"/>
        <v>1</v>
      </c>
      <c r="U55" s="160">
        <f t="shared" si="11"/>
        <v>2.01</v>
      </c>
      <c r="V55" s="282">
        <f t="shared" si="12"/>
        <v>114.984864</v>
      </c>
      <c r="W55" s="176">
        <f t="shared" ref="W55:X55" si="54">C55/100</f>
        <v>0.96</v>
      </c>
      <c r="X55" s="176">
        <f t="shared" si="54"/>
        <v>2.02</v>
      </c>
      <c r="Y55" s="176">
        <f t="shared" si="14"/>
        <v>2.01</v>
      </c>
      <c r="Z55" s="283">
        <f t="shared" si="15"/>
        <v>3.897792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39.0</v>
      </c>
      <c r="B56" s="191" t="s">
        <v>55</v>
      </c>
      <c r="C56" s="191">
        <v>96.0</v>
      </c>
      <c r="D56" s="191">
        <v>202.0</v>
      </c>
      <c r="E56" s="191">
        <v>183.0</v>
      </c>
      <c r="F56" s="191">
        <f t="shared" si="5"/>
        <v>0</v>
      </c>
      <c r="G56" s="191">
        <f t="shared" si="6"/>
        <v>104.687712</v>
      </c>
      <c r="H56" s="192">
        <f t="shared" si="7"/>
        <v>104.687712</v>
      </c>
      <c r="I56" s="191">
        <v>1.0</v>
      </c>
      <c r="J56" s="194">
        <f t="shared" si="8"/>
        <v>104.687712</v>
      </c>
      <c r="K56" s="139"/>
      <c r="L56" s="197"/>
      <c r="M56" s="198"/>
      <c r="N56" s="198"/>
      <c r="O56" s="139"/>
      <c r="P56" s="139"/>
      <c r="Q56" s="176"/>
      <c r="R56" s="281">
        <v>29.5</v>
      </c>
      <c r="S56" s="176">
        <f t="shared" si="9"/>
        <v>1.83</v>
      </c>
      <c r="T56" s="160">
        <f t="shared" si="10"/>
        <v>1</v>
      </c>
      <c r="U56" s="160">
        <f t="shared" si="11"/>
        <v>1.83</v>
      </c>
      <c r="V56" s="282">
        <f t="shared" si="12"/>
        <v>104.687712</v>
      </c>
      <c r="W56" s="176">
        <f t="shared" ref="W56:X56" si="55">C56/100</f>
        <v>0.96</v>
      </c>
      <c r="X56" s="176">
        <f t="shared" si="55"/>
        <v>2.02</v>
      </c>
      <c r="Y56" s="176">
        <f t="shared" si="14"/>
        <v>1.83</v>
      </c>
      <c r="Z56" s="283">
        <f t="shared" si="15"/>
        <v>3.548736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40.0</v>
      </c>
      <c r="B57" s="191" t="s">
        <v>55</v>
      </c>
      <c r="C57" s="191">
        <v>96.0</v>
      </c>
      <c r="D57" s="191">
        <v>202.0</v>
      </c>
      <c r="E57" s="191">
        <v>126.0</v>
      </c>
      <c r="F57" s="191">
        <f t="shared" si="5"/>
        <v>0</v>
      </c>
      <c r="G57" s="191">
        <f t="shared" si="6"/>
        <v>72.080064</v>
      </c>
      <c r="H57" s="192">
        <f t="shared" si="7"/>
        <v>72.080064</v>
      </c>
      <c r="I57" s="191">
        <v>1.0</v>
      </c>
      <c r="J57" s="194">
        <f t="shared" si="8"/>
        <v>72.080064</v>
      </c>
      <c r="K57" s="139"/>
      <c r="L57" s="197"/>
      <c r="M57" s="198"/>
      <c r="N57" s="198"/>
      <c r="O57" s="139"/>
      <c r="P57" s="139"/>
      <c r="Q57" s="176"/>
      <c r="R57" s="281">
        <v>29.5</v>
      </c>
      <c r="S57" s="176">
        <f t="shared" si="9"/>
        <v>1.26</v>
      </c>
      <c r="T57" s="160">
        <f t="shared" si="10"/>
        <v>1</v>
      </c>
      <c r="U57" s="160">
        <f t="shared" si="11"/>
        <v>1.26</v>
      </c>
      <c r="V57" s="282">
        <f t="shared" si="12"/>
        <v>72.080064</v>
      </c>
      <c r="W57" s="176">
        <f t="shared" ref="W57:X57" si="56">C57/100</f>
        <v>0.96</v>
      </c>
      <c r="X57" s="176">
        <f t="shared" si="56"/>
        <v>2.02</v>
      </c>
      <c r="Y57" s="176">
        <f t="shared" si="14"/>
        <v>1.26</v>
      </c>
      <c r="Z57" s="283">
        <f t="shared" si="15"/>
        <v>2.443392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41.0</v>
      </c>
      <c r="B58" s="182" t="s">
        <v>219</v>
      </c>
      <c r="C58" s="183">
        <v>70.0</v>
      </c>
      <c r="D58" s="183">
        <v>183.0</v>
      </c>
      <c r="E58" s="183">
        <v>180.0</v>
      </c>
      <c r="F58" s="183">
        <f t="shared" si="5"/>
        <v>0.8</v>
      </c>
      <c r="G58" s="183">
        <f t="shared" si="6"/>
        <v>58.7979</v>
      </c>
      <c r="H58" s="184">
        <f t="shared" si="7"/>
        <v>47.03832</v>
      </c>
      <c r="I58" s="183">
        <v>1.0</v>
      </c>
      <c r="J58" s="185">
        <f t="shared" si="8"/>
        <v>47.03832</v>
      </c>
      <c r="K58" s="139"/>
      <c r="L58" s="197"/>
      <c r="M58" s="198"/>
      <c r="N58" s="198"/>
      <c r="O58" s="139"/>
      <c r="P58" s="139"/>
      <c r="Q58" s="176"/>
      <c r="R58" s="281">
        <v>25.5</v>
      </c>
      <c r="S58" s="176">
        <f t="shared" si="9"/>
        <v>1.8</v>
      </c>
      <c r="T58" s="160">
        <f t="shared" si="10"/>
        <v>1</v>
      </c>
      <c r="U58" s="160">
        <f t="shared" si="11"/>
        <v>1.8</v>
      </c>
      <c r="V58" s="282">
        <f t="shared" si="12"/>
        <v>58.7979</v>
      </c>
      <c r="W58" s="176">
        <f t="shared" ref="W58:X58" si="57">C58/100</f>
        <v>0.7</v>
      </c>
      <c r="X58" s="176">
        <f t="shared" si="57"/>
        <v>1.83</v>
      </c>
      <c r="Y58" s="176">
        <f t="shared" si="14"/>
        <v>1.8</v>
      </c>
      <c r="Z58" s="283">
        <f t="shared" si="15"/>
        <v>2.3058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42.0</v>
      </c>
      <c r="B59" s="191" t="s">
        <v>24</v>
      </c>
      <c r="C59" s="191">
        <v>89.0</v>
      </c>
      <c r="D59" s="191">
        <v>183.0</v>
      </c>
      <c r="E59" s="191">
        <v>179.0</v>
      </c>
      <c r="F59" s="191">
        <f t="shared" si="5"/>
        <v>0</v>
      </c>
      <c r="G59" s="191">
        <f t="shared" si="6"/>
        <v>74.3420115</v>
      </c>
      <c r="H59" s="192">
        <f t="shared" si="7"/>
        <v>74.3420115</v>
      </c>
      <c r="I59" s="191">
        <v>1.0</v>
      </c>
      <c r="J59" s="194">
        <f t="shared" si="8"/>
        <v>74.3420115</v>
      </c>
      <c r="K59" s="139"/>
      <c r="L59" s="197"/>
      <c r="M59" s="198"/>
      <c r="N59" s="198"/>
      <c r="O59" s="139"/>
      <c r="P59" s="139"/>
      <c r="Q59" s="176">
        <v>83.0</v>
      </c>
      <c r="R59" s="281">
        <v>25.5</v>
      </c>
      <c r="S59" s="176">
        <f t="shared" si="9"/>
        <v>1.79</v>
      </c>
      <c r="T59" s="160">
        <f t="shared" si="10"/>
        <v>1</v>
      </c>
      <c r="U59" s="160">
        <f t="shared" si="11"/>
        <v>1.79</v>
      </c>
      <c r="V59" s="282">
        <f t="shared" si="12"/>
        <v>74.3420115</v>
      </c>
      <c r="W59" s="176">
        <f t="shared" ref="W59:X59" si="58">C59/100</f>
        <v>0.89</v>
      </c>
      <c r="X59" s="176">
        <f t="shared" si="58"/>
        <v>1.83</v>
      </c>
      <c r="Y59" s="176">
        <f t="shared" si="14"/>
        <v>1.79</v>
      </c>
      <c r="Z59" s="283">
        <f t="shared" si="15"/>
        <v>2.915373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43.0</v>
      </c>
      <c r="B60" s="191" t="s">
        <v>24</v>
      </c>
      <c r="C60" s="191">
        <v>87.0</v>
      </c>
      <c r="D60" s="191">
        <v>183.0</v>
      </c>
      <c r="E60" s="191">
        <v>250.0</v>
      </c>
      <c r="F60" s="191">
        <f t="shared" si="5"/>
        <v>0</v>
      </c>
      <c r="G60" s="191">
        <f t="shared" si="6"/>
        <v>101.496375</v>
      </c>
      <c r="H60" s="192">
        <f t="shared" si="7"/>
        <v>101.496375</v>
      </c>
      <c r="I60" s="191">
        <v>1.0</v>
      </c>
      <c r="J60" s="194">
        <f t="shared" si="8"/>
        <v>101.496375</v>
      </c>
      <c r="K60" s="139"/>
      <c r="L60" s="197"/>
      <c r="M60" s="198"/>
      <c r="N60" s="198"/>
      <c r="O60" s="139"/>
      <c r="P60" s="139"/>
      <c r="Q60" s="176"/>
      <c r="R60" s="281">
        <v>25.5</v>
      </c>
      <c r="S60" s="176">
        <f t="shared" si="9"/>
        <v>2.5</v>
      </c>
      <c r="T60" s="160">
        <f t="shared" si="10"/>
        <v>1</v>
      </c>
      <c r="U60" s="160">
        <f t="shared" si="11"/>
        <v>2.5</v>
      </c>
      <c r="V60" s="282">
        <f t="shared" si="12"/>
        <v>101.496375</v>
      </c>
      <c r="W60" s="176">
        <f t="shared" ref="W60:X60" si="59">C60/100</f>
        <v>0.87</v>
      </c>
      <c r="X60" s="176">
        <f t="shared" si="59"/>
        <v>1.83</v>
      </c>
      <c r="Y60" s="176">
        <f t="shared" si="14"/>
        <v>2.5</v>
      </c>
      <c r="Z60" s="283">
        <f t="shared" si="15"/>
        <v>3.98025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44.0</v>
      </c>
      <c r="B61" s="191" t="s">
        <v>24</v>
      </c>
      <c r="C61" s="191">
        <v>97.0</v>
      </c>
      <c r="D61" s="191">
        <v>183.0</v>
      </c>
      <c r="E61" s="191">
        <v>180.0</v>
      </c>
      <c r="F61" s="191">
        <f t="shared" si="5"/>
        <v>0</v>
      </c>
      <c r="G61" s="191">
        <f t="shared" si="6"/>
        <v>81.47709</v>
      </c>
      <c r="H61" s="192">
        <f t="shared" si="7"/>
        <v>81.47709</v>
      </c>
      <c r="I61" s="191">
        <v>3.0</v>
      </c>
      <c r="J61" s="194">
        <f t="shared" si="8"/>
        <v>244.43127</v>
      </c>
      <c r="K61" s="139"/>
      <c r="L61" s="197"/>
      <c r="M61" s="198"/>
      <c r="N61" s="198"/>
      <c r="O61" s="139"/>
      <c r="P61" s="139"/>
      <c r="Q61" s="176"/>
      <c r="R61" s="281">
        <v>25.5</v>
      </c>
      <c r="S61" s="176">
        <f t="shared" si="9"/>
        <v>1.8</v>
      </c>
      <c r="T61" s="160">
        <f t="shared" si="10"/>
        <v>3</v>
      </c>
      <c r="U61" s="160">
        <f t="shared" si="11"/>
        <v>5.4</v>
      </c>
      <c r="V61" s="282">
        <f t="shared" si="12"/>
        <v>81.47709</v>
      </c>
      <c r="W61" s="176">
        <f t="shared" ref="W61:X61" si="60">C61/100</f>
        <v>0.97</v>
      </c>
      <c r="X61" s="176">
        <f t="shared" si="60"/>
        <v>1.83</v>
      </c>
      <c r="Y61" s="176">
        <f t="shared" si="14"/>
        <v>5.4</v>
      </c>
      <c r="Z61" s="283">
        <f t="shared" si="15"/>
        <v>9.58554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45.0</v>
      </c>
      <c r="B62" s="191" t="s">
        <v>24</v>
      </c>
      <c r="C62" s="191">
        <v>93.0</v>
      </c>
      <c r="D62" s="191">
        <v>183.0</v>
      </c>
      <c r="E62" s="191">
        <v>180.0</v>
      </c>
      <c r="F62" s="191">
        <f t="shared" si="5"/>
        <v>0</v>
      </c>
      <c r="G62" s="191">
        <f t="shared" si="6"/>
        <v>78.11721</v>
      </c>
      <c r="H62" s="192">
        <f t="shared" si="7"/>
        <v>78.11721</v>
      </c>
      <c r="I62" s="191">
        <v>1.0</v>
      </c>
      <c r="J62" s="194">
        <f t="shared" si="8"/>
        <v>78.11721</v>
      </c>
      <c r="K62" s="139"/>
      <c r="L62" s="197"/>
      <c r="M62" s="198"/>
      <c r="N62" s="198"/>
      <c r="O62" s="139"/>
      <c r="P62" s="139"/>
      <c r="Q62" s="176"/>
      <c r="R62" s="281">
        <v>25.5</v>
      </c>
      <c r="S62" s="176">
        <f t="shared" si="9"/>
        <v>1.8</v>
      </c>
      <c r="T62" s="160">
        <f t="shared" si="10"/>
        <v>1</v>
      </c>
      <c r="U62" s="160">
        <f t="shared" si="11"/>
        <v>1.8</v>
      </c>
      <c r="V62" s="282">
        <f t="shared" si="12"/>
        <v>78.11721</v>
      </c>
      <c r="W62" s="176">
        <f t="shared" ref="W62:X62" si="61">C62/100</f>
        <v>0.93</v>
      </c>
      <c r="X62" s="176">
        <f t="shared" si="61"/>
        <v>1.83</v>
      </c>
      <c r="Y62" s="176">
        <f t="shared" si="14"/>
        <v>1.8</v>
      </c>
      <c r="Z62" s="283">
        <f t="shared" si="15"/>
        <v>3.06342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46.0</v>
      </c>
      <c r="B63" s="191" t="s">
        <v>24</v>
      </c>
      <c r="C63" s="191">
        <v>95.0</v>
      </c>
      <c r="D63" s="191">
        <v>183.0</v>
      </c>
      <c r="E63" s="191">
        <v>180.0</v>
      </c>
      <c r="F63" s="191">
        <f t="shared" si="5"/>
        <v>0</v>
      </c>
      <c r="G63" s="191">
        <f t="shared" si="6"/>
        <v>79.79715</v>
      </c>
      <c r="H63" s="192">
        <f t="shared" si="7"/>
        <v>79.79715</v>
      </c>
      <c r="I63" s="191">
        <v>3.0</v>
      </c>
      <c r="J63" s="194">
        <f t="shared" si="8"/>
        <v>239.39145</v>
      </c>
      <c r="K63" s="139"/>
      <c r="L63" s="197"/>
      <c r="M63" s="198"/>
      <c r="N63" s="198"/>
      <c r="O63" s="139"/>
      <c r="P63" s="139"/>
      <c r="Q63" s="176"/>
      <c r="R63" s="281">
        <v>25.5</v>
      </c>
      <c r="S63" s="176">
        <f t="shared" si="9"/>
        <v>1.8</v>
      </c>
      <c r="T63" s="160">
        <f t="shared" si="10"/>
        <v>3</v>
      </c>
      <c r="U63" s="160">
        <f t="shared" si="11"/>
        <v>5.4</v>
      </c>
      <c r="V63" s="282">
        <f t="shared" si="12"/>
        <v>79.79715</v>
      </c>
      <c r="W63" s="176">
        <f t="shared" ref="W63:X63" si="62">C63/100</f>
        <v>0.95</v>
      </c>
      <c r="X63" s="176">
        <f t="shared" si="62"/>
        <v>1.83</v>
      </c>
      <c r="Y63" s="176">
        <f t="shared" si="14"/>
        <v>5.4</v>
      </c>
      <c r="Z63" s="283">
        <f t="shared" si="15"/>
        <v>9.3879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47.0</v>
      </c>
      <c r="B64" s="191" t="s">
        <v>24</v>
      </c>
      <c r="C64" s="191">
        <v>96.0</v>
      </c>
      <c r="D64" s="191">
        <v>183.0</v>
      </c>
      <c r="E64" s="191">
        <v>180.0</v>
      </c>
      <c r="F64" s="191">
        <f t="shared" si="5"/>
        <v>0</v>
      </c>
      <c r="G64" s="191">
        <f t="shared" si="6"/>
        <v>80.63712</v>
      </c>
      <c r="H64" s="192">
        <f t="shared" si="7"/>
        <v>80.63712</v>
      </c>
      <c r="I64" s="191">
        <v>5.0</v>
      </c>
      <c r="J64" s="194">
        <f t="shared" si="8"/>
        <v>403.1856</v>
      </c>
      <c r="K64" s="139"/>
      <c r="L64" s="197"/>
      <c r="M64" s="198"/>
      <c r="N64" s="198"/>
      <c r="O64" s="139"/>
      <c r="P64" s="139"/>
      <c r="Q64" s="176"/>
      <c r="R64" s="281">
        <v>25.5</v>
      </c>
      <c r="S64" s="176">
        <f t="shared" si="9"/>
        <v>1.8</v>
      </c>
      <c r="T64" s="160">
        <f t="shared" si="10"/>
        <v>5</v>
      </c>
      <c r="U64" s="160">
        <f t="shared" si="11"/>
        <v>9</v>
      </c>
      <c r="V64" s="282">
        <f t="shared" si="12"/>
        <v>80.63712</v>
      </c>
      <c r="W64" s="176">
        <f t="shared" ref="W64:X64" si="63">C64/100</f>
        <v>0.96</v>
      </c>
      <c r="X64" s="176">
        <f t="shared" si="63"/>
        <v>1.83</v>
      </c>
      <c r="Y64" s="176">
        <f t="shared" si="14"/>
        <v>9</v>
      </c>
      <c r="Z64" s="283">
        <f t="shared" si="15"/>
        <v>15.8112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48.0</v>
      </c>
      <c r="B65" s="191" t="s">
        <v>24</v>
      </c>
      <c r="C65" s="191">
        <v>96.0</v>
      </c>
      <c r="D65" s="191">
        <v>183.0</v>
      </c>
      <c r="E65" s="191">
        <v>180.0</v>
      </c>
      <c r="F65" s="191">
        <f t="shared" si="5"/>
        <v>0</v>
      </c>
      <c r="G65" s="191">
        <f t="shared" si="6"/>
        <v>80.63712</v>
      </c>
      <c r="H65" s="192">
        <f t="shared" si="7"/>
        <v>80.63712</v>
      </c>
      <c r="I65" s="191">
        <v>1.0</v>
      </c>
      <c r="J65" s="194">
        <f t="shared" si="8"/>
        <v>80.63712</v>
      </c>
      <c r="K65" s="139"/>
      <c r="L65" s="197"/>
      <c r="M65" s="198"/>
      <c r="N65" s="198"/>
      <c r="O65" s="139"/>
      <c r="P65" s="139"/>
      <c r="Q65" s="176">
        <v>84.0</v>
      </c>
      <c r="R65" s="281">
        <v>25.5</v>
      </c>
      <c r="S65" s="176">
        <f t="shared" si="9"/>
        <v>1.8</v>
      </c>
      <c r="T65" s="160">
        <f t="shared" si="10"/>
        <v>1</v>
      </c>
      <c r="U65" s="160">
        <f t="shared" si="11"/>
        <v>1.8</v>
      </c>
      <c r="V65" s="282">
        <f t="shared" si="12"/>
        <v>80.63712</v>
      </c>
      <c r="W65" s="176">
        <f t="shared" ref="W65:X65" si="64">C65/100</f>
        <v>0.96</v>
      </c>
      <c r="X65" s="176">
        <f t="shared" si="64"/>
        <v>1.83</v>
      </c>
      <c r="Y65" s="176">
        <f t="shared" si="14"/>
        <v>1.8</v>
      </c>
      <c r="Z65" s="283">
        <f t="shared" si="15"/>
        <v>3.16224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49.0</v>
      </c>
      <c r="B66" s="191" t="s">
        <v>24</v>
      </c>
      <c r="C66" s="191">
        <v>96.0</v>
      </c>
      <c r="D66" s="191">
        <v>183.0</v>
      </c>
      <c r="E66" s="191">
        <v>180.0</v>
      </c>
      <c r="F66" s="191">
        <f t="shared" si="5"/>
        <v>0</v>
      </c>
      <c r="G66" s="191">
        <f t="shared" si="6"/>
        <v>80.63712</v>
      </c>
      <c r="H66" s="192">
        <f t="shared" si="7"/>
        <v>80.63712</v>
      </c>
      <c r="I66" s="191">
        <v>1.0</v>
      </c>
      <c r="J66" s="194">
        <f t="shared" si="8"/>
        <v>80.63712</v>
      </c>
      <c r="K66" s="139"/>
      <c r="L66" s="197"/>
      <c r="M66" s="198"/>
      <c r="N66" s="198"/>
      <c r="O66" s="139"/>
      <c r="P66" s="139"/>
      <c r="Q66" s="176">
        <v>85.0</v>
      </c>
      <c r="R66" s="281">
        <v>25.5</v>
      </c>
      <c r="S66" s="176">
        <f t="shared" si="9"/>
        <v>1.8</v>
      </c>
      <c r="T66" s="160">
        <f t="shared" si="10"/>
        <v>1</v>
      </c>
      <c r="U66" s="160">
        <f t="shared" si="11"/>
        <v>1.8</v>
      </c>
      <c r="V66" s="282">
        <f t="shared" si="12"/>
        <v>80.63712</v>
      </c>
      <c r="W66" s="176">
        <f t="shared" ref="W66:X66" si="65">C66/100</f>
        <v>0.96</v>
      </c>
      <c r="X66" s="176">
        <f t="shared" si="65"/>
        <v>1.83</v>
      </c>
      <c r="Y66" s="176">
        <f t="shared" si="14"/>
        <v>1.8</v>
      </c>
      <c r="Z66" s="283">
        <f t="shared" si="15"/>
        <v>3.16224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50.0</v>
      </c>
      <c r="B67" s="191" t="s">
        <v>24</v>
      </c>
      <c r="C67" s="191">
        <v>95.0</v>
      </c>
      <c r="D67" s="191">
        <v>183.0</v>
      </c>
      <c r="E67" s="191">
        <v>179.0</v>
      </c>
      <c r="F67" s="191">
        <f t="shared" si="5"/>
        <v>0</v>
      </c>
      <c r="G67" s="191">
        <f t="shared" si="6"/>
        <v>79.3538325</v>
      </c>
      <c r="H67" s="192">
        <f t="shared" si="7"/>
        <v>79.3538325</v>
      </c>
      <c r="I67" s="191">
        <v>1.0</v>
      </c>
      <c r="J67" s="194">
        <f t="shared" si="8"/>
        <v>79.3538325</v>
      </c>
      <c r="K67" s="139"/>
      <c r="L67" s="197"/>
      <c r="M67" s="198"/>
      <c r="N67" s="198"/>
      <c r="O67" s="139"/>
      <c r="P67" s="139"/>
      <c r="Q67" s="176">
        <v>83.0</v>
      </c>
      <c r="R67" s="281">
        <v>25.5</v>
      </c>
      <c r="S67" s="176">
        <f t="shared" si="9"/>
        <v>1.79</v>
      </c>
      <c r="T67" s="160">
        <f t="shared" si="10"/>
        <v>1</v>
      </c>
      <c r="U67" s="160">
        <f t="shared" si="11"/>
        <v>1.79</v>
      </c>
      <c r="V67" s="282">
        <f t="shared" si="12"/>
        <v>79.3538325</v>
      </c>
      <c r="W67" s="176">
        <f t="shared" ref="W67:X67" si="66">C67/100</f>
        <v>0.95</v>
      </c>
      <c r="X67" s="176">
        <f t="shared" si="66"/>
        <v>1.83</v>
      </c>
      <c r="Y67" s="176">
        <f t="shared" si="14"/>
        <v>1.79</v>
      </c>
      <c r="Z67" s="283">
        <f t="shared" si="15"/>
        <v>3.111915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51.0</v>
      </c>
      <c r="B68" s="191" t="s">
        <v>24</v>
      </c>
      <c r="C68" s="191">
        <v>94.0</v>
      </c>
      <c r="D68" s="191">
        <v>183.0</v>
      </c>
      <c r="E68" s="191">
        <v>178.0</v>
      </c>
      <c r="F68" s="191">
        <f t="shared" si="5"/>
        <v>0</v>
      </c>
      <c r="G68" s="191">
        <f t="shared" si="6"/>
        <v>78.079878</v>
      </c>
      <c r="H68" s="192">
        <f t="shared" si="7"/>
        <v>78.079878</v>
      </c>
      <c r="I68" s="191">
        <v>1.0</v>
      </c>
      <c r="J68" s="194">
        <f t="shared" si="8"/>
        <v>78.079878</v>
      </c>
      <c r="K68" s="139"/>
      <c r="L68" s="197"/>
      <c r="M68" s="198"/>
      <c r="N68" s="198"/>
      <c r="O68" s="139"/>
      <c r="P68" s="139"/>
      <c r="Q68" s="176">
        <v>82.0</v>
      </c>
      <c r="R68" s="281">
        <v>25.5</v>
      </c>
      <c r="S68" s="176">
        <f t="shared" si="9"/>
        <v>1.78</v>
      </c>
      <c r="T68" s="160">
        <f t="shared" si="10"/>
        <v>1</v>
      </c>
      <c r="U68" s="160">
        <f t="shared" si="11"/>
        <v>1.78</v>
      </c>
      <c r="V68" s="282">
        <f t="shared" si="12"/>
        <v>78.079878</v>
      </c>
      <c r="W68" s="176">
        <f t="shared" ref="W68:X68" si="67">C68/100</f>
        <v>0.94</v>
      </c>
      <c r="X68" s="176">
        <f t="shared" si="67"/>
        <v>1.83</v>
      </c>
      <c r="Y68" s="176">
        <f t="shared" si="14"/>
        <v>1.78</v>
      </c>
      <c r="Z68" s="283">
        <f t="shared" si="15"/>
        <v>3.061956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52.0</v>
      </c>
      <c r="B69" s="191" t="s">
        <v>24</v>
      </c>
      <c r="C69" s="191">
        <v>94.0</v>
      </c>
      <c r="D69" s="191">
        <v>183.0</v>
      </c>
      <c r="E69" s="191">
        <v>180.0</v>
      </c>
      <c r="F69" s="191">
        <f t="shared" si="5"/>
        <v>0</v>
      </c>
      <c r="G69" s="191">
        <f t="shared" si="6"/>
        <v>78.95718</v>
      </c>
      <c r="H69" s="192">
        <f t="shared" si="7"/>
        <v>78.95718</v>
      </c>
      <c r="I69" s="191">
        <v>3.0</v>
      </c>
      <c r="J69" s="194">
        <f t="shared" si="8"/>
        <v>236.87154</v>
      </c>
      <c r="K69" s="139"/>
      <c r="L69" s="197"/>
      <c r="M69" s="198"/>
      <c r="N69" s="198"/>
      <c r="O69" s="139"/>
      <c r="P69" s="139"/>
      <c r="Q69" s="176"/>
      <c r="R69" s="281">
        <v>25.5</v>
      </c>
      <c r="S69" s="176">
        <f t="shared" si="9"/>
        <v>1.8</v>
      </c>
      <c r="T69" s="160">
        <f t="shared" si="10"/>
        <v>3</v>
      </c>
      <c r="U69" s="160">
        <f t="shared" si="11"/>
        <v>5.4</v>
      </c>
      <c r="V69" s="282">
        <f t="shared" si="12"/>
        <v>78.95718</v>
      </c>
      <c r="W69" s="176">
        <f t="shared" ref="W69:X69" si="68">C69/100</f>
        <v>0.94</v>
      </c>
      <c r="X69" s="176">
        <f t="shared" si="68"/>
        <v>1.83</v>
      </c>
      <c r="Y69" s="176">
        <f t="shared" si="14"/>
        <v>5.4</v>
      </c>
      <c r="Z69" s="283">
        <f t="shared" si="15"/>
        <v>9.28908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53.0</v>
      </c>
      <c r="B70" s="191" t="s">
        <v>24</v>
      </c>
      <c r="C70" s="191">
        <v>87.0</v>
      </c>
      <c r="D70" s="191">
        <v>183.0</v>
      </c>
      <c r="E70" s="191">
        <v>179.0</v>
      </c>
      <c r="F70" s="191">
        <f t="shared" si="5"/>
        <v>0</v>
      </c>
      <c r="G70" s="191">
        <f t="shared" si="6"/>
        <v>72.6714045</v>
      </c>
      <c r="H70" s="192">
        <f t="shared" si="7"/>
        <v>72.6714045</v>
      </c>
      <c r="I70" s="191">
        <v>1.0</v>
      </c>
      <c r="J70" s="194">
        <f t="shared" si="8"/>
        <v>72.6714045</v>
      </c>
      <c r="K70" s="139"/>
      <c r="L70" s="197"/>
      <c r="M70" s="198"/>
      <c r="N70" s="198"/>
      <c r="O70" s="139"/>
      <c r="P70" s="139"/>
      <c r="Q70" s="176"/>
      <c r="R70" s="281">
        <v>25.5</v>
      </c>
      <c r="S70" s="176">
        <f t="shared" si="9"/>
        <v>1.79</v>
      </c>
      <c r="T70" s="160">
        <f t="shared" si="10"/>
        <v>1</v>
      </c>
      <c r="U70" s="160">
        <f t="shared" si="11"/>
        <v>1.79</v>
      </c>
      <c r="V70" s="282">
        <f t="shared" si="12"/>
        <v>72.6714045</v>
      </c>
      <c r="W70" s="176">
        <f t="shared" ref="W70:X70" si="69">C70/100</f>
        <v>0.87</v>
      </c>
      <c r="X70" s="176">
        <f t="shared" si="69"/>
        <v>1.83</v>
      </c>
      <c r="Y70" s="176">
        <f t="shared" si="14"/>
        <v>1.79</v>
      </c>
      <c r="Z70" s="283">
        <f t="shared" si="15"/>
        <v>2.849859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54.0</v>
      </c>
      <c r="B71" s="191" t="s">
        <v>24</v>
      </c>
      <c r="C71" s="191">
        <v>96.0</v>
      </c>
      <c r="D71" s="191">
        <v>183.0</v>
      </c>
      <c r="E71" s="191">
        <v>126.0</v>
      </c>
      <c r="F71" s="191">
        <f t="shared" si="5"/>
        <v>0</v>
      </c>
      <c r="G71" s="191">
        <f t="shared" si="6"/>
        <v>56.445984</v>
      </c>
      <c r="H71" s="192">
        <f t="shared" si="7"/>
        <v>56.445984</v>
      </c>
      <c r="I71" s="191">
        <v>1.0</v>
      </c>
      <c r="J71" s="194">
        <f t="shared" si="8"/>
        <v>56.445984</v>
      </c>
      <c r="K71" s="139"/>
      <c r="L71" s="197"/>
      <c r="M71" s="198"/>
      <c r="N71" s="198"/>
      <c r="O71" s="139"/>
      <c r="P71" s="139"/>
      <c r="Q71" s="176"/>
      <c r="R71" s="281">
        <v>25.5</v>
      </c>
      <c r="S71" s="176">
        <f t="shared" si="9"/>
        <v>1.26</v>
      </c>
      <c r="T71" s="160">
        <f t="shared" si="10"/>
        <v>1</v>
      </c>
      <c r="U71" s="160">
        <f t="shared" si="11"/>
        <v>1.26</v>
      </c>
      <c r="V71" s="282">
        <f t="shared" si="12"/>
        <v>56.445984</v>
      </c>
      <c r="W71" s="176">
        <f t="shared" ref="W71:X71" si="70">C71/100</f>
        <v>0.96</v>
      </c>
      <c r="X71" s="176">
        <f t="shared" si="70"/>
        <v>1.83</v>
      </c>
      <c r="Y71" s="176">
        <f t="shared" si="14"/>
        <v>1.26</v>
      </c>
      <c r="Z71" s="283">
        <f t="shared" si="15"/>
        <v>2.213568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/>
      <c r="B72" s="176"/>
      <c r="C72" s="176"/>
      <c r="D72" s="176"/>
      <c r="E72" s="176"/>
      <c r="F72" s="176"/>
      <c r="G72" s="176"/>
      <c r="H72" s="179"/>
      <c r="I72" s="160"/>
      <c r="J72" s="203">
        <f>+Q97</f>
        <v>80.4</v>
      </c>
      <c r="K72" s="139"/>
      <c r="L72" s="139"/>
      <c r="M72" s="139"/>
      <c r="N72" s="139"/>
      <c r="O72" s="139"/>
      <c r="P72" s="139"/>
      <c r="Q72" s="139"/>
      <c r="R72" s="204"/>
      <c r="S72" s="187">
        <f t="shared" si="9"/>
        <v>0</v>
      </c>
      <c r="T72" s="181" t="str">
        <f t="shared" si="10"/>
        <v/>
      </c>
      <c r="U72" s="181">
        <f t="shared" si="11"/>
        <v>0</v>
      </c>
      <c r="V72" s="186"/>
      <c r="W72" s="187">
        <f t="shared" ref="W72:X72" si="71">C72/100</f>
        <v>0</v>
      </c>
      <c r="X72" s="187">
        <f t="shared" si="71"/>
        <v>0</v>
      </c>
      <c r="Y72" s="187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/>
      <c r="B73" s="205"/>
      <c r="C73" s="205"/>
      <c r="D73" s="205"/>
      <c r="E73" s="205"/>
      <c r="F73" s="205"/>
      <c r="G73" s="205"/>
      <c r="H73" s="206"/>
      <c r="I73" s="207">
        <f>SUM(I18:I71)</f>
        <v>199</v>
      </c>
      <c r="J73" s="208">
        <f>SUM(J18:J72)</f>
        <v>30120.62113</v>
      </c>
      <c r="K73" s="209"/>
      <c r="L73" s="209"/>
      <c r="M73" s="209"/>
      <c r="N73" s="209"/>
      <c r="O73" s="209"/>
      <c r="P73" s="209"/>
      <c r="Q73" s="209"/>
      <c r="R73" s="141"/>
      <c r="S73" s="209">
        <f>SUMIFS($T$18:$T$71,$S$18:$S$71,"&gt;=3")</f>
        <v>6</v>
      </c>
      <c r="T73" s="209">
        <f t="shared" ref="T73:U73" si="72">SUM(T18:T71)</f>
        <v>199</v>
      </c>
      <c r="U73" s="209">
        <f t="shared" si="72"/>
        <v>552.28</v>
      </c>
      <c r="V73" s="209"/>
      <c r="W73" s="209"/>
      <c r="X73" s="209"/>
      <c r="Y73" s="209"/>
      <c r="Z73" s="210">
        <f>SUM(Z18:Z72)</f>
        <v>1076.663287</v>
      </c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</row>
    <row r="74" ht="29.25" customHeight="1">
      <c r="A74" s="139"/>
      <c r="B74" s="139"/>
      <c r="C74" s="139"/>
      <c r="D74" s="139"/>
      <c r="E74" s="139"/>
      <c r="F74" s="139"/>
      <c r="G74" s="139"/>
      <c r="H74" s="140"/>
      <c r="I74" s="139"/>
      <c r="J74" s="139"/>
      <c r="K74" s="139"/>
      <c r="L74" s="139"/>
      <c r="M74" s="139"/>
      <c r="N74" s="139"/>
      <c r="O74" s="139"/>
      <c r="P74" s="139"/>
      <c r="Q74" s="139"/>
      <c r="R74" s="141"/>
      <c r="S74" s="186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9.25" customHeight="1">
      <c r="A75" s="139"/>
      <c r="B75" s="139"/>
      <c r="C75" s="139"/>
      <c r="D75" s="139"/>
      <c r="E75" s="139"/>
      <c r="F75" s="139"/>
      <c r="G75" s="139"/>
      <c r="H75" s="140"/>
      <c r="I75" s="139"/>
      <c r="J75" s="139"/>
      <c r="K75" s="139"/>
      <c r="L75" s="139"/>
      <c r="M75" s="139"/>
      <c r="N75" s="139"/>
      <c r="O75" s="139"/>
      <c r="P75" s="139"/>
      <c r="Q75" s="139"/>
      <c r="R75" s="204"/>
      <c r="S75" s="139"/>
      <c r="T75" s="139" t="s">
        <v>48</v>
      </c>
      <c r="U75" s="139" t="s">
        <v>72</v>
      </c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9.25" customHeight="1">
      <c r="A76" s="139"/>
      <c r="B76" s="139"/>
      <c r="C76" s="139"/>
      <c r="D76" s="139"/>
      <c r="E76" s="139"/>
      <c r="F76" s="139"/>
      <c r="G76" s="139"/>
      <c r="H76" s="140"/>
      <c r="I76" s="139"/>
      <c r="J76" s="139"/>
      <c r="K76" s="139"/>
      <c r="L76" s="139"/>
      <c r="M76" s="139"/>
      <c r="N76" s="139"/>
      <c r="O76" s="139"/>
      <c r="P76" s="139"/>
      <c r="Q76" s="139"/>
      <c r="R76" s="141"/>
      <c r="S76" s="139" t="s">
        <v>31</v>
      </c>
      <c r="T76" s="211">
        <f>SUMIFS($J$18:$J$71,$S$18:$S$71,"&gt;=3")</f>
        <v>6821.74402</v>
      </c>
      <c r="U76" s="212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9.25" customHeight="1">
      <c r="A77" s="139" t="s">
        <v>32</v>
      </c>
      <c r="B77" s="139"/>
      <c r="C77" s="139"/>
      <c r="D77" s="139" t="s">
        <v>33</v>
      </c>
      <c r="E77" s="139"/>
      <c r="F77" s="139"/>
      <c r="G77" s="139"/>
      <c r="H77" s="140"/>
      <c r="I77" s="139"/>
      <c r="J77" s="139"/>
      <c r="K77" s="139"/>
      <c r="L77" s="139"/>
      <c r="M77" s="139"/>
      <c r="N77" s="139"/>
      <c r="O77" s="139"/>
      <c r="P77" s="139"/>
      <c r="Q77" s="139"/>
      <c r="R77" s="141"/>
      <c r="S77" s="139" t="s">
        <v>34</v>
      </c>
      <c r="T77" s="213">
        <f>J73-T76</f>
        <v>23298.87711</v>
      </c>
      <c r="U77" s="212">
        <f>+SUMIFS($U$18:$U$71,$S$18:$S$71,"&gt;=3")</f>
        <v>142.05</v>
      </c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9.25" customHeight="1">
      <c r="A78" s="139"/>
      <c r="B78" s="139"/>
      <c r="C78" s="139"/>
      <c r="D78" s="139"/>
      <c r="E78" s="139"/>
      <c r="F78" s="139"/>
      <c r="G78" s="139"/>
      <c r="H78" s="140"/>
      <c r="I78" s="139"/>
      <c r="J78" s="139"/>
      <c r="K78" s="139"/>
      <c r="L78" s="139"/>
      <c r="M78" s="139"/>
      <c r="N78" s="139"/>
      <c r="O78" s="139"/>
      <c r="P78" s="139"/>
      <c r="Q78" s="139"/>
      <c r="R78" s="204"/>
      <c r="S78" s="139"/>
      <c r="T78" s="214">
        <f>+I73</f>
        <v>199</v>
      </c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39.0" customHeight="1">
      <c r="A79" s="176"/>
      <c r="B79" s="160" t="s">
        <v>12</v>
      </c>
      <c r="C79" s="177" t="s">
        <v>73</v>
      </c>
      <c r="D79" s="52"/>
      <c r="E79" s="53"/>
      <c r="F79" s="178"/>
      <c r="G79" s="178"/>
      <c r="H79" s="179" t="s">
        <v>14</v>
      </c>
      <c r="I79" s="160" t="s">
        <v>15</v>
      </c>
      <c r="J79" s="160" t="s">
        <v>16</v>
      </c>
      <c r="K79" s="139"/>
      <c r="L79" s="139"/>
      <c r="M79" s="139"/>
      <c r="N79" s="139"/>
      <c r="O79" s="139"/>
      <c r="P79" s="139"/>
      <c r="Q79" s="139"/>
      <c r="R79" s="141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54">
        <v>1.0</v>
      </c>
      <c r="B80" s="218" t="s">
        <v>65</v>
      </c>
      <c r="C80" s="215">
        <v>89.0</v>
      </c>
      <c r="D80" s="215">
        <v>202.0</v>
      </c>
      <c r="E80" s="215">
        <v>252.0</v>
      </c>
      <c r="F80" s="215">
        <f t="shared" ref="F80:F82" si="73">1-VALUE(IF(RIGHT(B80, 1)="%", RIGHT(B80, 3), 0))</f>
        <v>0.2</v>
      </c>
      <c r="G80" s="215">
        <f t="shared" ref="G80:G82" si="74">+Q80*C80/100*D80/100*E80/100</f>
        <v>0</v>
      </c>
      <c r="H80" s="216">
        <f t="shared" ref="H80:H82" si="75">IF(F80=0, G80, F80*G80)</f>
        <v>0</v>
      </c>
      <c r="I80" s="215">
        <v>1.0</v>
      </c>
      <c r="J80" s="217">
        <f t="shared" ref="J80:J82" si="76">+I80*H80</f>
        <v>0</v>
      </c>
      <c r="K80" s="139"/>
      <c r="L80" s="176">
        <f t="shared" ref="L80:L82" si="77">D80*25.4/1000</f>
        <v>5.1308</v>
      </c>
      <c r="M80" s="160">
        <f t="shared" ref="M80:M82" si="78">+I80</f>
        <v>1</v>
      </c>
      <c r="N80" s="160">
        <f t="shared" ref="N80:N82" si="79">M80*L80</f>
        <v>5.1308</v>
      </c>
      <c r="O80" s="139"/>
      <c r="P80" s="139"/>
      <c r="Q80" s="139"/>
      <c r="R80" s="141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54">
        <v>2.0</v>
      </c>
      <c r="B81" s="218" t="s">
        <v>64</v>
      </c>
      <c r="C81" s="215">
        <v>97.0</v>
      </c>
      <c r="D81" s="215">
        <v>202.0</v>
      </c>
      <c r="E81" s="215">
        <v>3000.0</v>
      </c>
      <c r="F81" s="215">
        <f t="shared" si="73"/>
        <v>0.2</v>
      </c>
      <c r="G81" s="215">
        <f t="shared" si="74"/>
        <v>0</v>
      </c>
      <c r="H81" s="216">
        <f t="shared" si="75"/>
        <v>0</v>
      </c>
      <c r="I81" s="215">
        <v>1.0</v>
      </c>
      <c r="J81" s="217">
        <f t="shared" si="76"/>
        <v>0</v>
      </c>
      <c r="K81" s="139"/>
      <c r="L81" s="176">
        <f t="shared" si="77"/>
        <v>5.1308</v>
      </c>
      <c r="M81" s="160">
        <f t="shared" si="78"/>
        <v>1</v>
      </c>
      <c r="N81" s="160">
        <f t="shared" si="79"/>
        <v>5.1308</v>
      </c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54">
        <v>3.0</v>
      </c>
      <c r="B82" s="218" t="s">
        <v>219</v>
      </c>
      <c r="C82" s="218">
        <v>70.0</v>
      </c>
      <c r="D82" s="218">
        <v>183.0</v>
      </c>
      <c r="E82" s="218">
        <v>180.0</v>
      </c>
      <c r="F82" s="218">
        <f t="shared" si="73"/>
        <v>0.2</v>
      </c>
      <c r="G82" s="218">
        <f t="shared" si="74"/>
        <v>0</v>
      </c>
      <c r="H82" s="219">
        <f t="shared" si="75"/>
        <v>0</v>
      </c>
      <c r="I82" s="218">
        <v>1.0</v>
      </c>
      <c r="J82" s="194">
        <f t="shared" si="76"/>
        <v>0</v>
      </c>
      <c r="K82" s="139"/>
      <c r="L82" s="176">
        <f t="shared" si="77"/>
        <v>4.6482</v>
      </c>
      <c r="M82" s="160">
        <f t="shared" si="78"/>
        <v>1</v>
      </c>
      <c r="N82" s="160">
        <f t="shared" si="79"/>
        <v>4.6482</v>
      </c>
      <c r="O82" s="139"/>
      <c r="P82" s="139"/>
      <c r="Q82" s="139"/>
      <c r="R82" s="139"/>
      <c r="S82" s="220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4.75" customHeight="1">
      <c r="A83" s="160"/>
      <c r="B83" s="197"/>
      <c r="C83" s="197"/>
      <c r="D83" s="197"/>
      <c r="E83" s="197"/>
      <c r="F83" s="197"/>
      <c r="G83" s="197"/>
      <c r="H83" s="269" t="s">
        <v>38</v>
      </c>
      <c r="I83" s="197"/>
      <c r="J83" s="226">
        <f>SUM(J80:J82)</f>
        <v>0</v>
      </c>
      <c r="K83" s="139"/>
      <c r="L83" s="139"/>
      <c r="M83" s="139"/>
      <c r="N83" s="139"/>
      <c r="O83" s="139"/>
      <c r="P83" s="139"/>
      <c r="Q83" s="139"/>
      <c r="R83" s="141"/>
      <c r="S83" s="227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18.75" customHeight="1">
      <c r="A84" s="174"/>
      <c r="B84" s="144"/>
      <c r="C84" s="144"/>
      <c r="D84" s="144"/>
      <c r="E84" s="144"/>
      <c r="F84" s="144"/>
      <c r="G84" s="144"/>
      <c r="H84" s="145"/>
      <c r="I84" s="144"/>
      <c r="J84" s="175"/>
      <c r="K84" s="139"/>
      <c r="L84" s="139"/>
      <c r="M84" s="139"/>
      <c r="N84" s="139"/>
      <c r="O84" s="139"/>
      <c r="P84" s="139"/>
      <c r="Q84" s="139"/>
      <c r="R84" s="141"/>
      <c r="S84" s="227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18.75" customHeight="1">
      <c r="A85" s="139"/>
      <c r="B85" s="139"/>
      <c r="C85" s="139"/>
      <c r="D85" s="139"/>
      <c r="E85" s="139"/>
      <c r="F85" s="139"/>
      <c r="G85" s="139"/>
      <c r="H85" s="140"/>
      <c r="I85" s="139"/>
      <c r="J85" s="139"/>
      <c r="K85" s="139"/>
      <c r="L85" s="139"/>
      <c r="M85" s="139"/>
      <c r="N85" s="139"/>
      <c r="O85" s="139"/>
      <c r="P85" s="139"/>
      <c r="Q85" s="139"/>
      <c r="R85" s="141"/>
      <c r="S85" s="227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18.75" customHeight="1">
      <c r="A86" s="139"/>
      <c r="B86" s="139"/>
      <c r="C86" s="139"/>
      <c r="D86" s="139"/>
      <c r="E86" s="139"/>
      <c r="F86" s="139"/>
      <c r="G86" s="139"/>
      <c r="H86" s="140"/>
      <c r="I86" s="139"/>
      <c r="J86" s="139"/>
      <c r="K86" s="139"/>
      <c r="L86" s="139"/>
      <c r="M86" s="139"/>
      <c r="N86" s="139"/>
      <c r="O86" s="139"/>
      <c r="P86" s="139"/>
      <c r="Q86" s="139"/>
      <c r="R86" s="227"/>
      <c r="S86" s="227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18.75" customHeight="1">
      <c r="A87" s="139" t="s">
        <v>39</v>
      </c>
      <c r="B87" s="139"/>
      <c r="C87" s="139"/>
      <c r="D87" s="139"/>
      <c r="E87" s="139"/>
      <c r="F87" s="139"/>
      <c r="G87" s="139"/>
      <c r="H87" s="140"/>
      <c r="I87" s="139"/>
      <c r="J87" s="139"/>
      <c r="K87" s="139"/>
      <c r="L87" s="139"/>
      <c r="M87" s="139"/>
      <c r="N87" s="139"/>
      <c r="O87" s="139"/>
      <c r="P87" s="139"/>
      <c r="Q87" s="139"/>
      <c r="R87" s="227"/>
      <c r="S87" s="227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18.75" customHeight="1">
      <c r="A88" s="139"/>
      <c r="B88" s="139"/>
      <c r="C88" s="139"/>
      <c r="D88" s="139"/>
      <c r="E88" s="139"/>
      <c r="F88" s="139"/>
      <c r="G88" s="139"/>
      <c r="H88" s="140"/>
      <c r="I88" s="139"/>
      <c r="J88" s="139"/>
      <c r="K88" s="139"/>
      <c r="L88" s="139"/>
      <c r="M88" s="139"/>
      <c r="N88" s="139"/>
      <c r="O88" s="139"/>
      <c r="P88" s="139"/>
      <c r="Q88" s="139"/>
      <c r="R88" s="227"/>
      <c r="S88" s="227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42.0" customHeight="1">
      <c r="A89" s="176"/>
      <c r="B89" s="160" t="s">
        <v>12</v>
      </c>
      <c r="C89" s="177" t="s">
        <v>74</v>
      </c>
      <c r="D89" s="52"/>
      <c r="E89" s="53"/>
      <c r="F89" s="228"/>
      <c r="G89" s="228"/>
      <c r="H89" s="179" t="s">
        <v>14</v>
      </c>
      <c r="I89" s="224" t="s">
        <v>15</v>
      </c>
      <c r="J89" s="160" t="s">
        <v>16</v>
      </c>
      <c r="K89" s="139"/>
      <c r="L89" s="139"/>
      <c r="M89" s="139"/>
      <c r="N89" s="139"/>
      <c r="O89" s="139"/>
      <c r="P89" s="139"/>
      <c r="Q89" s="139"/>
      <c r="R89" s="227"/>
      <c r="S89" s="227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4.75" customHeight="1">
      <c r="A90" s="160">
        <v>1.0</v>
      </c>
      <c r="B90" s="182" t="s">
        <v>56</v>
      </c>
      <c r="C90" s="181"/>
      <c r="D90" s="181"/>
      <c r="E90" s="181"/>
      <c r="F90" s="181"/>
      <c r="G90" s="181"/>
      <c r="H90" s="232">
        <v>55.0</v>
      </c>
      <c r="I90" s="181">
        <v>1.0</v>
      </c>
      <c r="J90" s="194">
        <f t="shared" ref="J90:J95" si="80">+I90*H90</f>
        <v>55</v>
      </c>
      <c r="K90" s="176"/>
      <c r="L90" s="176"/>
      <c r="M90" s="176"/>
      <c r="N90" s="176"/>
      <c r="O90" s="176"/>
      <c r="P90" s="176"/>
      <c r="Q90" s="284"/>
      <c r="R90" s="227"/>
      <c r="S90" s="227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4.75" customHeight="1">
      <c r="A91" s="160">
        <v>2.0</v>
      </c>
      <c r="B91" s="191" t="s">
        <v>56</v>
      </c>
      <c r="C91" s="181"/>
      <c r="D91" s="181"/>
      <c r="E91" s="181"/>
      <c r="F91" s="181"/>
      <c r="G91" s="181"/>
      <c r="H91" s="232">
        <v>15.0</v>
      </c>
      <c r="I91" s="181">
        <v>1.0</v>
      </c>
      <c r="J91" s="194">
        <f t="shared" si="80"/>
        <v>15</v>
      </c>
      <c r="K91" s="176"/>
      <c r="L91" s="176"/>
      <c r="M91" s="176"/>
      <c r="N91" s="176"/>
      <c r="O91" s="176"/>
      <c r="P91" s="176"/>
      <c r="Q91" s="284"/>
      <c r="R91" s="227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4.75" customHeight="1">
      <c r="A92" s="160">
        <v>3.0</v>
      </c>
      <c r="B92" s="182" t="s">
        <v>55</v>
      </c>
      <c r="C92" s="181"/>
      <c r="D92" s="181"/>
      <c r="E92" s="181"/>
      <c r="F92" s="181"/>
      <c r="G92" s="181"/>
      <c r="H92" s="232">
        <v>52.0</v>
      </c>
      <c r="I92" s="181">
        <v>1.0</v>
      </c>
      <c r="J92" s="194">
        <f t="shared" si="80"/>
        <v>52</v>
      </c>
      <c r="K92" s="176"/>
      <c r="L92" s="176"/>
      <c r="M92" s="176"/>
      <c r="N92" s="176"/>
      <c r="O92" s="176"/>
      <c r="P92" s="176"/>
      <c r="Q92" s="284"/>
      <c r="R92" s="227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4.75" customHeight="1">
      <c r="A93" s="160">
        <v>4.0</v>
      </c>
      <c r="B93" s="191" t="s">
        <v>55</v>
      </c>
      <c r="C93" s="181"/>
      <c r="D93" s="181"/>
      <c r="E93" s="181"/>
      <c r="F93" s="181"/>
      <c r="G93" s="181"/>
      <c r="H93" s="232">
        <v>23.0</v>
      </c>
      <c r="I93" s="181">
        <v>1.0</v>
      </c>
      <c r="J93" s="194">
        <f t="shared" si="80"/>
        <v>23</v>
      </c>
      <c r="K93" s="176"/>
      <c r="L93" s="176"/>
      <c r="M93" s="176"/>
      <c r="N93" s="176"/>
      <c r="O93" s="176"/>
      <c r="P93" s="176"/>
      <c r="Q93" s="284"/>
      <c r="R93" s="227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4.75" customHeight="1">
      <c r="A94" s="160">
        <v>5.0</v>
      </c>
      <c r="B94" s="182" t="s">
        <v>24</v>
      </c>
      <c r="C94" s="181"/>
      <c r="D94" s="181"/>
      <c r="E94" s="181"/>
      <c r="F94" s="181"/>
      <c r="G94" s="181"/>
      <c r="H94" s="232">
        <v>36.0</v>
      </c>
      <c r="I94" s="181">
        <v>1.0</v>
      </c>
      <c r="J94" s="194">
        <f t="shared" si="80"/>
        <v>36</v>
      </c>
      <c r="K94" s="176"/>
      <c r="L94" s="176"/>
      <c r="M94" s="176"/>
      <c r="N94" s="176"/>
      <c r="O94" s="176"/>
      <c r="P94" s="176"/>
      <c r="Q94" s="284"/>
      <c r="R94" s="227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4.75" customHeight="1">
      <c r="A95" s="160">
        <v>6.0</v>
      </c>
      <c r="B95" s="191" t="s">
        <v>24</v>
      </c>
      <c r="C95" s="181"/>
      <c r="D95" s="181"/>
      <c r="E95" s="181"/>
      <c r="F95" s="181"/>
      <c r="G95" s="181"/>
      <c r="H95" s="232">
        <v>20.0</v>
      </c>
      <c r="I95" s="181">
        <v>1.0</v>
      </c>
      <c r="J95" s="194">
        <f t="shared" si="80"/>
        <v>20</v>
      </c>
      <c r="K95" s="176"/>
      <c r="L95" s="176"/>
      <c r="M95" s="176"/>
      <c r="N95" s="176"/>
      <c r="O95" s="176"/>
      <c r="P95" s="176"/>
      <c r="Q95" s="284"/>
      <c r="R95" s="227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18.75" customHeight="1">
      <c r="A96" s="139"/>
      <c r="B96" s="139"/>
      <c r="C96" s="139"/>
      <c r="D96" s="139"/>
      <c r="E96" s="139"/>
      <c r="F96" s="139"/>
      <c r="G96" s="139"/>
      <c r="H96" s="140" t="s">
        <v>38</v>
      </c>
      <c r="I96" s="139"/>
      <c r="J96" s="235">
        <f>SUM(J90:J95)</f>
        <v>201</v>
      </c>
      <c r="K96" s="236"/>
      <c r="L96" s="236"/>
      <c r="M96" s="236"/>
      <c r="N96" s="236"/>
      <c r="O96" s="236"/>
      <c r="P96" s="236"/>
      <c r="Q96" s="236"/>
      <c r="R96" s="139"/>
      <c r="S96" s="227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18.75" customHeight="1">
      <c r="A97" s="144"/>
      <c r="B97" s="144"/>
      <c r="C97" s="144"/>
      <c r="D97" s="144"/>
      <c r="E97" s="144"/>
      <c r="F97" s="144"/>
      <c r="G97" s="144"/>
      <c r="H97" s="145"/>
      <c r="I97" s="173"/>
      <c r="J97" s="205">
        <f>+J96*60%</f>
        <v>120.6</v>
      </c>
      <c r="K97" s="205"/>
      <c r="L97" s="205"/>
      <c r="M97" s="205"/>
      <c r="N97" s="205"/>
      <c r="O97" s="205"/>
      <c r="P97" s="205"/>
      <c r="Q97" s="205">
        <f>+J96*40%</f>
        <v>80.4</v>
      </c>
      <c r="R97" s="139"/>
      <c r="S97" s="227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18.75" customHeight="1">
      <c r="A98" s="139"/>
      <c r="B98" s="139"/>
      <c r="C98" s="139"/>
      <c r="D98" s="139"/>
      <c r="E98" s="139"/>
      <c r="F98" s="139"/>
      <c r="G98" s="139"/>
      <c r="H98" s="140"/>
      <c r="I98" s="139"/>
      <c r="J98" s="139"/>
      <c r="K98" s="139"/>
      <c r="L98" s="139"/>
      <c r="M98" s="139"/>
      <c r="N98" s="139"/>
      <c r="O98" s="139"/>
      <c r="P98" s="139"/>
      <c r="Q98" s="139"/>
      <c r="R98" s="139"/>
      <c r="S98" s="227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18.75" customHeight="1">
      <c r="A99" s="139"/>
      <c r="B99" s="139"/>
      <c r="C99" s="139"/>
      <c r="D99" s="139"/>
      <c r="E99" s="139"/>
      <c r="F99" s="139"/>
      <c r="G99" s="139"/>
      <c r="H99" s="140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227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19.5" customHeight="1">
      <c r="A100" s="238" t="s">
        <v>41</v>
      </c>
      <c r="B100" s="139"/>
      <c r="C100" s="139"/>
      <c r="D100" s="139"/>
      <c r="E100" s="139"/>
      <c r="F100" s="139"/>
      <c r="G100" s="139"/>
      <c r="H100" s="140"/>
      <c r="I100" s="139"/>
      <c r="J100" s="139"/>
      <c r="K100" s="139"/>
      <c r="L100" s="139"/>
      <c r="M100" s="139"/>
      <c r="N100" s="139"/>
      <c r="O100" s="139"/>
      <c r="P100" s="139"/>
      <c r="Q100" s="139"/>
      <c r="R100" s="139"/>
      <c r="S100" s="227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57.0" customHeight="1">
      <c r="A101" s="239"/>
      <c r="B101" s="240" t="s">
        <v>42</v>
      </c>
      <c r="C101" s="240" t="s">
        <v>43</v>
      </c>
      <c r="D101" s="240" t="s">
        <v>44</v>
      </c>
      <c r="E101" s="240" t="s">
        <v>45</v>
      </c>
      <c r="F101" s="240"/>
      <c r="G101" s="240"/>
      <c r="H101" s="241" t="s">
        <v>46</v>
      </c>
      <c r="I101" s="242" t="s">
        <v>47</v>
      </c>
      <c r="J101" s="139"/>
      <c r="K101" s="139"/>
      <c r="L101" s="139"/>
      <c r="M101" s="139"/>
      <c r="N101" s="139"/>
      <c r="O101" s="139"/>
      <c r="P101" s="139"/>
      <c r="Q101" s="139"/>
      <c r="R101" s="141"/>
      <c r="S101" s="227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18.75" customHeight="1">
      <c r="A102" s="243" t="s">
        <v>48</v>
      </c>
      <c r="B102" s="244">
        <f>+E11</f>
        <v>34273.486</v>
      </c>
      <c r="C102" s="245">
        <f>+J73</f>
        <v>30120.62113</v>
      </c>
      <c r="D102" s="245">
        <f>+J83</f>
        <v>0</v>
      </c>
      <c r="E102" s="246">
        <f>J97</f>
        <v>120.6</v>
      </c>
      <c r="F102" s="246"/>
      <c r="G102" s="246"/>
      <c r="H102" s="247">
        <f>+I11</f>
        <v>608.9615812</v>
      </c>
      <c r="I102" s="248">
        <f>+B102-C102-D102-E102-H102</f>
        <v>3423.303287</v>
      </c>
      <c r="J102" s="139"/>
      <c r="K102" s="139"/>
      <c r="L102" s="139"/>
      <c r="M102" s="139"/>
      <c r="N102" s="139"/>
      <c r="O102" s="139"/>
      <c r="P102" s="139"/>
      <c r="Q102" s="139"/>
      <c r="R102" s="141"/>
      <c r="S102" s="227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19.5" customHeight="1">
      <c r="A103" s="249" t="s">
        <v>49</v>
      </c>
      <c r="B103" s="250"/>
      <c r="C103" s="251">
        <f>+C102/B102</f>
        <v>0.878831559</v>
      </c>
      <c r="D103" s="251">
        <f>+D102/B102</f>
        <v>0</v>
      </c>
      <c r="E103" s="251">
        <f>+E102/B102</f>
        <v>0.003518754993</v>
      </c>
      <c r="F103" s="251"/>
      <c r="G103" s="251"/>
      <c r="H103" s="252">
        <f>+H102/B102</f>
        <v>0.01776771646</v>
      </c>
      <c r="I103" s="253">
        <f>+I102/B102</f>
        <v>0.0998819696</v>
      </c>
      <c r="J103" s="139"/>
      <c r="K103" s="139"/>
      <c r="L103" s="139"/>
      <c r="M103" s="139"/>
      <c r="N103" s="139"/>
      <c r="O103" s="139"/>
      <c r="P103" s="139"/>
      <c r="Q103" s="139"/>
      <c r="R103" s="141"/>
      <c r="S103" s="227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19.5" customHeight="1">
      <c r="A104" s="163"/>
      <c r="B104" s="221"/>
      <c r="C104" s="254"/>
      <c r="D104" s="254"/>
      <c r="E104" s="254"/>
      <c r="F104" s="254"/>
      <c r="G104" s="254"/>
      <c r="H104" s="255"/>
      <c r="I104" s="256"/>
      <c r="J104" s="139"/>
      <c r="K104" s="139"/>
      <c r="L104" s="139"/>
      <c r="M104" s="139"/>
      <c r="N104" s="139"/>
      <c r="O104" s="139"/>
      <c r="P104" s="139"/>
      <c r="Q104" s="139"/>
      <c r="R104" s="141"/>
      <c r="S104" s="227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18.75" customHeight="1">
      <c r="A105" s="257"/>
      <c r="B105" s="258"/>
      <c r="C105" s="258"/>
      <c r="D105" s="258" t="s">
        <v>50</v>
      </c>
      <c r="E105" s="258" t="s">
        <v>48</v>
      </c>
      <c r="F105" s="258"/>
      <c r="G105" s="258"/>
      <c r="H105" s="259">
        <f>+D102+E102+H102+I102</f>
        <v>4152.864868</v>
      </c>
      <c r="I105" s="260"/>
      <c r="J105" s="139"/>
      <c r="K105" s="139"/>
      <c r="L105" s="139"/>
      <c r="M105" s="139"/>
      <c r="N105" s="139"/>
      <c r="O105" s="139"/>
      <c r="P105" s="139"/>
      <c r="Q105" s="139"/>
      <c r="R105" s="141"/>
      <c r="S105" s="140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18.75" customHeight="1">
      <c r="A106" s="261"/>
      <c r="B106" s="139"/>
      <c r="C106" s="139"/>
      <c r="D106" s="139"/>
      <c r="E106" s="139" t="s">
        <v>49</v>
      </c>
      <c r="F106" s="139"/>
      <c r="G106" s="139"/>
      <c r="H106" s="255">
        <f>+H105/B102</f>
        <v>0.121168441</v>
      </c>
      <c r="I106" s="262"/>
      <c r="J106" s="139"/>
      <c r="K106" s="139"/>
      <c r="L106" s="139"/>
      <c r="M106" s="139"/>
      <c r="N106" s="139"/>
      <c r="O106" s="139"/>
      <c r="P106" s="139"/>
      <c r="Q106" s="139"/>
      <c r="R106" s="141"/>
      <c r="S106" s="140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18.75" customHeight="1">
      <c r="A107" s="261"/>
      <c r="B107" s="139"/>
      <c r="C107" s="139" t="s">
        <v>51</v>
      </c>
      <c r="D107" s="139"/>
      <c r="E107" s="139"/>
      <c r="F107" s="139"/>
      <c r="G107" s="139"/>
      <c r="H107" s="140"/>
      <c r="I107" s="262"/>
      <c r="J107" s="139"/>
      <c r="K107" s="139"/>
      <c r="L107" s="139"/>
      <c r="M107" s="139"/>
      <c r="N107" s="139"/>
      <c r="O107" s="139"/>
      <c r="P107" s="139"/>
      <c r="Q107" s="139"/>
      <c r="R107" s="141"/>
      <c r="S107" s="140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18.75" customHeight="1">
      <c r="A108" s="261"/>
      <c r="B108" s="139"/>
      <c r="C108" s="139"/>
      <c r="D108" s="139" t="s">
        <v>52</v>
      </c>
      <c r="E108" s="139"/>
      <c r="F108" s="139"/>
      <c r="G108" s="139"/>
      <c r="H108" s="140">
        <f>+H107*(H105-H102)</f>
        <v>0</v>
      </c>
      <c r="I108" s="262"/>
      <c r="J108" s="139"/>
      <c r="K108" s="139"/>
      <c r="L108" s="139"/>
      <c r="M108" s="139"/>
      <c r="N108" s="139"/>
      <c r="O108" s="139"/>
      <c r="P108" s="139"/>
      <c r="Q108" s="139"/>
      <c r="R108" s="141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19.5" customHeight="1">
      <c r="A109" s="263"/>
      <c r="B109" s="264"/>
      <c r="C109" s="264"/>
      <c r="D109" s="264"/>
      <c r="E109" s="264"/>
      <c r="F109" s="264"/>
      <c r="G109" s="264"/>
      <c r="H109" s="265"/>
      <c r="I109" s="266"/>
      <c r="J109" s="139"/>
      <c r="K109" s="139"/>
      <c r="L109" s="139"/>
      <c r="M109" s="139"/>
      <c r="N109" s="139"/>
      <c r="O109" s="139"/>
      <c r="P109" s="139"/>
      <c r="Q109" s="139"/>
      <c r="R109" s="141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18.75" customHeight="1">
      <c r="A110" s="139"/>
      <c r="B110" s="139"/>
      <c r="C110" s="139"/>
      <c r="D110" s="139"/>
      <c r="E110" s="139"/>
      <c r="F110" s="139"/>
      <c r="G110" s="139"/>
      <c r="H110" s="140"/>
      <c r="I110" s="139"/>
      <c r="J110" s="139"/>
      <c r="K110" s="139"/>
      <c r="L110" s="139"/>
      <c r="M110" s="139"/>
      <c r="N110" s="139"/>
      <c r="O110" s="139"/>
      <c r="P110" s="139"/>
      <c r="Q110" s="139"/>
      <c r="R110" s="141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18.75" customHeight="1">
      <c r="A111" s="139"/>
      <c r="B111" s="139"/>
      <c r="C111" s="139"/>
      <c r="D111" s="139"/>
      <c r="E111" s="139"/>
      <c r="F111" s="139"/>
      <c r="G111" s="139"/>
      <c r="H111" s="140"/>
      <c r="I111" s="139"/>
      <c r="J111" s="139"/>
      <c r="K111" s="139"/>
      <c r="L111" s="139"/>
      <c r="M111" s="139"/>
      <c r="N111" s="139"/>
      <c r="O111" s="139"/>
      <c r="P111" s="139"/>
      <c r="Q111" s="139"/>
      <c r="R111" s="141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18.75" customHeight="1">
      <c r="A112" s="139"/>
      <c r="B112" s="139"/>
      <c r="C112" s="139"/>
      <c r="D112" s="139"/>
      <c r="E112" s="139"/>
      <c r="F112" s="139"/>
      <c r="G112" s="139"/>
      <c r="H112" s="140"/>
      <c r="I112" s="139"/>
      <c r="J112" s="139"/>
      <c r="K112" s="139"/>
      <c r="L112" s="139"/>
      <c r="M112" s="139"/>
      <c r="N112" s="139"/>
      <c r="O112" s="139"/>
      <c r="P112" s="139"/>
      <c r="Q112" s="139"/>
      <c r="R112" s="141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18.0" customHeight="1">
      <c r="A113" s="7"/>
      <c r="B113" s="7"/>
      <c r="C113" s="7"/>
      <c r="D113" s="7"/>
      <c r="E113" s="7"/>
      <c r="F113" s="7"/>
      <c r="G113" s="7"/>
      <c r="H113" s="267"/>
      <c r="I113" s="7"/>
      <c r="J113" s="7"/>
      <c r="K113" s="7"/>
      <c r="L113" s="7"/>
      <c r="M113" s="7"/>
      <c r="N113" s="7"/>
      <c r="O113" s="7"/>
      <c r="P113" s="7"/>
      <c r="Q113" s="7"/>
      <c r="R113" s="268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</row>
    <row r="114" ht="18.0" customHeight="1">
      <c r="A114" s="7"/>
      <c r="B114" s="7"/>
      <c r="C114" s="7"/>
      <c r="D114" s="7"/>
      <c r="E114" s="7"/>
      <c r="F114" s="7"/>
      <c r="G114" s="7"/>
      <c r="H114" s="267"/>
      <c r="I114" s="7"/>
      <c r="J114" s="7"/>
      <c r="K114" s="7"/>
      <c r="L114" s="7"/>
      <c r="M114" s="7"/>
      <c r="N114" s="7"/>
      <c r="O114" s="7"/>
      <c r="P114" s="7"/>
      <c r="Q114" s="7"/>
      <c r="R114" s="268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</row>
    <row r="115" ht="18.0" customHeight="1">
      <c r="A115" s="7"/>
      <c r="B115" s="7"/>
      <c r="C115" s="7"/>
      <c r="D115" s="7"/>
      <c r="E115" s="7"/>
      <c r="F115" s="7"/>
      <c r="G115" s="7"/>
      <c r="H115" s="267"/>
      <c r="I115" s="7"/>
      <c r="J115" s="7"/>
      <c r="K115" s="7"/>
      <c r="L115" s="7"/>
      <c r="M115" s="7"/>
      <c r="N115" s="7"/>
      <c r="O115" s="7"/>
      <c r="P115" s="7"/>
      <c r="Q115" s="7"/>
      <c r="R115" s="268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</row>
    <row r="116" ht="18.0" customHeight="1">
      <c r="A116" s="7"/>
      <c r="B116" s="7"/>
      <c r="C116" s="7"/>
      <c r="D116" s="7"/>
      <c r="E116" s="7"/>
      <c r="F116" s="7"/>
      <c r="G116" s="7"/>
      <c r="H116" s="267"/>
      <c r="I116" s="7"/>
      <c r="J116" s="7"/>
      <c r="K116" s="7"/>
      <c r="L116" s="7"/>
      <c r="M116" s="7"/>
      <c r="N116" s="7"/>
      <c r="O116" s="7"/>
      <c r="P116" s="7"/>
      <c r="Q116" s="7"/>
      <c r="R116" s="268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</row>
    <row r="117" ht="18.0" customHeight="1">
      <c r="A117" s="7"/>
      <c r="B117" s="7"/>
      <c r="C117" s="7"/>
      <c r="D117" s="7"/>
      <c r="E117" s="7"/>
      <c r="F117" s="7"/>
      <c r="G117" s="7"/>
      <c r="H117" s="267"/>
      <c r="I117" s="7"/>
      <c r="J117" s="7"/>
      <c r="K117" s="7"/>
      <c r="L117" s="7"/>
      <c r="M117" s="7"/>
      <c r="N117" s="7"/>
      <c r="O117" s="7"/>
      <c r="P117" s="7"/>
      <c r="Q117" s="7"/>
      <c r="R117" s="268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</row>
    <row r="118" ht="18.0" customHeight="1">
      <c r="A118" s="7"/>
      <c r="B118" s="7"/>
      <c r="C118" s="7"/>
      <c r="D118" s="7"/>
      <c r="E118" s="7"/>
      <c r="F118" s="7"/>
      <c r="G118" s="7"/>
      <c r="H118" s="267"/>
      <c r="I118" s="7"/>
      <c r="J118" s="7"/>
      <c r="K118" s="7"/>
      <c r="L118" s="7"/>
      <c r="M118" s="7"/>
      <c r="N118" s="7"/>
      <c r="O118" s="7"/>
      <c r="P118" s="7"/>
      <c r="Q118" s="7"/>
      <c r="R118" s="268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</row>
    <row r="119" ht="18.0" customHeight="1">
      <c r="A119" s="7"/>
      <c r="B119" s="7"/>
      <c r="C119" s="7"/>
      <c r="D119" s="7"/>
      <c r="E119" s="7"/>
      <c r="F119" s="7"/>
      <c r="G119" s="7"/>
      <c r="H119" s="267"/>
      <c r="I119" s="7"/>
      <c r="J119" s="7"/>
      <c r="K119" s="7"/>
      <c r="L119" s="7"/>
      <c r="M119" s="7"/>
      <c r="N119" s="7"/>
      <c r="O119" s="7"/>
      <c r="P119" s="7"/>
      <c r="Q119" s="7"/>
      <c r="R119" s="268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</row>
    <row r="120" ht="18.0" customHeight="1">
      <c r="A120" s="7"/>
      <c r="B120" s="7"/>
      <c r="C120" s="7"/>
      <c r="D120" s="7"/>
      <c r="E120" s="7"/>
      <c r="F120" s="7"/>
      <c r="G120" s="7"/>
      <c r="H120" s="267"/>
      <c r="I120" s="7"/>
      <c r="J120" s="7"/>
      <c r="K120" s="7"/>
      <c r="L120" s="7"/>
      <c r="M120" s="7"/>
      <c r="N120" s="7"/>
      <c r="O120" s="7"/>
      <c r="P120" s="7"/>
      <c r="Q120" s="7"/>
      <c r="R120" s="268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</row>
    <row r="121" ht="18.0" customHeight="1">
      <c r="A121" s="7"/>
      <c r="B121" s="7"/>
      <c r="C121" s="7"/>
      <c r="D121" s="7"/>
      <c r="E121" s="7"/>
      <c r="F121" s="7"/>
      <c r="G121" s="7"/>
      <c r="H121" s="267"/>
      <c r="I121" s="7"/>
      <c r="J121" s="7"/>
      <c r="K121" s="7"/>
      <c r="L121" s="7"/>
      <c r="M121" s="7"/>
      <c r="N121" s="7"/>
      <c r="O121" s="7"/>
      <c r="P121" s="7"/>
      <c r="Q121" s="7"/>
      <c r="R121" s="268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</row>
    <row r="122" ht="18.0" customHeight="1">
      <c r="A122" s="7"/>
      <c r="B122" s="7"/>
      <c r="C122" s="7"/>
      <c r="D122" s="7"/>
      <c r="E122" s="7"/>
      <c r="F122" s="7"/>
      <c r="G122" s="7"/>
      <c r="H122" s="267"/>
      <c r="I122" s="7"/>
      <c r="J122" s="7"/>
      <c r="K122" s="7"/>
      <c r="L122" s="7"/>
      <c r="M122" s="7"/>
      <c r="N122" s="7"/>
      <c r="O122" s="7"/>
      <c r="P122" s="7"/>
      <c r="Q122" s="7"/>
      <c r="R122" s="268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</row>
    <row r="123" ht="18.0" customHeight="1">
      <c r="A123" s="7"/>
      <c r="B123" s="7"/>
      <c r="C123" s="7"/>
      <c r="D123" s="7"/>
      <c r="E123" s="7"/>
      <c r="F123" s="7"/>
      <c r="G123" s="7"/>
      <c r="H123" s="267"/>
      <c r="I123" s="7"/>
      <c r="J123" s="7"/>
      <c r="K123" s="7"/>
      <c r="L123" s="7"/>
      <c r="M123" s="7"/>
      <c r="N123" s="7"/>
      <c r="O123" s="7"/>
      <c r="P123" s="7"/>
      <c r="Q123" s="7"/>
      <c r="R123" s="268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</row>
    <row r="124" ht="18.0" customHeight="1">
      <c r="A124" s="7"/>
      <c r="B124" s="7"/>
      <c r="C124" s="7"/>
      <c r="D124" s="7"/>
      <c r="E124" s="7"/>
      <c r="F124" s="7"/>
      <c r="G124" s="7"/>
      <c r="H124" s="267"/>
      <c r="I124" s="7"/>
      <c r="J124" s="7"/>
      <c r="K124" s="7"/>
      <c r="L124" s="7"/>
      <c r="M124" s="7"/>
      <c r="N124" s="7"/>
      <c r="O124" s="7"/>
      <c r="P124" s="7"/>
      <c r="Q124" s="7"/>
      <c r="R124" s="268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</row>
    <row r="125" ht="18.0" customHeight="1">
      <c r="A125" s="7"/>
      <c r="B125" s="7"/>
      <c r="C125" s="7"/>
      <c r="D125" s="7"/>
      <c r="E125" s="7"/>
      <c r="F125" s="7"/>
      <c r="G125" s="7"/>
      <c r="H125" s="267"/>
      <c r="I125" s="7"/>
      <c r="J125" s="7"/>
      <c r="K125" s="7"/>
      <c r="L125" s="7"/>
      <c r="M125" s="7"/>
      <c r="N125" s="7"/>
      <c r="O125" s="7"/>
      <c r="P125" s="7"/>
      <c r="Q125" s="7"/>
      <c r="R125" s="268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</row>
    <row r="126" ht="18.0" customHeight="1">
      <c r="A126" s="7"/>
      <c r="B126" s="7"/>
      <c r="C126" s="7"/>
      <c r="D126" s="7"/>
      <c r="E126" s="7"/>
      <c r="F126" s="7"/>
      <c r="G126" s="7"/>
      <c r="H126" s="267"/>
      <c r="I126" s="7"/>
      <c r="J126" s="7"/>
      <c r="K126" s="7"/>
      <c r="L126" s="7"/>
      <c r="M126" s="7"/>
      <c r="N126" s="7"/>
      <c r="O126" s="7"/>
      <c r="P126" s="7"/>
      <c r="Q126" s="7"/>
      <c r="R126" s="268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</row>
    <row r="127" ht="18.0" customHeight="1">
      <c r="A127" s="7"/>
      <c r="B127" s="7"/>
      <c r="C127" s="7"/>
      <c r="D127" s="7"/>
      <c r="E127" s="7"/>
      <c r="F127" s="7"/>
      <c r="G127" s="7"/>
      <c r="H127" s="267"/>
      <c r="I127" s="7"/>
      <c r="J127" s="7"/>
      <c r="K127" s="7"/>
      <c r="L127" s="7"/>
      <c r="M127" s="7"/>
      <c r="N127" s="7"/>
      <c r="O127" s="7"/>
      <c r="P127" s="7"/>
      <c r="Q127" s="7"/>
      <c r="R127" s="268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</row>
    <row r="128" ht="18.0" customHeight="1">
      <c r="A128" s="7"/>
      <c r="B128" s="7"/>
      <c r="C128" s="7"/>
      <c r="D128" s="7"/>
      <c r="E128" s="7"/>
      <c r="F128" s="7"/>
      <c r="G128" s="7"/>
      <c r="H128" s="267"/>
      <c r="I128" s="7"/>
      <c r="J128" s="7"/>
      <c r="K128" s="7"/>
      <c r="L128" s="7"/>
      <c r="M128" s="7"/>
      <c r="N128" s="7"/>
      <c r="O128" s="7"/>
      <c r="P128" s="7"/>
      <c r="Q128" s="7"/>
      <c r="R128" s="268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</row>
    <row r="129" ht="18.0" customHeight="1">
      <c r="A129" s="7"/>
      <c r="B129" s="7"/>
      <c r="C129" s="7"/>
      <c r="D129" s="7"/>
      <c r="E129" s="7"/>
      <c r="F129" s="7"/>
      <c r="G129" s="7"/>
      <c r="H129" s="267"/>
      <c r="I129" s="7"/>
      <c r="J129" s="7"/>
      <c r="K129" s="7"/>
      <c r="L129" s="7"/>
      <c r="M129" s="7"/>
      <c r="N129" s="7"/>
      <c r="O129" s="7"/>
      <c r="P129" s="7"/>
      <c r="Q129" s="7"/>
      <c r="R129" s="268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</row>
    <row r="130" ht="18.0" customHeight="1">
      <c r="A130" s="7"/>
      <c r="B130" s="7"/>
      <c r="C130" s="7"/>
      <c r="D130" s="7"/>
      <c r="E130" s="7"/>
      <c r="F130" s="7"/>
      <c r="G130" s="7"/>
      <c r="H130" s="267"/>
      <c r="I130" s="7"/>
      <c r="J130" s="7"/>
      <c r="K130" s="7"/>
      <c r="L130" s="7"/>
      <c r="M130" s="7"/>
      <c r="N130" s="7"/>
      <c r="O130" s="7"/>
      <c r="P130" s="7"/>
      <c r="Q130" s="7"/>
      <c r="R130" s="268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7"/>
      <c r="R131" s="268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7"/>
      <c r="R132" s="268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7"/>
      <c r="R133" s="268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7"/>
      <c r="R134" s="268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7"/>
      <c r="R135" s="268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7"/>
      <c r="R136" s="268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7"/>
      <c r="R137" s="268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7"/>
      <c r="R138" s="268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7"/>
      <c r="R139" s="268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7"/>
      <c r="R140" s="268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7"/>
      <c r="R141" s="268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7"/>
      <c r="R142" s="268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7"/>
      <c r="R143" s="268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7"/>
      <c r="R144" s="268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7"/>
      <c r="R145" s="268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7"/>
      <c r="R146" s="268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7"/>
      <c r="R147" s="268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7"/>
      <c r="R148" s="268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7"/>
      <c r="R149" s="268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7"/>
      <c r="R150" s="268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7"/>
      <c r="R151" s="268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7"/>
      <c r="R152" s="268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7"/>
      <c r="R153" s="268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7"/>
      <c r="R154" s="268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7"/>
      <c r="R155" s="268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7"/>
      <c r="R156" s="268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7"/>
      <c r="R157" s="268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7"/>
      <c r="R158" s="26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7"/>
      <c r="R159" s="26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7"/>
      <c r="R160" s="26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7"/>
      <c r="R161" s="26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7"/>
      <c r="R162" s="26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7"/>
      <c r="R163" s="26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7"/>
      <c r="R164" s="26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7"/>
      <c r="R165" s="26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7"/>
      <c r="R166" s="26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7"/>
      <c r="R167" s="26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7"/>
      <c r="R168" s="26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7"/>
      <c r="R169" s="26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7"/>
      <c r="R170" s="26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7"/>
      <c r="R171" s="26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7"/>
      <c r="R172" s="26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7"/>
      <c r="R173" s="26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7"/>
      <c r="R174" s="26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7"/>
      <c r="R175" s="26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7"/>
      <c r="R176" s="26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7"/>
      <c r="R177" s="26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7"/>
      <c r="R178" s="26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7"/>
      <c r="R179" s="26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7"/>
      <c r="R180" s="26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7"/>
      <c r="R181" s="26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7"/>
      <c r="R182" s="26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7"/>
      <c r="R183" s="26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7"/>
      <c r="R184" s="26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7"/>
      <c r="R185" s="26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7"/>
      <c r="R186" s="26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7"/>
      <c r="R187" s="26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7"/>
      <c r="R188" s="26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7"/>
      <c r="R189" s="26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7"/>
      <c r="R190" s="26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7"/>
      <c r="R191" s="26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7"/>
      <c r="R192" s="26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7"/>
      <c r="R193" s="26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7"/>
      <c r="R194" s="26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7"/>
      <c r="R252" s="26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7"/>
      <c r="R253" s="26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7"/>
      <c r="R254" s="26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7"/>
      <c r="R255" s="26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7"/>
      <c r="R256" s="26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7"/>
      <c r="R257" s="26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7"/>
      <c r="R258" s="26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7"/>
      <c r="R259" s="26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7"/>
      <c r="R260" s="26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7"/>
      <c r="R261" s="26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7"/>
      <c r="R262" s="26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7"/>
      <c r="R263" s="26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7"/>
      <c r="R264" s="26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7"/>
      <c r="R265" s="26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7"/>
      <c r="R266" s="26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7"/>
      <c r="R267" s="26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7"/>
      <c r="R268" s="26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7"/>
      <c r="R269" s="26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7"/>
      <c r="R270" s="26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7"/>
      <c r="R271" s="26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7"/>
      <c r="R272" s="26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7"/>
      <c r="R273" s="26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7"/>
      <c r="R274" s="26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7"/>
      <c r="R275" s="26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7"/>
      <c r="R276" s="26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7"/>
      <c r="R277" s="26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7"/>
      <c r="R278" s="26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7"/>
      <c r="R279" s="26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7"/>
      <c r="R280" s="26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7"/>
      <c r="R281" s="26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7"/>
      <c r="R282" s="26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7"/>
      <c r="R283" s="26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7"/>
      <c r="R284" s="26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7"/>
      <c r="R285" s="26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7"/>
      <c r="R286" s="26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7"/>
      <c r="R287" s="26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7"/>
      <c r="R288" s="26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7"/>
      <c r="R289" s="26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7"/>
      <c r="R290" s="26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7"/>
      <c r="R291" s="26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7"/>
      <c r="R292" s="26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7"/>
      <c r="R293" s="26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7"/>
      <c r="R294" s="26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7"/>
      <c r="R295" s="26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7"/>
      <c r="R296" s="26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7"/>
      <c r="R297" s="26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7"/>
      <c r="R298" s="26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7"/>
      <c r="R299" s="26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7"/>
      <c r="R300" s="26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7"/>
      <c r="R301" s="26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7"/>
      <c r="R302" s="26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7"/>
      <c r="R303" s="268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7"/>
      <c r="R304" s="268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7"/>
      <c r="R305" s="268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7"/>
      <c r="R306" s="268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7"/>
      <c r="R307" s="268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7"/>
      <c r="R308" s="268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1:D11"/>
    <mergeCell ref="E12:H12"/>
    <mergeCell ref="C17:E17"/>
    <mergeCell ref="C79:E79"/>
    <mergeCell ref="C89:E89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44373.0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220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56</v>
      </c>
      <c r="C8" s="154">
        <v>29.5</v>
      </c>
      <c r="D8" s="155">
        <v>0.0146</v>
      </c>
      <c r="E8" s="156">
        <f>253.53*53.7</f>
        <v>13614.561</v>
      </c>
      <c r="F8" s="156"/>
      <c r="G8" s="156"/>
      <c r="H8" s="157">
        <v>53.7</v>
      </c>
      <c r="I8" s="158">
        <f t="shared" ref="I8:I14" si="1">+D8*E8</f>
        <v>198.7725906</v>
      </c>
      <c r="J8" s="159">
        <f t="shared" ref="J8:J14" si="2">E8-I8</f>
        <v>13415.78841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56</v>
      </c>
      <c r="C9" s="154">
        <v>29.5</v>
      </c>
      <c r="D9" s="155">
        <v>0.0146</v>
      </c>
      <c r="E9" s="156">
        <f>253.53*25.3</f>
        <v>6414.309</v>
      </c>
      <c r="F9" s="156"/>
      <c r="G9" s="156"/>
      <c r="H9" s="157">
        <v>25.3</v>
      </c>
      <c r="I9" s="158">
        <f t="shared" si="1"/>
        <v>93.6489114</v>
      </c>
      <c r="J9" s="159">
        <f t="shared" si="2"/>
        <v>6320.660089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55</v>
      </c>
      <c r="C10" s="154">
        <v>29.5</v>
      </c>
      <c r="D10" s="155">
        <v>0.0155</v>
      </c>
      <c r="E10" s="156">
        <f>254.855*49.7</f>
        <v>12666.2935</v>
      </c>
      <c r="F10" s="156"/>
      <c r="G10" s="156"/>
      <c r="H10" s="157">
        <v>49.7</v>
      </c>
      <c r="I10" s="158">
        <f t="shared" si="1"/>
        <v>196.3275493</v>
      </c>
      <c r="J10" s="159">
        <f t="shared" si="2"/>
        <v>12469.96595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84</v>
      </c>
      <c r="C11" s="154">
        <v>31.5</v>
      </c>
      <c r="D11" s="161">
        <v>0.0146</v>
      </c>
      <c r="E11" s="162">
        <f>240.955*14.8</f>
        <v>3566.134</v>
      </c>
      <c r="F11" s="162"/>
      <c r="G11" s="162"/>
      <c r="H11" s="157">
        <v>14.8</v>
      </c>
      <c r="I11" s="158">
        <f t="shared" si="1"/>
        <v>52.0655564</v>
      </c>
      <c r="J11" s="159">
        <f t="shared" si="2"/>
        <v>3514.068444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174</v>
      </c>
      <c r="C12" s="160">
        <v>23.5</v>
      </c>
      <c r="D12" s="161">
        <v>0.0579</v>
      </c>
      <c r="E12" s="162">
        <f>252.956*2.6</f>
        <v>657.6856</v>
      </c>
      <c r="F12" s="162"/>
      <c r="G12" s="162"/>
      <c r="H12" s="157">
        <v>2.6</v>
      </c>
      <c r="I12" s="158">
        <f t="shared" si="1"/>
        <v>38.07999624</v>
      </c>
      <c r="J12" s="159">
        <f t="shared" si="2"/>
        <v>619.6056038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26.25" customHeight="1">
      <c r="A13" s="153">
        <v>6.0</v>
      </c>
      <c r="B13" s="160" t="s">
        <v>110</v>
      </c>
      <c r="C13" s="160">
        <v>20.5</v>
      </c>
      <c r="D13" s="161">
        <v>0.0786</v>
      </c>
      <c r="E13" s="162">
        <f>236.555*1</f>
        <v>236.555</v>
      </c>
      <c r="F13" s="162"/>
      <c r="G13" s="162"/>
      <c r="H13" s="157">
        <v>1.0</v>
      </c>
      <c r="I13" s="158">
        <f t="shared" si="1"/>
        <v>18.593223</v>
      </c>
      <c r="J13" s="159">
        <f t="shared" si="2"/>
        <v>217.961777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26.25" customHeight="1">
      <c r="A14" s="153">
        <v>7.0</v>
      </c>
      <c r="B14" s="160" t="s">
        <v>221</v>
      </c>
      <c r="C14" s="160">
        <v>20.5</v>
      </c>
      <c r="D14" s="161">
        <v>0.0824</v>
      </c>
      <c r="E14" s="162">
        <f>231.298*1</f>
        <v>231.298</v>
      </c>
      <c r="F14" s="162"/>
      <c r="G14" s="162"/>
      <c r="H14" s="157">
        <v>1.0</v>
      </c>
      <c r="I14" s="158">
        <f t="shared" si="1"/>
        <v>19.0589552</v>
      </c>
      <c r="J14" s="159">
        <f t="shared" si="2"/>
        <v>212.2390448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63"/>
      <c r="B15" s="164"/>
      <c r="C15" s="165"/>
      <c r="D15" s="166"/>
      <c r="E15" s="167">
        <f>SUM(E8:E14)</f>
        <v>37386.8361</v>
      </c>
      <c r="F15" s="168"/>
      <c r="G15" s="168"/>
      <c r="H15" s="169"/>
      <c r="I15" s="170">
        <f t="shared" ref="I15:J15" si="3">SUM(I8:I14)</f>
        <v>616.5467821</v>
      </c>
      <c r="J15" s="171">
        <f t="shared" si="3"/>
        <v>36770.28932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72"/>
      <c r="B16" s="144"/>
      <c r="C16" s="144"/>
      <c r="D16" s="173"/>
      <c r="E16" s="174"/>
      <c r="F16" s="151"/>
      <c r="G16" s="151"/>
      <c r="H16" s="147"/>
      <c r="I16" s="175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18.75" customHeight="1">
      <c r="A19" s="139" t="s">
        <v>11</v>
      </c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40.5" customHeight="1">
      <c r="A21" s="176"/>
      <c r="B21" s="160" t="s">
        <v>12</v>
      </c>
      <c r="C21" s="177" t="s">
        <v>62</v>
      </c>
      <c r="D21" s="52"/>
      <c r="E21" s="53"/>
      <c r="F21" s="178"/>
      <c r="G21" s="178"/>
      <c r="H21" s="179" t="s">
        <v>14</v>
      </c>
      <c r="I21" s="160" t="s">
        <v>15</v>
      </c>
      <c r="J21" s="160" t="s">
        <v>16</v>
      </c>
      <c r="K21" s="139"/>
      <c r="L21" s="160" t="s">
        <v>17</v>
      </c>
      <c r="M21" s="160" t="s">
        <v>15</v>
      </c>
      <c r="N21" s="176" t="s">
        <v>18</v>
      </c>
      <c r="O21" s="139"/>
      <c r="P21" s="139"/>
      <c r="Q21" s="176" t="s">
        <v>129</v>
      </c>
      <c r="R21" s="180"/>
      <c r="S21" s="160" t="s">
        <v>17</v>
      </c>
      <c r="T21" s="160" t="s">
        <v>15</v>
      </c>
      <c r="U21" s="176" t="s">
        <v>18</v>
      </c>
      <c r="V21" s="139"/>
      <c r="W21" s="176" t="s">
        <v>19</v>
      </c>
      <c r="X21" s="176" t="s">
        <v>20</v>
      </c>
      <c r="Y21" s="176" t="s">
        <v>21</v>
      </c>
      <c r="Z21" s="176" t="s">
        <v>222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1.0</v>
      </c>
      <c r="B22" s="182" t="s">
        <v>65</v>
      </c>
      <c r="C22" s="183">
        <v>84.0</v>
      </c>
      <c r="D22" s="183">
        <v>202.0</v>
      </c>
      <c r="E22" s="183">
        <v>251.0</v>
      </c>
      <c r="F22" s="183">
        <f t="shared" ref="F22:F79" si="5">VALUE(IF(RIGHT(B22, 1)="%", RIGHT(B22, 3), 0))</f>
        <v>0.8</v>
      </c>
      <c r="G22" s="183">
        <f t="shared" ref="G22:G79" si="6">+R22*C22/100*D22/100*E22/100</f>
        <v>125.639556</v>
      </c>
      <c r="H22" s="184">
        <f t="shared" ref="H22:H79" si="7">IF(F22=0, G22, F22*G22)</f>
        <v>100.5116448</v>
      </c>
      <c r="I22" s="183">
        <v>1.0</v>
      </c>
      <c r="J22" s="185">
        <f t="shared" ref="J22:J79" si="8">+I22*H22</f>
        <v>100.5116448</v>
      </c>
      <c r="K22" s="139"/>
      <c r="L22" s="176">
        <f>D22*25.4/1000</f>
        <v>5.1308</v>
      </c>
      <c r="M22" s="160">
        <f>+I22</f>
        <v>1</v>
      </c>
      <c r="N22" s="160">
        <f>M22*L22</f>
        <v>5.1308</v>
      </c>
      <c r="O22" s="139"/>
      <c r="P22" s="139"/>
      <c r="Q22" s="176"/>
      <c r="R22" s="281">
        <v>29.5</v>
      </c>
      <c r="S22" s="176">
        <f t="shared" ref="S22:S80" si="9">E22/100</f>
        <v>2.51</v>
      </c>
      <c r="T22" s="160">
        <f t="shared" ref="T22:T80" si="10">I22</f>
        <v>1</v>
      </c>
      <c r="U22" s="160">
        <f t="shared" ref="U22:U80" si="11">T22*S22</f>
        <v>2.51</v>
      </c>
      <c r="V22" s="282">
        <f t="shared" ref="V22:V79" si="12">R22*C22/100*D22/100*E22/100</f>
        <v>125.639556</v>
      </c>
      <c r="W22" s="176">
        <f t="shared" ref="W22:X22" si="4">C22/100</f>
        <v>0.84</v>
      </c>
      <c r="X22" s="176">
        <f t="shared" si="4"/>
        <v>2.02</v>
      </c>
      <c r="Y22" s="176">
        <f t="shared" ref="Y22:Y80" si="14">U22</f>
        <v>2.51</v>
      </c>
      <c r="Z22" s="283">
        <f t="shared" ref="Z22:Z80" si="15">W22*X22*Y22</f>
        <v>4.258968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2.0</v>
      </c>
      <c r="B23" s="191" t="s">
        <v>56</v>
      </c>
      <c r="C23" s="191">
        <v>98.0</v>
      </c>
      <c r="D23" s="191">
        <v>202.0</v>
      </c>
      <c r="E23" s="191">
        <v>250.0</v>
      </c>
      <c r="F23" s="191">
        <f t="shared" si="5"/>
        <v>0</v>
      </c>
      <c r="G23" s="191">
        <f t="shared" si="6"/>
        <v>145.9955</v>
      </c>
      <c r="H23" s="192">
        <f t="shared" si="7"/>
        <v>145.9955</v>
      </c>
      <c r="I23" s="191">
        <v>6.0</v>
      </c>
      <c r="J23" s="194">
        <f t="shared" si="8"/>
        <v>875.973</v>
      </c>
      <c r="K23" s="139"/>
      <c r="L23" s="176"/>
      <c r="M23" s="160"/>
      <c r="N23" s="160"/>
      <c r="O23" s="139"/>
      <c r="P23" s="139"/>
      <c r="Q23" s="176"/>
      <c r="R23" s="281">
        <v>29.5</v>
      </c>
      <c r="S23" s="176">
        <f t="shared" si="9"/>
        <v>2.5</v>
      </c>
      <c r="T23" s="160">
        <f t="shared" si="10"/>
        <v>6</v>
      </c>
      <c r="U23" s="160">
        <f t="shared" si="11"/>
        <v>15</v>
      </c>
      <c r="V23" s="282">
        <f t="shared" si="12"/>
        <v>145.9955</v>
      </c>
      <c r="W23" s="176">
        <f t="shared" ref="W23:X23" si="13">C23/100</f>
        <v>0.98</v>
      </c>
      <c r="X23" s="176">
        <f t="shared" si="13"/>
        <v>2.02</v>
      </c>
      <c r="Y23" s="176">
        <f t="shared" si="14"/>
        <v>15</v>
      </c>
      <c r="Z23" s="283">
        <f t="shared" si="15"/>
        <v>29.694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3.0</v>
      </c>
      <c r="B24" s="191" t="s">
        <v>56</v>
      </c>
      <c r="C24" s="191">
        <v>98.0</v>
      </c>
      <c r="D24" s="191">
        <v>202.0</v>
      </c>
      <c r="E24" s="191">
        <v>250.0</v>
      </c>
      <c r="F24" s="191">
        <f t="shared" si="5"/>
        <v>0</v>
      </c>
      <c r="G24" s="191">
        <f t="shared" si="6"/>
        <v>145.9955</v>
      </c>
      <c r="H24" s="192">
        <f t="shared" si="7"/>
        <v>145.9955</v>
      </c>
      <c r="I24" s="191">
        <v>1.0</v>
      </c>
      <c r="J24" s="194">
        <f t="shared" si="8"/>
        <v>145.9955</v>
      </c>
      <c r="K24" s="139"/>
      <c r="L24" s="176">
        <f t="shared" ref="L24:L46" si="17">D24*25.4/1000</f>
        <v>5.1308</v>
      </c>
      <c r="M24" s="160">
        <f t="shared" ref="M24:M69" si="18">+I24</f>
        <v>1</v>
      </c>
      <c r="N24" s="160">
        <f t="shared" ref="N24:N46" si="19">M24*L24</f>
        <v>5.1308</v>
      </c>
      <c r="O24" s="139"/>
      <c r="P24" s="139"/>
      <c r="Q24" s="176">
        <v>149.0</v>
      </c>
      <c r="R24" s="281">
        <v>29.5</v>
      </c>
      <c r="S24" s="176">
        <f t="shared" si="9"/>
        <v>2.5</v>
      </c>
      <c r="T24" s="160">
        <f t="shared" si="10"/>
        <v>1</v>
      </c>
      <c r="U24" s="160">
        <f t="shared" si="11"/>
        <v>2.5</v>
      </c>
      <c r="V24" s="282">
        <f t="shared" si="12"/>
        <v>145.9955</v>
      </c>
      <c r="W24" s="176">
        <f t="shared" ref="W24:X24" si="16">C24/100</f>
        <v>0.98</v>
      </c>
      <c r="X24" s="176">
        <f t="shared" si="16"/>
        <v>2.02</v>
      </c>
      <c r="Y24" s="176">
        <f t="shared" si="14"/>
        <v>2.5</v>
      </c>
      <c r="Z24" s="283">
        <f t="shared" si="15"/>
        <v>4.949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4.0</v>
      </c>
      <c r="B25" s="191" t="s">
        <v>56</v>
      </c>
      <c r="C25" s="191">
        <v>98.0</v>
      </c>
      <c r="D25" s="191">
        <v>202.0</v>
      </c>
      <c r="E25" s="191">
        <v>251.0</v>
      </c>
      <c r="F25" s="191">
        <f t="shared" si="5"/>
        <v>0</v>
      </c>
      <c r="G25" s="191">
        <f t="shared" si="6"/>
        <v>146.579482</v>
      </c>
      <c r="H25" s="192">
        <f t="shared" si="7"/>
        <v>146.579482</v>
      </c>
      <c r="I25" s="191">
        <v>20.0</v>
      </c>
      <c r="J25" s="194">
        <f t="shared" si="8"/>
        <v>2931.58964</v>
      </c>
      <c r="K25" s="139"/>
      <c r="L25" s="176">
        <f t="shared" si="17"/>
        <v>5.1308</v>
      </c>
      <c r="M25" s="160">
        <f t="shared" si="18"/>
        <v>20</v>
      </c>
      <c r="N25" s="160">
        <f t="shared" si="19"/>
        <v>102.616</v>
      </c>
      <c r="O25" s="139"/>
      <c r="P25" s="139"/>
      <c r="Q25" s="176"/>
      <c r="R25" s="281">
        <v>29.5</v>
      </c>
      <c r="S25" s="176">
        <f t="shared" si="9"/>
        <v>2.51</v>
      </c>
      <c r="T25" s="160">
        <f t="shared" si="10"/>
        <v>20</v>
      </c>
      <c r="U25" s="160">
        <f t="shared" si="11"/>
        <v>50.2</v>
      </c>
      <c r="V25" s="282">
        <f t="shared" si="12"/>
        <v>146.579482</v>
      </c>
      <c r="W25" s="176">
        <f t="shared" ref="W25:X25" si="20">C25/100</f>
        <v>0.98</v>
      </c>
      <c r="X25" s="176">
        <f t="shared" si="20"/>
        <v>2.02</v>
      </c>
      <c r="Y25" s="176">
        <f t="shared" si="14"/>
        <v>50.2</v>
      </c>
      <c r="Z25" s="283">
        <f t="shared" si="15"/>
        <v>99.37592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5.0</v>
      </c>
      <c r="B26" s="191" t="s">
        <v>56</v>
      </c>
      <c r="C26" s="191">
        <v>98.0</v>
      </c>
      <c r="D26" s="191">
        <v>202.0</v>
      </c>
      <c r="E26" s="191">
        <v>251.0</v>
      </c>
      <c r="F26" s="191">
        <f t="shared" si="5"/>
        <v>0</v>
      </c>
      <c r="G26" s="191">
        <f t="shared" si="6"/>
        <v>146.579482</v>
      </c>
      <c r="H26" s="192">
        <f t="shared" si="7"/>
        <v>146.579482</v>
      </c>
      <c r="I26" s="191">
        <v>1.0</v>
      </c>
      <c r="J26" s="194">
        <f t="shared" si="8"/>
        <v>146.579482</v>
      </c>
      <c r="K26" s="139"/>
      <c r="L26" s="176">
        <f t="shared" si="17"/>
        <v>5.1308</v>
      </c>
      <c r="M26" s="160">
        <f t="shared" si="18"/>
        <v>1</v>
      </c>
      <c r="N26" s="160">
        <f t="shared" si="19"/>
        <v>5.1308</v>
      </c>
      <c r="O26" s="139"/>
      <c r="P26" s="139"/>
      <c r="Q26" s="176">
        <v>149.0</v>
      </c>
      <c r="R26" s="281">
        <v>29.5</v>
      </c>
      <c r="S26" s="176">
        <f t="shared" si="9"/>
        <v>2.51</v>
      </c>
      <c r="T26" s="160">
        <f t="shared" si="10"/>
        <v>1</v>
      </c>
      <c r="U26" s="160">
        <f t="shared" si="11"/>
        <v>2.51</v>
      </c>
      <c r="V26" s="282">
        <f t="shared" si="12"/>
        <v>146.579482</v>
      </c>
      <c r="W26" s="176">
        <f t="shared" ref="W26:X26" si="21">C26/100</f>
        <v>0.98</v>
      </c>
      <c r="X26" s="176">
        <f t="shared" si="21"/>
        <v>2.02</v>
      </c>
      <c r="Y26" s="176">
        <f t="shared" si="14"/>
        <v>2.51</v>
      </c>
      <c r="Z26" s="283">
        <f t="shared" si="15"/>
        <v>4.968796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6.0</v>
      </c>
      <c r="B27" s="191" t="s">
        <v>56</v>
      </c>
      <c r="C27" s="191">
        <v>97.0</v>
      </c>
      <c r="D27" s="191">
        <v>202.0</v>
      </c>
      <c r="E27" s="191">
        <v>251.0</v>
      </c>
      <c r="F27" s="191">
        <f t="shared" si="5"/>
        <v>0</v>
      </c>
      <c r="G27" s="191">
        <f t="shared" si="6"/>
        <v>145.083773</v>
      </c>
      <c r="H27" s="192">
        <f t="shared" si="7"/>
        <v>145.083773</v>
      </c>
      <c r="I27" s="191">
        <v>10.0</v>
      </c>
      <c r="J27" s="194">
        <f t="shared" si="8"/>
        <v>1450.83773</v>
      </c>
      <c r="K27" s="139"/>
      <c r="L27" s="176">
        <f t="shared" si="17"/>
        <v>5.1308</v>
      </c>
      <c r="M27" s="160">
        <f t="shared" si="18"/>
        <v>10</v>
      </c>
      <c r="N27" s="160">
        <f t="shared" si="19"/>
        <v>51.308</v>
      </c>
      <c r="O27" s="139"/>
      <c r="P27" s="139"/>
      <c r="Q27" s="176"/>
      <c r="R27" s="281">
        <v>29.5</v>
      </c>
      <c r="S27" s="176">
        <f t="shared" si="9"/>
        <v>2.51</v>
      </c>
      <c r="T27" s="160">
        <f t="shared" si="10"/>
        <v>10</v>
      </c>
      <c r="U27" s="160">
        <f t="shared" si="11"/>
        <v>25.1</v>
      </c>
      <c r="V27" s="282">
        <f t="shared" si="12"/>
        <v>145.083773</v>
      </c>
      <c r="W27" s="176">
        <f t="shared" ref="W27:X27" si="22">C27/100</f>
        <v>0.97</v>
      </c>
      <c r="X27" s="176">
        <f t="shared" si="22"/>
        <v>2.02</v>
      </c>
      <c r="Y27" s="176">
        <f t="shared" si="14"/>
        <v>25.1</v>
      </c>
      <c r="Z27" s="283">
        <f t="shared" si="15"/>
        <v>49.18094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7.0</v>
      </c>
      <c r="B28" s="191" t="s">
        <v>56</v>
      </c>
      <c r="C28" s="191">
        <v>97.0</v>
      </c>
      <c r="D28" s="191">
        <v>202.0</v>
      </c>
      <c r="E28" s="191">
        <v>251.0</v>
      </c>
      <c r="F28" s="191">
        <f t="shared" si="5"/>
        <v>0</v>
      </c>
      <c r="G28" s="191">
        <f t="shared" si="6"/>
        <v>145.083773</v>
      </c>
      <c r="H28" s="192">
        <f t="shared" si="7"/>
        <v>145.083773</v>
      </c>
      <c r="I28" s="191">
        <v>3.0</v>
      </c>
      <c r="J28" s="194">
        <f t="shared" si="8"/>
        <v>435.251319</v>
      </c>
      <c r="K28" s="139"/>
      <c r="L28" s="176">
        <f t="shared" si="17"/>
        <v>5.1308</v>
      </c>
      <c r="M28" s="160">
        <f t="shared" si="18"/>
        <v>3</v>
      </c>
      <c r="N28" s="160">
        <f t="shared" si="19"/>
        <v>15.3924</v>
      </c>
      <c r="O28" s="139"/>
      <c r="P28" s="139"/>
      <c r="Q28" s="176">
        <v>148.0</v>
      </c>
      <c r="R28" s="281">
        <v>29.5</v>
      </c>
      <c r="S28" s="176">
        <f t="shared" si="9"/>
        <v>2.51</v>
      </c>
      <c r="T28" s="160">
        <f t="shared" si="10"/>
        <v>3</v>
      </c>
      <c r="U28" s="160">
        <f t="shared" si="11"/>
        <v>7.53</v>
      </c>
      <c r="V28" s="282">
        <f t="shared" si="12"/>
        <v>145.083773</v>
      </c>
      <c r="W28" s="176">
        <f t="shared" ref="W28:X28" si="23">C28/100</f>
        <v>0.97</v>
      </c>
      <c r="X28" s="176">
        <f t="shared" si="23"/>
        <v>2.02</v>
      </c>
      <c r="Y28" s="176">
        <f t="shared" si="14"/>
        <v>7.53</v>
      </c>
      <c r="Z28" s="283">
        <f t="shared" si="15"/>
        <v>14.754282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8.0</v>
      </c>
      <c r="B29" s="191" t="s">
        <v>56</v>
      </c>
      <c r="C29" s="191">
        <v>97.0</v>
      </c>
      <c r="D29" s="191">
        <v>202.0</v>
      </c>
      <c r="E29" s="191">
        <v>250.0</v>
      </c>
      <c r="F29" s="191">
        <f t="shared" si="5"/>
        <v>0</v>
      </c>
      <c r="G29" s="191">
        <f t="shared" si="6"/>
        <v>144.50575</v>
      </c>
      <c r="H29" s="192">
        <f t="shared" si="7"/>
        <v>144.50575</v>
      </c>
      <c r="I29" s="191">
        <v>3.0</v>
      </c>
      <c r="J29" s="194">
        <f t="shared" si="8"/>
        <v>433.51725</v>
      </c>
      <c r="K29" s="139"/>
      <c r="L29" s="176">
        <f t="shared" si="17"/>
        <v>5.1308</v>
      </c>
      <c r="M29" s="160">
        <f t="shared" si="18"/>
        <v>3</v>
      </c>
      <c r="N29" s="160">
        <f t="shared" si="19"/>
        <v>15.3924</v>
      </c>
      <c r="O29" s="139"/>
      <c r="P29" s="139"/>
      <c r="Q29" s="176"/>
      <c r="R29" s="281">
        <v>29.5</v>
      </c>
      <c r="S29" s="176">
        <f t="shared" si="9"/>
        <v>2.5</v>
      </c>
      <c r="T29" s="160">
        <f t="shared" si="10"/>
        <v>3</v>
      </c>
      <c r="U29" s="160">
        <f t="shared" si="11"/>
        <v>7.5</v>
      </c>
      <c r="V29" s="282">
        <f t="shared" si="12"/>
        <v>144.50575</v>
      </c>
      <c r="W29" s="176">
        <f t="shared" ref="W29:X29" si="24">C29/100</f>
        <v>0.97</v>
      </c>
      <c r="X29" s="176">
        <f t="shared" si="24"/>
        <v>2.02</v>
      </c>
      <c r="Y29" s="176">
        <f t="shared" si="14"/>
        <v>7.5</v>
      </c>
      <c r="Z29" s="283">
        <f t="shared" si="15"/>
        <v>14.6955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9.0</v>
      </c>
      <c r="B30" s="191" t="s">
        <v>56</v>
      </c>
      <c r="C30" s="191">
        <v>96.0</v>
      </c>
      <c r="D30" s="191">
        <v>202.0</v>
      </c>
      <c r="E30" s="191">
        <v>251.0</v>
      </c>
      <c r="F30" s="191">
        <f t="shared" si="5"/>
        <v>0</v>
      </c>
      <c r="G30" s="191">
        <f t="shared" si="6"/>
        <v>143.588064</v>
      </c>
      <c r="H30" s="192">
        <f t="shared" si="7"/>
        <v>143.588064</v>
      </c>
      <c r="I30" s="191">
        <v>3.0</v>
      </c>
      <c r="J30" s="194">
        <f t="shared" si="8"/>
        <v>430.764192</v>
      </c>
      <c r="K30" s="139"/>
      <c r="L30" s="176">
        <f t="shared" si="17"/>
        <v>5.1308</v>
      </c>
      <c r="M30" s="160">
        <f t="shared" si="18"/>
        <v>3</v>
      </c>
      <c r="N30" s="160">
        <f t="shared" si="19"/>
        <v>15.3924</v>
      </c>
      <c r="O30" s="139"/>
      <c r="P30" s="139"/>
      <c r="Q30" s="176"/>
      <c r="R30" s="281">
        <v>29.5</v>
      </c>
      <c r="S30" s="176">
        <f t="shared" si="9"/>
        <v>2.51</v>
      </c>
      <c r="T30" s="160">
        <f t="shared" si="10"/>
        <v>3</v>
      </c>
      <c r="U30" s="160">
        <f t="shared" si="11"/>
        <v>7.53</v>
      </c>
      <c r="V30" s="282">
        <f t="shared" si="12"/>
        <v>143.588064</v>
      </c>
      <c r="W30" s="176">
        <f t="shared" ref="W30:X30" si="25">C30/100</f>
        <v>0.96</v>
      </c>
      <c r="X30" s="176">
        <f t="shared" si="25"/>
        <v>2.02</v>
      </c>
      <c r="Y30" s="176">
        <f t="shared" si="14"/>
        <v>7.53</v>
      </c>
      <c r="Z30" s="283">
        <f t="shared" si="15"/>
        <v>14.602176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10.0</v>
      </c>
      <c r="B31" s="191" t="s">
        <v>56</v>
      </c>
      <c r="C31" s="191">
        <v>96.0</v>
      </c>
      <c r="D31" s="191">
        <v>202.0</v>
      </c>
      <c r="E31" s="191">
        <v>250.0</v>
      </c>
      <c r="F31" s="191">
        <f t="shared" si="5"/>
        <v>0</v>
      </c>
      <c r="G31" s="191">
        <f t="shared" si="6"/>
        <v>143.016</v>
      </c>
      <c r="H31" s="192">
        <f t="shared" si="7"/>
        <v>143.016</v>
      </c>
      <c r="I31" s="191">
        <v>1.0</v>
      </c>
      <c r="J31" s="194">
        <f t="shared" si="8"/>
        <v>143.016</v>
      </c>
      <c r="K31" s="139"/>
      <c r="L31" s="176">
        <f t="shared" si="17"/>
        <v>5.1308</v>
      </c>
      <c r="M31" s="160">
        <f t="shared" si="18"/>
        <v>1</v>
      </c>
      <c r="N31" s="160">
        <f t="shared" si="19"/>
        <v>5.1308</v>
      </c>
      <c r="O31" s="139"/>
      <c r="P31" s="139"/>
      <c r="Q31" s="176"/>
      <c r="R31" s="281">
        <v>29.5</v>
      </c>
      <c r="S31" s="176">
        <f t="shared" si="9"/>
        <v>2.5</v>
      </c>
      <c r="T31" s="160">
        <f t="shared" si="10"/>
        <v>1</v>
      </c>
      <c r="U31" s="160">
        <f t="shared" si="11"/>
        <v>2.5</v>
      </c>
      <c r="V31" s="282">
        <f t="shared" si="12"/>
        <v>143.016</v>
      </c>
      <c r="W31" s="176">
        <f t="shared" ref="W31:X31" si="26">C31/100</f>
        <v>0.96</v>
      </c>
      <c r="X31" s="176">
        <f t="shared" si="26"/>
        <v>2.02</v>
      </c>
      <c r="Y31" s="176">
        <f t="shared" si="14"/>
        <v>2.5</v>
      </c>
      <c r="Z31" s="283">
        <f t="shared" si="15"/>
        <v>4.848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11.0</v>
      </c>
      <c r="B32" s="191" t="s">
        <v>56</v>
      </c>
      <c r="C32" s="191">
        <v>94.0</v>
      </c>
      <c r="D32" s="191">
        <v>202.0</v>
      </c>
      <c r="E32" s="191">
        <v>251.0</v>
      </c>
      <c r="F32" s="191">
        <f t="shared" si="5"/>
        <v>0</v>
      </c>
      <c r="G32" s="191">
        <f t="shared" si="6"/>
        <v>140.596646</v>
      </c>
      <c r="H32" s="192">
        <f t="shared" si="7"/>
        <v>140.596646</v>
      </c>
      <c r="I32" s="191">
        <v>1.0</v>
      </c>
      <c r="J32" s="194">
        <f t="shared" si="8"/>
        <v>140.596646</v>
      </c>
      <c r="K32" s="139"/>
      <c r="L32" s="176">
        <f t="shared" si="17"/>
        <v>5.1308</v>
      </c>
      <c r="M32" s="160">
        <f t="shared" si="18"/>
        <v>1</v>
      </c>
      <c r="N32" s="160">
        <f t="shared" si="19"/>
        <v>5.1308</v>
      </c>
      <c r="O32" s="139"/>
      <c r="P32" s="139"/>
      <c r="Q32" s="176"/>
      <c r="R32" s="281">
        <v>29.5</v>
      </c>
      <c r="S32" s="176">
        <f t="shared" si="9"/>
        <v>2.51</v>
      </c>
      <c r="T32" s="160">
        <f t="shared" si="10"/>
        <v>1</v>
      </c>
      <c r="U32" s="160">
        <f t="shared" si="11"/>
        <v>2.51</v>
      </c>
      <c r="V32" s="282">
        <f t="shared" si="12"/>
        <v>140.596646</v>
      </c>
      <c r="W32" s="176">
        <f t="shared" ref="W32:X32" si="27">C32/100</f>
        <v>0.94</v>
      </c>
      <c r="X32" s="176">
        <f t="shared" si="27"/>
        <v>2.02</v>
      </c>
      <c r="Y32" s="176">
        <f t="shared" si="14"/>
        <v>2.51</v>
      </c>
      <c r="Z32" s="283">
        <f t="shared" si="15"/>
        <v>4.765988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12.0</v>
      </c>
      <c r="B33" s="191" t="s">
        <v>56</v>
      </c>
      <c r="C33" s="191">
        <v>90.0</v>
      </c>
      <c r="D33" s="191">
        <v>202.0</v>
      </c>
      <c r="E33" s="191">
        <v>207.0</v>
      </c>
      <c r="F33" s="191">
        <f t="shared" si="5"/>
        <v>0</v>
      </c>
      <c r="G33" s="191">
        <f t="shared" si="6"/>
        <v>111.01617</v>
      </c>
      <c r="H33" s="192">
        <f t="shared" si="7"/>
        <v>111.01617</v>
      </c>
      <c r="I33" s="191">
        <v>1.0</v>
      </c>
      <c r="J33" s="194">
        <f t="shared" si="8"/>
        <v>111.01617</v>
      </c>
      <c r="K33" s="139"/>
      <c r="L33" s="176">
        <f t="shared" si="17"/>
        <v>5.1308</v>
      </c>
      <c r="M33" s="160">
        <f t="shared" si="18"/>
        <v>1</v>
      </c>
      <c r="N33" s="160">
        <f t="shared" si="19"/>
        <v>5.1308</v>
      </c>
      <c r="O33" s="139"/>
      <c r="P33" s="139"/>
      <c r="Q33" s="176"/>
      <c r="R33" s="281">
        <v>29.5</v>
      </c>
      <c r="S33" s="176">
        <f t="shared" si="9"/>
        <v>2.07</v>
      </c>
      <c r="T33" s="160">
        <f t="shared" si="10"/>
        <v>1</v>
      </c>
      <c r="U33" s="160">
        <f t="shared" si="11"/>
        <v>2.07</v>
      </c>
      <c r="V33" s="282">
        <f t="shared" si="12"/>
        <v>111.01617</v>
      </c>
      <c r="W33" s="176">
        <f t="shared" ref="W33:X33" si="28">C33/100</f>
        <v>0.9</v>
      </c>
      <c r="X33" s="176">
        <f t="shared" si="28"/>
        <v>2.02</v>
      </c>
      <c r="Y33" s="176">
        <f t="shared" si="14"/>
        <v>2.07</v>
      </c>
      <c r="Z33" s="283">
        <f t="shared" si="15"/>
        <v>3.76326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13.0</v>
      </c>
      <c r="B34" s="191" t="s">
        <v>56</v>
      </c>
      <c r="C34" s="191">
        <v>97.0</v>
      </c>
      <c r="D34" s="191">
        <v>202.0</v>
      </c>
      <c r="E34" s="191">
        <v>201.0</v>
      </c>
      <c r="F34" s="191">
        <f t="shared" si="5"/>
        <v>0</v>
      </c>
      <c r="G34" s="191">
        <f t="shared" si="6"/>
        <v>116.182623</v>
      </c>
      <c r="H34" s="192">
        <f t="shared" si="7"/>
        <v>116.182623</v>
      </c>
      <c r="I34" s="191">
        <v>22.0</v>
      </c>
      <c r="J34" s="194">
        <f t="shared" si="8"/>
        <v>2556.017706</v>
      </c>
      <c r="K34" s="139"/>
      <c r="L34" s="176">
        <f t="shared" si="17"/>
        <v>5.1308</v>
      </c>
      <c r="M34" s="160">
        <f t="shared" si="18"/>
        <v>22</v>
      </c>
      <c r="N34" s="160">
        <f t="shared" si="19"/>
        <v>112.8776</v>
      </c>
      <c r="O34" s="139"/>
      <c r="P34" s="139"/>
      <c r="Q34" s="176"/>
      <c r="R34" s="281">
        <v>29.5</v>
      </c>
      <c r="S34" s="176">
        <f t="shared" si="9"/>
        <v>2.01</v>
      </c>
      <c r="T34" s="160">
        <f t="shared" si="10"/>
        <v>22</v>
      </c>
      <c r="U34" s="160">
        <f t="shared" si="11"/>
        <v>44.22</v>
      </c>
      <c r="V34" s="282">
        <f t="shared" si="12"/>
        <v>116.182623</v>
      </c>
      <c r="W34" s="176">
        <f t="shared" ref="W34:X34" si="29">C34/100</f>
        <v>0.97</v>
      </c>
      <c r="X34" s="176">
        <f t="shared" si="29"/>
        <v>2.02</v>
      </c>
      <c r="Y34" s="176">
        <f t="shared" si="14"/>
        <v>44.22</v>
      </c>
      <c r="Z34" s="283">
        <f t="shared" si="15"/>
        <v>86.644668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14.0</v>
      </c>
      <c r="B35" s="191" t="s">
        <v>56</v>
      </c>
      <c r="C35" s="191">
        <v>97.0</v>
      </c>
      <c r="D35" s="191">
        <v>202.0</v>
      </c>
      <c r="E35" s="191">
        <v>202.0</v>
      </c>
      <c r="F35" s="191">
        <f t="shared" si="5"/>
        <v>0</v>
      </c>
      <c r="G35" s="191">
        <f t="shared" si="6"/>
        <v>116.760646</v>
      </c>
      <c r="H35" s="192">
        <f t="shared" si="7"/>
        <v>116.760646</v>
      </c>
      <c r="I35" s="191">
        <v>14.0</v>
      </c>
      <c r="J35" s="194">
        <f t="shared" si="8"/>
        <v>1634.649044</v>
      </c>
      <c r="K35" s="139"/>
      <c r="L35" s="176">
        <f t="shared" si="17"/>
        <v>5.1308</v>
      </c>
      <c r="M35" s="160">
        <f t="shared" si="18"/>
        <v>14</v>
      </c>
      <c r="N35" s="160">
        <f t="shared" si="19"/>
        <v>71.8312</v>
      </c>
      <c r="O35" s="139"/>
      <c r="P35" s="139"/>
      <c r="Q35" s="176"/>
      <c r="R35" s="281">
        <v>29.5</v>
      </c>
      <c r="S35" s="176">
        <f t="shared" si="9"/>
        <v>2.02</v>
      </c>
      <c r="T35" s="160">
        <f t="shared" si="10"/>
        <v>14</v>
      </c>
      <c r="U35" s="160">
        <f t="shared" si="11"/>
        <v>28.28</v>
      </c>
      <c r="V35" s="282">
        <f t="shared" si="12"/>
        <v>116.760646</v>
      </c>
      <c r="W35" s="176">
        <f t="shared" ref="W35:X35" si="30">C35/100</f>
        <v>0.97</v>
      </c>
      <c r="X35" s="176">
        <f t="shared" si="30"/>
        <v>2.02</v>
      </c>
      <c r="Y35" s="176">
        <f t="shared" si="14"/>
        <v>28.28</v>
      </c>
      <c r="Z35" s="283">
        <f t="shared" si="15"/>
        <v>55.411832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15.0</v>
      </c>
      <c r="B36" s="191" t="s">
        <v>56</v>
      </c>
      <c r="C36" s="191">
        <v>98.0</v>
      </c>
      <c r="D36" s="191">
        <v>202.0</v>
      </c>
      <c r="E36" s="191">
        <v>202.0</v>
      </c>
      <c r="F36" s="191">
        <f t="shared" si="5"/>
        <v>0</v>
      </c>
      <c r="G36" s="191">
        <f t="shared" si="6"/>
        <v>117.964364</v>
      </c>
      <c r="H36" s="192">
        <f t="shared" si="7"/>
        <v>117.964364</v>
      </c>
      <c r="I36" s="191">
        <v>3.0</v>
      </c>
      <c r="J36" s="194">
        <f t="shared" si="8"/>
        <v>353.893092</v>
      </c>
      <c r="K36" s="139"/>
      <c r="L36" s="176">
        <f t="shared" si="17"/>
        <v>5.1308</v>
      </c>
      <c r="M36" s="160">
        <f t="shared" si="18"/>
        <v>3</v>
      </c>
      <c r="N36" s="160">
        <f t="shared" si="19"/>
        <v>15.3924</v>
      </c>
      <c r="O36" s="139"/>
      <c r="P36" s="139"/>
      <c r="Q36" s="176"/>
      <c r="R36" s="281">
        <v>29.5</v>
      </c>
      <c r="S36" s="176">
        <f t="shared" si="9"/>
        <v>2.02</v>
      </c>
      <c r="T36" s="160">
        <f t="shared" si="10"/>
        <v>3</v>
      </c>
      <c r="U36" s="160">
        <f t="shared" si="11"/>
        <v>6.06</v>
      </c>
      <c r="V36" s="282">
        <f t="shared" si="12"/>
        <v>117.964364</v>
      </c>
      <c r="W36" s="176">
        <f t="shared" ref="W36:X36" si="31">C36/100</f>
        <v>0.98</v>
      </c>
      <c r="X36" s="176">
        <f t="shared" si="31"/>
        <v>2.02</v>
      </c>
      <c r="Y36" s="176">
        <f t="shared" si="14"/>
        <v>6.06</v>
      </c>
      <c r="Z36" s="283">
        <f t="shared" si="15"/>
        <v>11.996376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16.0</v>
      </c>
      <c r="B37" s="191" t="s">
        <v>56</v>
      </c>
      <c r="C37" s="191">
        <v>97.0</v>
      </c>
      <c r="D37" s="191">
        <v>202.0</v>
      </c>
      <c r="E37" s="191">
        <v>207.0</v>
      </c>
      <c r="F37" s="191">
        <f t="shared" si="5"/>
        <v>0</v>
      </c>
      <c r="G37" s="191">
        <f t="shared" si="6"/>
        <v>119.650761</v>
      </c>
      <c r="H37" s="192">
        <f t="shared" si="7"/>
        <v>119.650761</v>
      </c>
      <c r="I37" s="191">
        <v>1.0</v>
      </c>
      <c r="J37" s="194">
        <f t="shared" si="8"/>
        <v>119.650761</v>
      </c>
      <c r="K37" s="139"/>
      <c r="L37" s="176">
        <f t="shared" si="17"/>
        <v>5.1308</v>
      </c>
      <c r="M37" s="160">
        <f t="shared" si="18"/>
        <v>1</v>
      </c>
      <c r="N37" s="160">
        <f t="shared" si="19"/>
        <v>5.1308</v>
      </c>
      <c r="O37" s="139"/>
      <c r="P37" s="139"/>
      <c r="Q37" s="176"/>
      <c r="R37" s="281">
        <v>29.5</v>
      </c>
      <c r="S37" s="176">
        <f t="shared" si="9"/>
        <v>2.07</v>
      </c>
      <c r="T37" s="160">
        <f t="shared" si="10"/>
        <v>1</v>
      </c>
      <c r="U37" s="160">
        <f t="shared" si="11"/>
        <v>2.07</v>
      </c>
      <c r="V37" s="282">
        <f t="shared" si="12"/>
        <v>119.650761</v>
      </c>
      <c r="W37" s="176">
        <f t="shared" ref="W37:X37" si="32">C37/100</f>
        <v>0.97</v>
      </c>
      <c r="X37" s="176">
        <f t="shared" si="32"/>
        <v>2.02</v>
      </c>
      <c r="Y37" s="176">
        <f t="shared" si="14"/>
        <v>2.07</v>
      </c>
      <c r="Z37" s="283">
        <f t="shared" si="15"/>
        <v>4.055958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17.0</v>
      </c>
      <c r="B38" s="191" t="s">
        <v>56</v>
      </c>
      <c r="C38" s="191">
        <v>70.0</v>
      </c>
      <c r="D38" s="191">
        <v>202.0</v>
      </c>
      <c r="E38" s="191">
        <v>118.0</v>
      </c>
      <c r="F38" s="191">
        <f t="shared" si="5"/>
        <v>0</v>
      </c>
      <c r="G38" s="191">
        <f t="shared" si="6"/>
        <v>49.22134</v>
      </c>
      <c r="H38" s="192">
        <f t="shared" si="7"/>
        <v>49.22134</v>
      </c>
      <c r="I38" s="191">
        <v>1.0</v>
      </c>
      <c r="J38" s="194">
        <f t="shared" si="8"/>
        <v>49.22134</v>
      </c>
      <c r="K38" s="139"/>
      <c r="L38" s="176">
        <f t="shared" si="17"/>
        <v>5.1308</v>
      </c>
      <c r="M38" s="160">
        <f t="shared" si="18"/>
        <v>1</v>
      </c>
      <c r="N38" s="160">
        <f t="shared" si="19"/>
        <v>5.1308</v>
      </c>
      <c r="O38" s="139"/>
      <c r="P38" s="139"/>
      <c r="Q38" s="176"/>
      <c r="R38" s="281">
        <v>29.5</v>
      </c>
      <c r="S38" s="176">
        <f t="shared" si="9"/>
        <v>1.18</v>
      </c>
      <c r="T38" s="160">
        <f t="shared" si="10"/>
        <v>1</v>
      </c>
      <c r="U38" s="160">
        <f t="shared" si="11"/>
        <v>1.18</v>
      </c>
      <c r="V38" s="282">
        <f t="shared" si="12"/>
        <v>49.22134</v>
      </c>
      <c r="W38" s="176">
        <f t="shared" ref="W38:X38" si="33">C38/100</f>
        <v>0.7</v>
      </c>
      <c r="X38" s="176">
        <f t="shared" si="33"/>
        <v>2.02</v>
      </c>
      <c r="Y38" s="176">
        <f t="shared" si="14"/>
        <v>1.18</v>
      </c>
      <c r="Z38" s="283">
        <f t="shared" si="15"/>
        <v>1.66852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18.0</v>
      </c>
      <c r="B39" s="182" t="s">
        <v>65</v>
      </c>
      <c r="C39" s="183">
        <v>92.0</v>
      </c>
      <c r="D39" s="183">
        <v>202.0</v>
      </c>
      <c r="E39" s="183">
        <v>202.0</v>
      </c>
      <c r="F39" s="183">
        <f t="shared" si="5"/>
        <v>0.8</v>
      </c>
      <c r="G39" s="183">
        <f t="shared" si="6"/>
        <v>110.742056</v>
      </c>
      <c r="H39" s="184">
        <f t="shared" si="7"/>
        <v>88.5936448</v>
      </c>
      <c r="I39" s="183">
        <v>1.0</v>
      </c>
      <c r="J39" s="185">
        <f t="shared" si="8"/>
        <v>88.5936448</v>
      </c>
      <c r="K39" s="139"/>
      <c r="L39" s="176">
        <f t="shared" si="17"/>
        <v>5.1308</v>
      </c>
      <c r="M39" s="160">
        <f t="shared" si="18"/>
        <v>1</v>
      </c>
      <c r="N39" s="160">
        <f t="shared" si="19"/>
        <v>5.1308</v>
      </c>
      <c r="O39" s="139"/>
      <c r="P39" s="139"/>
      <c r="Q39" s="176"/>
      <c r="R39" s="281">
        <v>29.5</v>
      </c>
      <c r="S39" s="176">
        <f t="shared" si="9"/>
        <v>2.02</v>
      </c>
      <c r="T39" s="160">
        <f t="shared" si="10"/>
        <v>1</v>
      </c>
      <c r="U39" s="160">
        <f t="shared" si="11"/>
        <v>2.02</v>
      </c>
      <c r="V39" s="282">
        <f t="shared" si="12"/>
        <v>110.742056</v>
      </c>
      <c r="W39" s="176">
        <f t="shared" ref="W39:X39" si="34">C39/100</f>
        <v>0.92</v>
      </c>
      <c r="X39" s="176">
        <f t="shared" si="34"/>
        <v>2.02</v>
      </c>
      <c r="Y39" s="176">
        <f t="shared" si="14"/>
        <v>2.02</v>
      </c>
      <c r="Z39" s="283">
        <f t="shared" si="15"/>
        <v>3.753968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19.0</v>
      </c>
      <c r="B40" s="191" t="s">
        <v>56</v>
      </c>
      <c r="C40" s="191">
        <v>95.0</v>
      </c>
      <c r="D40" s="191">
        <v>202.0</v>
      </c>
      <c r="E40" s="191">
        <v>132.0</v>
      </c>
      <c r="F40" s="191">
        <f t="shared" si="5"/>
        <v>0</v>
      </c>
      <c r="G40" s="191">
        <f t="shared" si="6"/>
        <v>74.72586</v>
      </c>
      <c r="H40" s="192">
        <f t="shared" si="7"/>
        <v>74.72586</v>
      </c>
      <c r="I40" s="191">
        <v>1.0</v>
      </c>
      <c r="J40" s="194">
        <f t="shared" si="8"/>
        <v>74.72586</v>
      </c>
      <c r="K40" s="139"/>
      <c r="L40" s="176">
        <f t="shared" si="17"/>
        <v>5.1308</v>
      </c>
      <c r="M40" s="160">
        <f t="shared" si="18"/>
        <v>1</v>
      </c>
      <c r="N40" s="160">
        <f t="shared" si="19"/>
        <v>5.1308</v>
      </c>
      <c r="O40" s="139"/>
      <c r="P40" s="139"/>
      <c r="Q40" s="176"/>
      <c r="R40" s="281">
        <v>29.5</v>
      </c>
      <c r="S40" s="176">
        <f t="shared" si="9"/>
        <v>1.32</v>
      </c>
      <c r="T40" s="160">
        <f t="shared" si="10"/>
        <v>1</v>
      </c>
      <c r="U40" s="160">
        <f t="shared" si="11"/>
        <v>1.32</v>
      </c>
      <c r="V40" s="282">
        <f t="shared" si="12"/>
        <v>74.72586</v>
      </c>
      <c r="W40" s="176">
        <f t="shared" ref="W40:X40" si="35">C40/100</f>
        <v>0.95</v>
      </c>
      <c r="X40" s="176">
        <f t="shared" si="35"/>
        <v>2.02</v>
      </c>
      <c r="Y40" s="176">
        <f t="shared" si="14"/>
        <v>1.32</v>
      </c>
      <c r="Z40" s="283">
        <f t="shared" si="15"/>
        <v>2.53308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20.0</v>
      </c>
      <c r="B41" s="191" t="s">
        <v>56</v>
      </c>
      <c r="C41" s="191">
        <v>97.0</v>
      </c>
      <c r="D41" s="191">
        <v>202.0</v>
      </c>
      <c r="E41" s="191">
        <v>202.0</v>
      </c>
      <c r="F41" s="191">
        <f t="shared" si="5"/>
        <v>0</v>
      </c>
      <c r="G41" s="191">
        <f t="shared" si="6"/>
        <v>116.760646</v>
      </c>
      <c r="H41" s="192">
        <f t="shared" si="7"/>
        <v>116.760646</v>
      </c>
      <c r="I41" s="191">
        <v>4.0</v>
      </c>
      <c r="J41" s="194">
        <f t="shared" si="8"/>
        <v>467.042584</v>
      </c>
      <c r="K41" s="139"/>
      <c r="L41" s="176">
        <f t="shared" si="17"/>
        <v>5.1308</v>
      </c>
      <c r="M41" s="160">
        <f t="shared" si="18"/>
        <v>4</v>
      </c>
      <c r="N41" s="160">
        <f t="shared" si="19"/>
        <v>20.5232</v>
      </c>
      <c r="O41" s="139"/>
      <c r="P41" s="139"/>
      <c r="Q41" s="176"/>
      <c r="R41" s="281">
        <v>29.5</v>
      </c>
      <c r="S41" s="176">
        <f t="shared" si="9"/>
        <v>2.02</v>
      </c>
      <c r="T41" s="160">
        <f t="shared" si="10"/>
        <v>4</v>
      </c>
      <c r="U41" s="160">
        <f t="shared" si="11"/>
        <v>8.08</v>
      </c>
      <c r="V41" s="282">
        <f t="shared" si="12"/>
        <v>116.760646</v>
      </c>
      <c r="W41" s="176">
        <f t="shared" ref="W41:X41" si="36">C41/100</f>
        <v>0.97</v>
      </c>
      <c r="X41" s="176">
        <f t="shared" si="36"/>
        <v>2.02</v>
      </c>
      <c r="Y41" s="176">
        <f t="shared" si="14"/>
        <v>8.08</v>
      </c>
      <c r="Z41" s="283">
        <f t="shared" si="15"/>
        <v>15.831952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21.0</v>
      </c>
      <c r="B42" s="191" t="s">
        <v>56</v>
      </c>
      <c r="C42" s="191">
        <v>99.0</v>
      </c>
      <c r="D42" s="191">
        <v>202.0</v>
      </c>
      <c r="E42" s="191">
        <v>202.0</v>
      </c>
      <c r="F42" s="191">
        <f t="shared" si="5"/>
        <v>0</v>
      </c>
      <c r="G42" s="191">
        <f t="shared" si="6"/>
        <v>119.168082</v>
      </c>
      <c r="H42" s="192">
        <f t="shared" si="7"/>
        <v>119.168082</v>
      </c>
      <c r="I42" s="191">
        <v>2.0</v>
      </c>
      <c r="J42" s="194">
        <f t="shared" si="8"/>
        <v>238.336164</v>
      </c>
      <c r="K42" s="139"/>
      <c r="L42" s="176">
        <f t="shared" si="17"/>
        <v>5.1308</v>
      </c>
      <c r="M42" s="160">
        <f t="shared" si="18"/>
        <v>2</v>
      </c>
      <c r="N42" s="160">
        <f t="shared" si="19"/>
        <v>10.2616</v>
      </c>
      <c r="O42" s="139"/>
      <c r="P42" s="139"/>
      <c r="Q42" s="176"/>
      <c r="R42" s="281">
        <v>29.5</v>
      </c>
      <c r="S42" s="176">
        <f t="shared" si="9"/>
        <v>2.02</v>
      </c>
      <c r="T42" s="160">
        <f t="shared" si="10"/>
        <v>2</v>
      </c>
      <c r="U42" s="160">
        <f t="shared" si="11"/>
        <v>4.04</v>
      </c>
      <c r="V42" s="282">
        <f t="shared" si="12"/>
        <v>119.168082</v>
      </c>
      <c r="W42" s="176">
        <f t="shared" ref="W42:X42" si="37">C42/100</f>
        <v>0.99</v>
      </c>
      <c r="X42" s="176">
        <f t="shared" si="37"/>
        <v>2.02</v>
      </c>
      <c r="Y42" s="176">
        <f t="shared" si="14"/>
        <v>4.04</v>
      </c>
      <c r="Z42" s="283">
        <f t="shared" si="15"/>
        <v>8.079192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22.0</v>
      </c>
      <c r="B43" s="191" t="s">
        <v>56</v>
      </c>
      <c r="C43" s="191">
        <v>100.0</v>
      </c>
      <c r="D43" s="191">
        <v>202.0</v>
      </c>
      <c r="E43" s="191">
        <v>202.0</v>
      </c>
      <c r="F43" s="191">
        <f t="shared" si="5"/>
        <v>0</v>
      </c>
      <c r="G43" s="191">
        <f t="shared" si="6"/>
        <v>120.3718</v>
      </c>
      <c r="H43" s="192">
        <f t="shared" si="7"/>
        <v>120.3718</v>
      </c>
      <c r="I43" s="191">
        <v>2.0</v>
      </c>
      <c r="J43" s="194">
        <f t="shared" si="8"/>
        <v>240.7436</v>
      </c>
      <c r="K43" s="139"/>
      <c r="L43" s="176">
        <f t="shared" si="17"/>
        <v>5.1308</v>
      </c>
      <c r="M43" s="160">
        <f t="shared" si="18"/>
        <v>2</v>
      </c>
      <c r="N43" s="160">
        <f t="shared" si="19"/>
        <v>10.2616</v>
      </c>
      <c r="O43" s="139"/>
      <c r="P43" s="139"/>
      <c r="Q43" s="176"/>
      <c r="R43" s="281">
        <v>29.5</v>
      </c>
      <c r="S43" s="176">
        <f t="shared" si="9"/>
        <v>2.02</v>
      </c>
      <c r="T43" s="160">
        <f t="shared" si="10"/>
        <v>2</v>
      </c>
      <c r="U43" s="160">
        <f t="shared" si="11"/>
        <v>4.04</v>
      </c>
      <c r="V43" s="282">
        <f t="shared" si="12"/>
        <v>120.3718</v>
      </c>
      <c r="W43" s="176">
        <f t="shared" ref="W43:X43" si="38">C43/100</f>
        <v>1</v>
      </c>
      <c r="X43" s="176">
        <f t="shared" si="38"/>
        <v>2.02</v>
      </c>
      <c r="Y43" s="176">
        <f t="shared" si="14"/>
        <v>4.04</v>
      </c>
      <c r="Z43" s="283">
        <f t="shared" si="15"/>
        <v>8.1608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23.0</v>
      </c>
      <c r="B44" s="191" t="s">
        <v>56</v>
      </c>
      <c r="C44" s="191">
        <v>99.0</v>
      </c>
      <c r="D44" s="191">
        <v>202.0</v>
      </c>
      <c r="E44" s="191">
        <v>201.0</v>
      </c>
      <c r="F44" s="191">
        <f t="shared" si="5"/>
        <v>0</v>
      </c>
      <c r="G44" s="191">
        <f t="shared" si="6"/>
        <v>118.578141</v>
      </c>
      <c r="H44" s="192">
        <f t="shared" si="7"/>
        <v>118.578141</v>
      </c>
      <c r="I44" s="191">
        <v>2.0</v>
      </c>
      <c r="J44" s="194">
        <f t="shared" si="8"/>
        <v>237.156282</v>
      </c>
      <c r="K44" s="139"/>
      <c r="L44" s="176">
        <f t="shared" si="17"/>
        <v>5.1308</v>
      </c>
      <c r="M44" s="160">
        <f t="shared" si="18"/>
        <v>2</v>
      </c>
      <c r="N44" s="160">
        <f t="shared" si="19"/>
        <v>10.2616</v>
      </c>
      <c r="O44" s="139"/>
      <c r="P44" s="139"/>
      <c r="Q44" s="176"/>
      <c r="R44" s="281">
        <v>29.5</v>
      </c>
      <c r="S44" s="176">
        <f t="shared" si="9"/>
        <v>2.01</v>
      </c>
      <c r="T44" s="160">
        <f t="shared" si="10"/>
        <v>2</v>
      </c>
      <c r="U44" s="160">
        <f t="shared" si="11"/>
        <v>4.02</v>
      </c>
      <c r="V44" s="282">
        <f t="shared" si="12"/>
        <v>118.578141</v>
      </c>
      <c r="W44" s="176">
        <f t="shared" ref="W44:X44" si="39">C44/100</f>
        <v>0.99</v>
      </c>
      <c r="X44" s="176">
        <f t="shared" si="39"/>
        <v>2.02</v>
      </c>
      <c r="Y44" s="176">
        <f t="shared" si="14"/>
        <v>4.02</v>
      </c>
      <c r="Z44" s="283">
        <f t="shared" si="15"/>
        <v>8.039196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24.0</v>
      </c>
      <c r="B45" s="191" t="s">
        <v>56</v>
      </c>
      <c r="C45" s="191">
        <v>98.0</v>
      </c>
      <c r="D45" s="191">
        <v>202.0</v>
      </c>
      <c r="E45" s="191">
        <v>202.0</v>
      </c>
      <c r="F45" s="191">
        <f t="shared" si="5"/>
        <v>0</v>
      </c>
      <c r="G45" s="191">
        <f t="shared" si="6"/>
        <v>117.964364</v>
      </c>
      <c r="H45" s="192">
        <f t="shared" si="7"/>
        <v>117.964364</v>
      </c>
      <c r="I45" s="191">
        <v>18.0</v>
      </c>
      <c r="J45" s="194">
        <f t="shared" si="8"/>
        <v>2123.358552</v>
      </c>
      <c r="K45" s="139"/>
      <c r="L45" s="176">
        <f t="shared" si="17"/>
        <v>5.1308</v>
      </c>
      <c r="M45" s="160">
        <f t="shared" si="18"/>
        <v>18</v>
      </c>
      <c r="N45" s="160">
        <f t="shared" si="19"/>
        <v>92.3544</v>
      </c>
      <c r="O45" s="139"/>
      <c r="P45" s="139"/>
      <c r="Q45" s="176"/>
      <c r="R45" s="281">
        <v>29.5</v>
      </c>
      <c r="S45" s="176">
        <f t="shared" si="9"/>
        <v>2.02</v>
      </c>
      <c r="T45" s="160">
        <f t="shared" si="10"/>
        <v>18</v>
      </c>
      <c r="U45" s="160">
        <f t="shared" si="11"/>
        <v>36.36</v>
      </c>
      <c r="V45" s="282">
        <f t="shared" si="12"/>
        <v>117.964364</v>
      </c>
      <c r="W45" s="176">
        <f t="shared" ref="W45:X45" si="40">C45/100</f>
        <v>0.98</v>
      </c>
      <c r="X45" s="176">
        <f t="shared" si="40"/>
        <v>2.02</v>
      </c>
      <c r="Y45" s="176">
        <f t="shared" si="14"/>
        <v>36.36</v>
      </c>
      <c r="Z45" s="283">
        <f t="shared" si="15"/>
        <v>71.978256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25.0</v>
      </c>
      <c r="B46" s="191" t="s">
        <v>56</v>
      </c>
      <c r="C46" s="191">
        <v>98.0</v>
      </c>
      <c r="D46" s="191">
        <v>202.0</v>
      </c>
      <c r="E46" s="191">
        <v>201.0</v>
      </c>
      <c r="F46" s="191">
        <f t="shared" si="5"/>
        <v>0</v>
      </c>
      <c r="G46" s="191">
        <f t="shared" si="6"/>
        <v>117.380382</v>
      </c>
      <c r="H46" s="192">
        <f t="shared" si="7"/>
        <v>117.380382</v>
      </c>
      <c r="I46" s="191">
        <v>14.0</v>
      </c>
      <c r="J46" s="194">
        <f t="shared" si="8"/>
        <v>1643.325348</v>
      </c>
      <c r="K46" s="139"/>
      <c r="L46" s="176">
        <f t="shared" si="17"/>
        <v>5.1308</v>
      </c>
      <c r="M46" s="160">
        <f t="shared" si="18"/>
        <v>14</v>
      </c>
      <c r="N46" s="160">
        <f t="shared" si="19"/>
        <v>71.8312</v>
      </c>
      <c r="O46" s="139"/>
      <c r="P46" s="139"/>
      <c r="Q46" s="176"/>
      <c r="R46" s="281">
        <v>29.5</v>
      </c>
      <c r="S46" s="176">
        <f t="shared" si="9"/>
        <v>2.01</v>
      </c>
      <c r="T46" s="160">
        <f t="shared" si="10"/>
        <v>14</v>
      </c>
      <c r="U46" s="160">
        <f t="shared" si="11"/>
        <v>28.14</v>
      </c>
      <c r="V46" s="282">
        <f t="shared" si="12"/>
        <v>117.380382</v>
      </c>
      <c r="W46" s="176">
        <f t="shared" ref="W46:X46" si="41">C46/100</f>
        <v>0.98</v>
      </c>
      <c r="X46" s="176">
        <f t="shared" si="41"/>
        <v>2.02</v>
      </c>
      <c r="Y46" s="176">
        <f t="shared" si="14"/>
        <v>28.14</v>
      </c>
      <c r="Z46" s="283">
        <f t="shared" si="15"/>
        <v>55.705944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26.0</v>
      </c>
      <c r="B47" s="191" t="s">
        <v>56</v>
      </c>
      <c r="C47" s="191">
        <v>97.0</v>
      </c>
      <c r="D47" s="191">
        <v>202.0</v>
      </c>
      <c r="E47" s="191">
        <v>201.0</v>
      </c>
      <c r="F47" s="191">
        <f t="shared" si="5"/>
        <v>0</v>
      </c>
      <c r="G47" s="191">
        <f t="shared" si="6"/>
        <v>116.182623</v>
      </c>
      <c r="H47" s="192">
        <f t="shared" si="7"/>
        <v>116.182623</v>
      </c>
      <c r="I47" s="191">
        <v>1.0</v>
      </c>
      <c r="J47" s="194">
        <f t="shared" si="8"/>
        <v>116.182623</v>
      </c>
      <c r="K47" s="139"/>
      <c r="L47" s="197"/>
      <c r="M47" s="198">
        <f t="shared" si="18"/>
        <v>1</v>
      </c>
      <c r="N47" s="198"/>
      <c r="O47" s="139"/>
      <c r="P47" s="139"/>
      <c r="Q47" s="176"/>
      <c r="R47" s="281">
        <v>29.5</v>
      </c>
      <c r="S47" s="176">
        <f t="shared" si="9"/>
        <v>2.01</v>
      </c>
      <c r="T47" s="160">
        <f t="shared" si="10"/>
        <v>1</v>
      </c>
      <c r="U47" s="160">
        <f t="shared" si="11"/>
        <v>2.01</v>
      </c>
      <c r="V47" s="282">
        <f t="shared" si="12"/>
        <v>116.182623</v>
      </c>
      <c r="W47" s="176">
        <f t="shared" ref="W47:X47" si="42">C47/100</f>
        <v>0.97</v>
      </c>
      <c r="X47" s="176">
        <f t="shared" si="42"/>
        <v>2.02</v>
      </c>
      <c r="Y47" s="176">
        <f t="shared" si="14"/>
        <v>2.01</v>
      </c>
      <c r="Z47" s="283">
        <f t="shared" si="15"/>
        <v>3.938394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27.0</v>
      </c>
      <c r="B48" s="191" t="s">
        <v>56</v>
      </c>
      <c r="C48" s="191">
        <v>96.0</v>
      </c>
      <c r="D48" s="191">
        <v>202.0</v>
      </c>
      <c r="E48" s="191">
        <v>202.0</v>
      </c>
      <c r="F48" s="191">
        <f t="shared" si="5"/>
        <v>0</v>
      </c>
      <c r="G48" s="191">
        <f t="shared" si="6"/>
        <v>115.556928</v>
      </c>
      <c r="H48" s="192">
        <f t="shared" si="7"/>
        <v>115.556928</v>
      </c>
      <c r="I48" s="191">
        <v>1.0</v>
      </c>
      <c r="J48" s="194">
        <f t="shared" si="8"/>
        <v>115.556928</v>
      </c>
      <c r="K48" s="139"/>
      <c r="L48" s="197"/>
      <c r="M48" s="198">
        <f t="shared" si="18"/>
        <v>1</v>
      </c>
      <c r="N48" s="198"/>
      <c r="O48" s="139"/>
      <c r="P48" s="139"/>
      <c r="Q48" s="176"/>
      <c r="R48" s="281">
        <v>29.5</v>
      </c>
      <c r="S48" s="176">
        <f t="shared" si="9"/>
        <v>2.02</v>
      </c>
      <c r="T48" s="160">
        <f t="shared" si="10"/>
        <v>1</v>
      </c>
      <c r="U48" s="160">
        <f t="shared" si="11"/>
        <v>2.02</v>
      </c>
      <c r="V48" s="282">
        <f t="shared" si="12"/>
        <v>115.556928</v>
      </c>
      <c r="W48" s="176">
        <f t="shared" ref="W48:X48" si="43">C48/100</f>
        <v>0.96</v>
      </c>
      <c r="X48" s="176">
        <f t="shared" si="43"/>
        <v>2.02</v>
      </c>
      <c r="Y48" s="176">
        <f t="shared" si="14"/>
        <v>2.02</v>
      </c>
      <c r="Z48" s="283">
        <f t="shared" si="15"/>
        <v>3.917184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28.0</v>
      </c>
      <c r="B49" s="191" t="s">
        <v>56</v>
      </c>
      <c r="C49" s="191">
        <v>96.0</v>
      </c>
      <c r="D49" s="191">
        <v>202.0</v>
      </c>
      <c r="E49" s="191">
        <v>201.0</v>
      </c>
      <c r="F49" s="191">
        <f t="shared" si="5"/>
        <v>0</v>
      </c>
      <c r="G49" s="191">
        <f t="shared" si="6"/>
        <v>114.984864</v>
      </c>
      <c r="H49" s="192">
        <f t="shared" si="7"/>
        <v>114.984864</v>
      </c>
      <c r="I49" s="191">
        <v>2.0</v>
      </c>
      <c r="J49" s="194">
        <f t="shared" si="8"/>
        <v>229.969728</v>
      </c>
      <c r="K49" s="139"/>
      <c r="L49" s="197"/>
      <c r="M49" s="198">
        <f t="shared" si="18"/>
        <v>2</v>
      </c>
      <c r="N49" s="198"/>
      <c r="O49" s="139"/>
      <c r="P49" s="139"/>
      <c r="Q49" s="176"/>
      <c r="R49" s="281">
        <v>29.5</v>
      </c>
      <c r="S49" s="176">
        <f t="shared" si="9"/>
        <v>2.01</v>
      </c>
      <c r="T49" s="160">
        <f t="shared" si="10"/>
        <v>2</v>
      </c>
      <c r="U49" s="160">
        <f t="shared" si="11"/>
        <v>4.02</v>
      </c>
      <c r="V49" s="282">
        <f t="shared" si="12"/>
        <v>114.984864</v>
      </c>
      <c r="W49" s="176">
        <f t="shared" ref="W49:X49" si="44">C49/100</f>
        <v>0.96</v>
      </c>
      <c r="X49" s="176">
        <f t="shared" si="44"/>
        <v>2.02</v>
      </c>
      <c r="Y49" s="176">
        <f t="shared" si="14"/>
        <v>4.02</v>
      </c>
      <c r="Z49" s="283">
        <f t="shared" si="15"/>
        <v>7.795584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29.0</v>
      </c>
      <c r="B50" s="303" t="s">
        <v>55</v>
      </c>
      <c r="C50" s="191">
        <v>80.0</v>
      </c>
      <c r="D50" s="191">
        <v>202.0</v>
      </c>
      <c r="E50" s="191">
        <v>160.0</v>
      </c>
      <c r="F50" s="191">
        <f t="shared" si="5"/>
        <v>0</v>
      </c>
      <c r="G50" s="191">
        <f t="shared" si="6"/>
        <v>76.2752</v>
      </c>
      <c r="H50" s="192">
        <f t="shared" si="7"/>
        <v>76.2752</v>
      </c>
      <c r="I50" s="191">
        <v>1.0</v>
      </c>
      <c r="J50" s="194">
        <f t="shared" si="8"/>
        <v>76.2752</v>
      </c>
      <c r="K50" s="139"/>
      <c r="L50" s="197"/>
      <c r="M50" s="198">
        <f t="shared" si="18"/>
        <v>1</v>
      </c>
      <c r="N50" s="198"/>
      <c r="O50" s="139"/>
      <c r="P50" s="139"/>
      <c r="Q50" s="176"/>
      <c r="R50" s="281">
        <v>29.5</v>
      </c>
      <c r="S50" s="176">
        <f t="shared" si="9"/>
        <v>1.6</v>
      </c>
      <c r="T50" s="160">
        <f t="shared" si="10"/>
        <v>1</v>
      </c>
      <c r="U50" s="160">
        <f t="shared" si="11"/>
        <v>1.6</v>
      </c>
      <c r="V50" s="282">
        <f t="shared" si="12"/>
        <v>76.2752</v>
      </c>
      <c r="W50" s="176">
        <f t="shared" ref="W50:X50" si="45">C50/100</f>
        <v>0.8</v>
      </c>
      <c r="X50" s="176">
        <f t="shared" si="45"/>
        <v>2.02</v>
      </c>
      <c r="Y50" s="176">
        <f t="shared" si="14"/>
        <v>1.6</v>
      </c>
      <c r="Z50" s="283">
        <f t="shared" si="15"/>
        <v>2.5856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30.0</v>
      </c>
      <c r="B51" s="191" t="s">
        <v>55</v>
      </c>
      <c r="C51" s="191">
        <v>91.0</v>
      </c>
      <c r="D51" s="191">
        <v>202.0</v>
      </c>
      <c r="E51" s="191">
        <v>232.0</v>
      </c>
      <c r="F51" s="191">
        <f t="shared" si="5"/>
        <v>0</v>
      </c>
      <c r="G51" s="191">
        <f t="shared" si="6"/>
        <v>125.806408</v>
      </c>
      <c r="H51" s="192">
        <f t="shared" si="7"/>
        <v>125.806408</v>
      </c>
      <c r="I51" s="191">
        <v>1.0</v>
      </c>
      <c r="J51" s="194">
        <f t="shared" si="8"/>
        <v>125.806408</v>
      </c>
      <c r="K51" s="139"/>
      <c r="L51" s="197"/>
      <c r="M51" s="198">
        <f t="shared" si="18"/>
        <v>1</v>
      </c>
      <c r="N51" s="198"/>
      <c r="O51" s="139"/>
      <c r="P51" s="139"/>
      <c r="Q51" s="176"/>
      <c r="R51" s="281">
        <v>29.5</v>
      </c>
      <c r="S51" s="176">
        <f t="shared" si="9"/>
        <v>2.32</v>
      </c>
      <c r="T51" s="160">
        <f t="shared" si="10"/>
        <v>1</v>
      </c>
      <c r="U51" s="160">
        <f t="shared" si="11"/>
        <v>2.32</v>
      </c>
      <c r="V51" s="282">
        <f t="shared" si="12"/>
        <v>125.806408</v>
      </c>
      <c r="W51" s="176">
        <f t="shared" ref="W51:X51" si="46">C51/100</f>
        <v>0.91</v>
      </c>
      <c r="X51" s="176">
        <f t="shared" si="46"/>
        <v>2.02</v>
      </c>
      <c r="Y51" s="176">
        <f t="shared" si="14"/>
        <v>2.32</v>
      </c>
      <c r="Z51" s="283">
        <f t="shared" si="15"/>
        <v>4.264624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31.0</v>
      </c>
      <c r="B52" s="191" t="s">
        <v>55</v>
      </c>
      <c r="C52" s="191">
        <v>95.0</v>
      </c>
      <c r="D52" s="191">
        <v>202.0</v>
      </c>
      <c r="E52" s="191">
        <v>232.0</v>
      </c>
      <c r="F52" s="191">
        <f t="shared" si="5"/>
        <v>0</v>
      </c>
      <c r="G52" s="191">
        <f t="shared" si="6"/>
        <v>131.33636</v>
      </c>
      <c r="H52" s="192">
        <f t="shared" si="7"/>
        <v>131.33636</v>
      </c>
      <c r="I52" s="191">
        <v>40.0</v>
      </c>
      <c r="J52" s="194">
        <f t="shared" si="8"/>
        <v>5253.4544</v>
      </c>
      <c r="K52" s="139"/>
      <c r="L52" s="197"/>
      <c r="M52" s="198">
        <f t="shared" si="18"/>
        <v>40</v>
      </c>
      <c r="N52" s="198"/>
      <c r="O52" s="139"/>
      <c r="P52" s="139"/>
      <c r="Q52" s="176"/>
      <c r="R52" s="281">
        <v>29.5</v>
      </c>
      <c r="S52" s="176">
        <f t="shared" si="9"/>
        <v>2.32</v>
      </c>
      <c r="T52" s="160">
        <f t="shared" si="10"/>
        <v>40</v>
      </c>
      <c r="U52" s="160">
        <f t="shared" si="11"/>
        <v>92.8</v>
      </c>
      <c r="V52" s="282">
        <f t="shared" si="12"/>
        <v>131.33636</v>
      </c>
      <c r="W52" s="176">
        <f t="shared" ref="W52:X52" si="47">C52/100</f>
        <v>0.95</v>
      </c>
      <c r="X52" s="176">
        <f t="shared" si="47"/>
        <v>2.02</v>
      </c>
      <c r="Y52" s="176">
        <f t="shared" si="14"/>
        <v>92.8</v>
      </c>
      <c r="Z52" s="283">
        <f t="shared" si="15"/>
        <v>178.0832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32.0</v>
      </c>
      <c r="B53" s="191" t="s">
        <v>55</v>
      </c>
      <c r="C53" s="191">
        <v>94.0</v>
      </c>
      <c r="D53" s="191">
        <v>202.0</v>
      </c>
      <c r="E53" s="191">
        <v>232.0</v>
      </c>
      <c r="F53" s="191">
        <f t="shared" si="5"/>
        <v>0</v>
      </c>
      <c r="G53" s="191">
        <f t="shared" si="6"/>
        <v>129.953872</v>
      </c>
      <c r="H53" s="192">
        <f t="shared" si="7"/>
        <v>129.953872</v>
      </c>
      <c r="I53" s="191">
        <v>13.0</v>
      </c>
      <c r="J53" s="194">
        <f t="shared" si="8"/>
        <v>1689.400336</v>
      </c>
      <c r="K53" s="139"/>
      <c r="L53" s="197"/>
      <c r="M53" s="198">
        <f t="shared" si="18"/>
        <v>13</v>
      </c>
      <c r="N53" s="198"/>
      <c r="O53" s="139"/>
      <c r="P53" s="139"/>
      <c r="Q53" s="176"/>
      <c r="R53" s="281">
        <v>29.5</v>
      </c>
      <c r="S53" s="176">
        <f t="shared" si="9"/>
        <v>2.32</v>
      </c>
      <c r="T53" s="160">
        <f t="shared" si="10"/>
        <v>13</v>
      </c>
      <c r="U53" s="160">
        <f t="shared" si="11"/>
        <v>30.16</v>
      </c>
      <c r="V53" s="282">
        <f t="shared" si="12"/>
        <v>129.953872</v>
      </c>
      <c r="W53" s="176">
        <f t="shared" ref="W53:X53" si="48">C53/100</f>
        <v>0.94</v>
      </c>
      <c r="X53" s="176">
        <f t="shared" si="48"/>
        <v>2.02</v>
      </c>
      <c r="Y53" s="176">
        <f t="shared" si="14"/>
        <v>30.16</v>
      </c>
      <c r="Z53" s="283">
        <f t="shared" si="15"/>
        <v>57.267808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33.0</v>
      </c>
      <c r="B54" s="191" t="s">
        <v>55</v>
      </c>
      <c r="C54" s="191">
        <v>95.0</v>
      </c>
      <c r="D54" s="191">
        <v>202.0</v>
      </c>
      <c r="E54" s="191">
        <v>231.0</v>
      </c>
      <c r="F54" s="191">
        <f t="shared" si="5"/>
        <v>0</v>
      </c>
      <c r="G54" s="191">
        <f t="shared" si="6"/>
        <v>130.770255</v>
      </c>
      <c r="H54" s="192">
        <f t="shared" si="7"/>
        <v>130.770255</v>
      </c>
      <c r="I54" s="191">
        <v>5.0</v>
      </c>
      <c r="J54" s="194">
        <f t="shared" si="8"/>
        <v>653.851275</v>
      </c>
      <c r="K54" s="139"/>
      <c r="L54" s="197"/>
      <c r="M54" s="198">
        <f t="shared" si="18"/>
        <v>5</v>
      </c>
      <c r="N54" s="198"/>
      <c r="O54" s="139"/>
      <c r="P54" s="139"/>
      <c r="Q54" s="176"/>
      <c r="R54" s="281">
        <v>29.5</v>
      </c>
      <c r="S54" s="176">
        <f t="shared" si="9"/>
        <v>2.31</v>
      </c>
      <c r="T54" s="160">
        <f t="shared" si="10"/>
        <v>5</v>
      </c>
      <c r="U54" s="160">
        <f t="shared" si="11"/>
        <v>11.55</v>
      </c>
      <c r="V54" s="282">
        <f t="shared" si="12"/>
        <v>130.770255</v>
      </c>
      <c r="W54" s="176">
        <f t="shared" ref="W54:X54" si="49">C54/100</f>
        <v>0.95</v>
      </c>
      <c r="X54" s="176">
        <f t="shared" si="49"/>
        <v>2.02</v>
      </c>
      <c r="Y54" s="176">
        <f t="shared" si="14"/>
        <v>11.55</v>
      </c>
      <c r="Z54" s="283">
        <f t="shared" si="15"/>
        <v>22.16445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34.0</v>
      </c>
      <c r="B55" s="191" t="s">
        <v>55</v>
      </c>
      <c r="C55" s="191">
        <v>95.0</v>
      </c>
      <c r="D55" s="191">
        <v>202.0</v>
      </c>
      <c r="E55" s="191">
        <v>202.0</v>
      </c>
      <c r="F55" s="191">
        <f t="shared" si="5"/>
        <v>0</v>
      </c>
      <c r="G55" s="191">
        <f t="shared" si="6"/>
        <v>114.35321</v>
      </c>
      <c r="H55" s="192">
        <f t="shared" si="7"/>
        <v>114.35321</v>
      </c>
      <c r="I55" s="191">
        <v>13.0</v>
      </c>
      <c r="J55" s="194">
        <f t="shared" si="8"/>
        <v>1486.59173</v>
      </c>
      <c r="K55" s="139"/>
      <c r="L55" s="197"/>
      <c r="M55" s="198">
        <f t="shared" si="18"/>
        <v>13</v>
      </c>
      <c r="N55" s="198"/>
      <c r="O55" s="139"/>
      <c r="P55" s="139"/>
      <c r="Q55" s="176"/>
      <c r="R55" s="281">
        <v>29.5</v>
      </c>
      <c r="S55" s="176">
        <f t="shared" si="9"/>
        <v>2.02</v>
      </c>
      <c r="T55" s="160">
        <f t="shared" si="10"/>
        <v>13</v>
      </c>
      <c r="U55" s="160">
        <f t="shared" si="11"/>
        <v>26.26</v>
      </c>
      <c r="V55" s="282">
        <f t="shared" si="12"/>
        <v>114.35321</v>
      </c>
      <c r="W55" s="176">
        <f t="shared" ref="W55:X55" si="50">C55/100</f>
        <v>0.95</v>
      </c>
      <c r="X55" s="176">
        <f t="shared" si="50"/>
        <v>2.02</v>
      </c>
      <c r="Y55" s="176">
        <f t="shared" si="14"/>
        <v>26.26</v>
      </c>
      <c r="Z55" s="283">
        <f t="shared" si="15"/>
        <v>50.39294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35.0</v>
      </c>
      <c r="B56" s="191" t="s">
        <v>55</v>
      </c>
      <c r="C56" s="191">
        <v>95.0</v>
      </c>
      <c r="D56" s="191">
        <v>202.0</v>
      </c>
      <c r="E56" s="191">
        <v>201.0</v>
      </c>
      <c r="F56" s="191">
        <f t="shared" si="5"/>
        <v>0</v>
      </c>
      <c r="G56" s="191">
        <f t="shared" si="6"/>
        <v>113.787105</v>
      </c>
      <c r="H56" s="192">
        <f t="shared" si="7"/>
        <v>113.787105</v>
      </c>
      <c r="I56" s="191">
        <v>8.0</v>
      </c>
      <c r="J56" s="194">
        <f t="shared" si="8"/>
        <v>910.29684</v>
      </c>
      <c r="K56" s="139"/>
      <c r="L56" s="197"/>
      <c r="M56" s="198">
        <f t="shared" si="18"/>
        <v>8</v>
      </c>
      <c r="N56" s="198"/>
      <c r="O56" s="139"/>
      <c r="P56" s="139"/>
      <c r="Q56" s="176"/>
      <c r="R56" s="281">
        <v>29.5</v>
      </c>
      <c r="S56" s="176">
        <f t="shared" si="9"/>
        <v>2.01</v>
      </c>
      <c r="T56" s="160">
        <f t="shared" si="10"/>
        <v>8</v>
      </c>
      <c r="U56" s="160">
        <f t="shared" si="11"/>
        <v>16.08</v>
      </c>
      <c r="V56" s="282">
        <f t="shared" si="12"/>
        <v>113.787105</v>
      </c>
      <c r="W56" s="176">
        <f t="shared" ref="W56:X56" si="51">C56/100</f>
        <v>0.95</v>
      </c>
      <c r="X56" s="176">
        <f t="shared" si="51"/>
        <v>2.02</v>
      </c>
      <c r="Y56" s="176">
        <f t="shared" si="14"/>
        <v>16.08</v>
      </c>
      <c r="Z56" s="283">
        <f t="shared" si="15"/>
        <v>30.85752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36.0</v>
      </c>
      <c r="B57" s="191" t="s">
        <v>55</v>
      </c>
      <c r="C57" s="191">
        <v>96.0</v>
      </c>
      <c r="D57" s="191">
        <v>202.0</v>
      </c>
      <c r="E57" s="191">
        <v>202.0</v>
      </c>
      <c r="F57" s="191">
        <f t="shared" si="5"/>
        <v>0</v>
      </c>
      <c r="G57" s="191">
        <f t="shared" si="6"/>
        <v>115.556928</v>
      </c>
      <c r="H57" s="192">
        <f t="shared" si="7"/>
        <v>115.556928</v>
      </c>
      <c r="I57" s="191">
        <v>6.0</v>
      </c>
      <c r="J57" s="194">
        <f t="shared" si="8"/>
        <v>693.341568</v>
      </c>
      <c r="K57" s="139"/>
      <c r="L57" s="197"/>
      <c r="M57" s="198">
        <f t="shared" si="18"/>
        <v>6</v>
      </c>
      <c r="N57" s="198"/>
      <c r="O57" s="139"/>
      <c r="P57" s="139"/>
      <c r="Q57" s="176"/>
      <c r="R57" s="281">
        <v>29.5</v>
      </c>
      <c r="S57" s="176">
        <f t="shared" si="9"/>
        <v>2.02</v>
      </c>
      <c r="T57" s="160">
        <f t="shared" si="10"/>
        <v>6</v>
      </c>
      <c r="U57" s="160">
        <f t="shared" si="11"/>
        <v>12.12</v>
      </c>
      <c r="V57" s="282">
        <f t="shared" si="12"/>
        <v>115.556928</v>
      </c>
      <c r="W57" s="176">
        <f t="shared" ref="W57:X57" si="52">C57/100</f>
        <v>0.96</v>
      </c>
      <c r="X57" s="176">
        <f t="shared" si="52"/>
        <v>2.02</v>
      </c>
      <c r="Y57" s="176">
        <f t="shared" si="14"/>
        <v>12.12</v>
      </c>
      <c r="Z57" s="283">
        <f t="shared" si="15"/>
        <v>23.503104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37.0</v>
      </c>
      <c r="B58" s="191" t="s">
        <v>55</v>
      </c>
      <c r="C58" s="191">
        <v>96.0</v>
      </c>
      <c r="D58" s="191">
        <v>202.0</v>
      </c>
      <c r="E58" s="191">
        <v>201.0</v>
      </c>
      <c r="F58" s="191">
        <f t="shared" si="5"/>
        <v>0</v>
      </c>
      <c r="G58" s="191">
        <f t="shared" si="6"/>
        <v>114.984864</v>
      </c>
      <c r="H58" s="192">
        <f t="shared" si="7"/>
        <v>114.984864</v>
      </c>
      <c r="I58" s="191">
        <v>3.0</v>
      </c>
      <c r="J58" s="194">
        <f t="shared" si="8"/>
        <v>344.954592</v>
      </c>
      <c r="K58" s="139"/>
      <c r="L58" s="197"/>
      <c r="M58" s="198">
        <f t="shared" si="18"/>
        <v>3</v>
      </c>
      <c r="N58" s="198"/>
      <c r="O58" s="139"/>
      <c r="P58" s="139"/>
      <c r="Q58" s="176"/>
      <c r="R58" s="281">
        <v>29.5</v>
      </c>
      <c r="S58" s="176">
        <f t="shared" si="9"/>
        <v>2.01</v>
      </c>
      <c r="T58" s="160">
        <f t="shared" si="10"/>
        <v>3</v>
      </c>
      <c r="U58" s="160">
        <f t="shared" si="11"/>
        <v>6.03</v>
      </c>
      <c r="V58" s="282">
        <f t="shared" si="12"/>
        <v>114.984864</v>
      </c>
      <c r="W58" s="176">
        <f t="shared" ref="W58:X58" si="53">C58/100</f>
        <v>0.96</v>
      </c>
      <c r="X58" s="176">
        <f t="shared" si="53"/>
        <v>2.02</v>
      </c>
      <c r="Y58" s="176">
        <f t="shared" si="14"/>
        <v>6.03</v>
      </c>
      <c r="Z58" s="283">
        <f t="shared" si="15"/>
        <v>11.693376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38.0</v>
      </c>
      <c r="B59" s="200" t="s">
        <v>66</v>
      </c>
      <c r="C59" s="200">
        <v>95.0</v>
      </c>
      <c r="D59" s="200">
        <v>202.0</v>
      </c>
      <c r="E59" s="200">
        <v>150.0</v>
      </c>
      <c r="F59" s="200">
        <f t="shared" si="5"/>
        <v>0.5</v>
      </c>
      <c r="G59" s="200">
        <f t="shared" si="6"/>
        <v>84.91575</v>
      </c>
      <c r="H59" s="201">
        <f t="shared" si="7"/>
        <v>42.457875</v>
      </c>
      <c r="I59" s="200">
        <v>1.0</v>
      </c>
      <c r="J59" s="202">
        <f t="shared" si="8"/>
        <v>42.457875</v>
      </c>
      <c r="K59" s="304"/>
      <c r="L59" s="305"/>
      <c r="M59" s="306">
        <f t="shared" si="18"/>
        <v>1</v>
      </c>
      <c r="N59" s="306"/>
      <c r="O59" s="304"/>
      <c r="P59" s="304"/>
      <c r="Q59" s="176"/>
      <c r="R59" s="281">
        <f>+(29.5+29.5)/2</f>
        <v>29.5</v>
      </c>
      <c r="S59" s="176">
        <f t="shared" si="9"/>
        <v>1.5</v>
      </c>
      <c r="T59" s="160">
        <f t="shared" si="10"/>
        <v>1</v>
      </c>
      <c r="U59" s="160">
        <f t="shared" si="11"/>
        <v>1.5</v>
      </c>
      <c r="V59" s="282">
        <f t="shared" si="12"/>
        <v>84.91575</v>
      </c>
      <c r="W59" s="176">
        <f t="shared" ref="W59:X59" si="54">C59/100</f>
        <v>0.95</v>
      </c>
      <c r="X59" s="176">
        <f t="shared" si="54"/>
        <v>2.02</v>
      </c>
      <c r="Y59" s="176">
        <f t="shared" si="14"/>
        <v>1.5</v>
      </c>
      <c r="Z59" s="283">
        <f t="shared" si="15"/>
        <v>2.8785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39.0</v>
      </c>
      <c r="B60" s="182" t="s">
        <v>92</v>
      </c>
      <c r="C60" s="183">
        <v>88.0</v>
      </c>
      <c r="D60" s="183">
        <v>208.0</v>
      </c>
      <c r="E60" s="183">
        <v>283.0</v>
      </c>
      <c r="F60" s="183">
        <f t="shared" si="5"/>
        <v>0.8</v>
      </c>
      <c r="G60" s="183">
        <f t="shared" si="6"/>
        <v>163.171008</v>
      </c>
      <c r="H60" s="184">
        <f t="shared" si="7"/>
        <v>130.5368064</v>
      </c>
      <c r="I60" s="183">
        <v>1.0</v>
      </c>
      <c r="J60" s="185">
        <f t="shared" si="8"/>
        <v>130.5368064</v>
      </c>
      <c r="K60" s="139"/>
      <c r="L60" s="197"/>
      <c r="M60" s="198">
        <f t="shared" si="18"/>
        <v>1</v>
      </c>
      <c r="N60" s="198"/>
      <c r="O60" s="139"/>
      <c r="P60" s="139"/>
      <c r="Q60" s="176"/>
      <c r="R60" s="281">
        <v>31.5</v>
      </c>
      <c r="S60" s="176">
        <f t="shared" si="9"/>
        <v>2.83</v>
      </c>
      <c r="T60" s="160">
        <f t="shared" si="10"/>
        <v>1</v>
      </c>
      <c r="U60" s="160">
        <f t="shared" si="11"/>
        <v>2.83</v>
      </c>
      <c r="V60" s="282">
        <f t="shared" si="12"/>
        <v>163.171008</v>
      </c>
      <c r="W60" s="176">
        <f t="shared" ref="W60:X60" si="55">C60/100</f>
        <v>0.88</v>
      </c>
      <c r="X60" s="176">
        <f t="shared" si="55"/>
        <v>2.08</v>
      </c>
      <c r="Y60" s="176">
        <f t="shared" si="14"/>
        <v>2.83</v>
      </c>
      <c r="Z60" s="283">
        <f t="shared" si="15"/>
        <v>5.180032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40.0</v>
      </c>
      <c r="B61" s="191" t="s">
        <v>84</v>
      </c>
      <c r="C61" s="191">
        <v>101.0</v>
      </c>
      <c r="D61" s="191">
        <v>208.0</v>
      </c>
      <c r="E61" s="191">
        <v>283.0</v>
      </c>
      <c r="F61" s="191">
        <f t="shared" si="5"/>
        <v>0</v>
      </c>
      <c r="G61" s="191">
        <f t="shared" si="6"/>
        <v>187.275816</v>
      </c>
      <c r="H61" s="192">
        <f t="shared" si="7"/>
        <v>187.275816</v>
      </c>
      <c r="I61" s="191">
        <v>2.0</v>
      </c>
      <c r="J61" s="194">
        <f t="shared" si="8"/>
        <v>374.551632</v>
      </c>
      <c r="K61" s="139"/>
      <c r="L61" s="197"/>
      <c r="M61" s="198">
        <f t="shared" si="18"/>
        <v>2</v>
      </c>
      <c r="N61" s="198"/>
      <c r="O61" s="139"/>
      <c r="P61" s="139"/>
      <c r="Q61" s="176"/>
      <c r="R61" s="281">
        <v>31.5</v>
      </c>
      <c r="S61" s="176">
        <f t="shared" si="9"/>
        <v>2.83</v>
      </c>
      <c r="T61" s="160">
        <f t="shared" si="10"/>
        <v>2</v>
      </c>
      <c r="U61" s="160">
        <f t="shared" si="11"/>
        <v>5.66</v>
      </c>
      <c r="V61" s="282">
        <f t="shared" si="12"/>
        <v>187.275816</v>
      </c>
      <c r="W61" s="176">
        <f t="shared" ref="W61:X61" si="56">C61/100</f>
        <v>1.01</v>
      </c>
      <c r="X61" s="176">
        <f t="shared" si="56"/>
        <v>2.08</v>
      </c>
      <c r="Y61" s="176">
        <f t="shared" si="14"/>
        <v>5.66</v>
      </c>
      <c r="Z61" s="283">
        <f t="shared" si="15"/>
        <v>11.890528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41.0</v>
      </c>
      <c r="B62" s="191" t="s">
        <v>84</v>
      </c>
      <c r="C62" s="191">
        <v>93.0</v>
      </c>
      <c r="D62" s="191">
        <v>208.0</v>
      </c>
      <c r="E62" s="191">
        <v>283.0</v>
      </c>
      <c r="F62" s="191">
        <f t="shared" si="5"/>
        <v>0</v>
      </c>
      <c r="G62" s="191">
        <f t="shared" si="6"/>
        <v>172.442088</v>
      </c>
      <c r="H62" s="192">
        <f t="shared" si="7"/>
        <v>172.442088</v>
      </c>
      <c r="I62" s="191">
        <v>1.0</v>
      </c>
      <c r="J62" s="194">
        <f t="shared" si="8"/>
        <v>172.442088</v>
      </c>
      <c r="K62" s="139"/>
      <c r="L62" s="197"/>
      <c r="M62" s="198">
        <f t="shared" si="18"/>
        <v>1</v>
      </c>
      <c r="N62" s="198"/>
      <c r="O62" s="139"/>
      <c r="P62" s="139"/>
      <c r="Q62" s="176"/>
      <c r="R62" s="281">
        <v>31.5</v>
      </c>
      <c r="S62" s="176">
        <f t="shared" si="9"/>
        <v>2.83</v>
      </c>
      <c r="T62" s="160">
        <f t="shared" si="10"/>
        <v>1</v>
      </c>
      <c r="U62" s="160">
        <f t="shared" si="11"/>
        <v>2.83</v>
      </c>
      <c r="V62" s="282">
        <f t="shared" si="12"/>
        <v>172.442088</v>
      </c>
      <c r="W62" s="176">
        <f t="shared" ref="W62:X62" si="57">C62/100</f>
        <v>0.93</v>
      </c>
      <c r="X62" s="176">
        <f t="shared" si="57"/>
        <v>2.08</v>
      </c>
      <c r="Y62" s="176">
        <f t="shared" si="14"/>
        <v>2.83</v>
      </c>
      <c r="Z62" s="283">
        <f t="shared" si="15"/>
        <v>5.474352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42.0</v>
      </c>
      <c r="B63" s="191" t="s">
        <v>84</v>
      </c>
      <c r="C63" s="191">
        <v>100.0</v>
      </c>
      <c r="D63" s="191">
        <v>208.0</v>
      </c>
      <c r="E63" s="191">
        <v>283.0</v>
      </c>
      <c r="F63" s="191">
        <f t="shared" si="5"/>
        <v>0</v>
      </c>
      <c r="G63" s="191">
        <f t="shared" si="6"/>
        <v>185.4216</v>
      </c>
      <c r="H63" s="192">
        <f t="shared" si="7"/>
        <v>185.4216</v>
      </c>
      <c r="I63" s="191">
        <v>4.0</v>
      </c>
      <c r="J63" s="194">
        <f t="shared" si="8"/>
        <v>741.6864</v>
      </c>
      <c r="K63" s="139"/>
      <c r="L63" s="197"/>
      <c r="M63" s="198">
        <f t="shared" si="18"/>
        <v>4</v>
      </c>
      <c r="N63" s="198"/>
      <c r="O63" s="139"/>
      <c r="P63" s="139"/>
      <c r="Q63" s="176"/>
      <c r="R63" s="281">
        <v>31.5</v>
      </c>
      <c r="S63" s="176">
        <f t="shared" si="9"/>
        <v>2.83</v>
      </c>
      <c r="T63" s="160">
        <f t="shared" si="10"/>
        <v>4</v>
      </c>
      <c r="U63" s="160">
        <f t="shared" si="11"/>
        <v>11.32</v>
      </c>
      <c r="V63" s="282">
        <f t="shared" si="12"/>
        <v>185.4216</v>
      </c>
      <c r="W63" s="176">
        <f t="shared" ref="W63:X63" si="58">C63/100</f>
        <v>1</v>
      </c>
      <c r="X63" s="176">
        <f t="shared" si="58"/>
        <v>2.08</v>
      </c>
      <c r="Y63" s="176">
        <f t="shared" si="14"/>
        <v>11.32</v>
      </c>
      <c r="Z63" s="283">
        <f t="shared" si="15"/>
        <v>23.5456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43.0</v>
      </c>
      <c r="B64" s="191" t="s">
        <v>84</v>
      </c>
      <c r="C64" s="191">
        <v>99.0</v>
      </c>
      <c r="D64" s="191">
        <v>208.0</v>
      </c>
      <c r="E64" s="191">
        <v>283.0</v>
      </c>
      <c r="F64" s="191">
        <f t="shared" si="5"/>
        <v>0</v>
      </c>
      <c r="G64" s="191">
        <f t="shared" si="6"/>
        <v>183.567384</v>
      </c>
      <c r="H64" s="192">
        <f t="shared" si="7"/>
        <v>183.567384</v>
      </c>
      <c r="I64" s="191">
        <v>4.0</v>
      </c>
      <c r="J64" s="194">
        <f t="shared" si="8"/>
        <v>734.269536</v>
      </c>
      <c r="K64" s="139"/>
      <c r="L64" s="197"/>
      <c r="M64" s="198">
        <f t="shared" si="18"/>
        <v>4</v>
      </c>
      <c r="N64" s="198"/>
      <c r="O64" s="139"/>
      <c r="P64" s="139"/>
      <c r="Q64" s="176"/>
      <c r="R64" s="281">
        <v>31.5</v>
      </c>
      <c r="S64" s="176">
        <f t="shared" si="9"/>
        <v>2.83</v>
      </c>
      <c r="T64" s="160">
        <f t="shared" si="10"/>
        <v>4</v>
      </c>
      <c r="U64" s="160">
        <f t="shared" si="11"/>
        <v>11.32</v>
      </c>
      <c r="V64" s="282">
        <f t="shared" si="12"/>
        <v>183.567384</v>
      </c>
      <c r="W64" s="176">
        <f t="shared" ref="W64:X64" si="59">C64/100</f>
        <v>0.99</v>
      </c>
      <c r="X64" s="176">
        <f t="shared" si="59"/>
        <v>2.08</v>
      </c>
      <c r="Y64" s="176">
        <f t="shared" si="14"/>
        <v>11.32</v>
      </c>
      <c r="Z64" s="283">
        <f t="shared" si="15"/>
        <v>23.310144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44.0</v>
      </c>
      <c r="B65" s="191" t="s">
        <v>84</v>
      </c>
      <c r="C65" s="191">
        <v>98.0</v>
      </c>
      <c r="D65" s="191">
        <v>208.0</v>
      </c>
      <c r="E65" s="191">
        <v>283.0</v>
      </c>
      <c r="F65" s="191">
        <f t="shared" si="5"/>
        <v>0</v>
      </c>
      <c r="G65" s="191">
        <f t="shared" si="6"/>
        <v>181.713168</v>
      </c>
      <c r="H65" s="192">
        <f t="shared" si="7"/>
        <v>181.713168</v>
      </c>
      <c r="I65" s="191">
        <v>5.0</v>
      </c>
      <c r="J65" s="194">
        <f t="shared" si="8"/>
        <v>908.56584</v>
      </c>
      <c r="K65" s="139"/>
      <c r="L65" s="197"/>
      <c r="M65" s="198">
        <f t="shared" si="18"/>
        <v>5</v>
      </c>
      <c r="N65" s="198"/>
      <c r="O65" s="139"/>
      <c r="P65" s="139"/>
      <c r="Q65" s="176"/>
      <c r="R65" s="281">
        <v>31.5</v>
      </c>
      <c r="S65" s="176">
        <f t="shared" si="9"/>
        <v>2.83</v>
      </c>
      <c r="T65" s="160">
        <f t="shared" si="10"/>
        <v>5</v>
      </c>
      <c r="U65" s="160">
        <f t="shared" si="11"/>
        <v>14.15</v>
      </c>
      <c r="V65" s="282">
        <f t="shared" si="12"/>
        <v>181.713168</v>
      </c>
      <c r="W65" s="176">
        <f t="shared" ref="W65:X65" si="60">C65/100</f>
        <v>0.98</v>
      </c>
      <c r="X65" s="176">
        <f t="shared" si="60"/>
        <v>2.08</v>
      </c>
      <c r="Y65" s="176">
        <f t="shared" si="14"/>
        <v>14.15</v>
      </c>
      <c r="Z65" s="283">
        <f t="shared" si="15"/>
        <v>28.84336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45.0</v>
      </c>
      <c r="B66" s="191" t="s">
        <v>84</v>
      </c>
      <c r="C66" s="191">
        <v>92.0</v>
      </c>
      <c r="D66" s="191">
        <v>208.0</v>
      </c>
      <c r="E66" s="191">
        <v>282.0</v>
      </c>
      <c r="F66" s="191">
        <f t="shared" si="5"/>
        <v>0</v>
      </c>
      <c r="G66" s="191">
        <f t="shared" si="6"/>
        <v>169.985088</v>
      </c>
      <c r="H66" s="192">
        <f t="shared" si="7"/>
        <v>169.985088</v>
      </c>
      <c r="I66" s="191">
        <v>1.0</v>
      </c>
      <c r="J66" s="194">
        <f t="shared" si="8"/>
        <v>169.985088</v>
      </c>
      <c r="K66" s="139"/>
      <c r="L66" s="197"/>
      <c r="M66" s="198">
        <f t="shared" si="18"/>
        <v>1</v>
      </c>
      <c r="N66" s="198"/>
      <c r="O66" s="139"/>
      <c r="P66" s="139"/>
      <c r="Q66" s="176"/>
      <c r="R66" s="281">
        <v>31.5</v>
      </c>
      <c r="S66" s="176">
        <f t="shared" si="9"/>
        <v>2.82</v>
      </c>
      <c r="T66" s="160">
        <f t="shared" si="10"/>
        <v>1</v>
      </c>
      <c r="U66" s="160">
        <f t="shared" si="11"/>
        <v>2.82</v>
      </c>
      <c r="V66" s="282">
        <f t="shared" si="12"/>
        <v>169.985088</v>
      </c>
      <c r="W66" s="176">
        <f t="shared" ref="W66:X66" si="61">C66/100</f>
        <v>0.92</v>
      </c>
      <c r="X66" s="176">
        <f t="shared" si="61"/>
        <v>2.08</v>
      </c>
      <c r="Y66" s="176">
        <f t="shared" si="14"/>
        <v>2.82</v>
      </c>
      <c r="Z66" s="283">
        <f t="shared" si="15"/>
        <v>5.396352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46.0</v>
      </c>
      <c r="B67" s="191" t="s">
        <v>84</v>
      </c>
      <c r="C67" s="191">
        <v>77.0</v>
      </c>
      <c r="D67" s="191">
        <v>208.0</v>
      </c>
      <c r="E67" s="191">
        <v>187.0</v>
      </c>
      <c r="F67" s="191">
        <f t="shared" si="5"/>
        <v>0</v>
      </c>
      <c r="G67" s="191">
        <f t="shared" si="6"/>
        <v>94.342248</v>
      </c>
      <c r="H67" s="192">
        <f t="shared" si="7"/>
        <v>94.342248</v>
      </c>
      <c r="I67" s="191">
        <v>1.0</v>
      </c>
      <c r="J67" s="194">
        <f t="shared" si="8"/>
        <v>94.342248</v>
      </c>
      <c r="K67" s="139"/>
      <c r="L67" s="197"/>
      <c r="M67" s="198">
        <f t="shared" si="18"/>
        <v>1</v>
      </c>
      <c r="N67" s="198"/>
      <c r="O67" s="139"/>
      <c r="P67" s="139"/>
      <c r="Q67" s="176"/>
      <c r="R67" s="281">
        <v>31.5</v>
      </c>
      <c r="S67" s="176">
        <f t="shared" si="9"/>
        <v>1.87</v>
      </c>
      <c r="T67" s="160">
        <f t="shared" si="10"/>
        <v>1</v>
      </c>
      <c r="U67" s="160">
        <f t="shared" si="11"/>
        <v>1.87</v>
      </c>
      <c r="V67" s="282">
        <f t="shared" si="12"/>
        <v>94.342248</v>
      </c>
      <c r="W67" s="176">
        <f t="shared" ref="W67:X67" si="62">C67/100</f>
        <v>0.77</v>
      </c>
      <c r="X67" s="176">
        <f t="shared" si="62"/>
        <v>2.08</v>
      </c>
      <c r="Y67" s="176">
        <f t="shared" si="14"/>
        <v>1.87</v>
      </c>
      <c r="Z67" s="283">
        <f t="shared" si="15"/>
        <v>2.994992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47.0</v>
      </c>
      <c r="B68" s="182" t="s">
        <v>181</v>
      </c>
      <c r="C68" s="183">
        <v>90.0</v>
      </c>
      <c r="D68" s="183">
        <v>204.0</v>
      </c>
      <c r="E68" s="183">
        <v>144.0</v>
      </c>
      <c r="F68" s="183">
        <f t="shared" si="5"/>
        <v>0.8</v>
      </c>
      <c r="G68" s="183">
        <f t="shared" si="6"/>
        <v>62.13024</v>
      </c>
      <c r="H68" s="184">
        <f t="shared" si="7"/>
        <v>49.704192</v>
      </c>
      <c r="I68" s="183">
        <v>1.0</v>
      </c>
      <c r="J68" s="185">
        <f t="shared" si="8"/>
        <v>49.704192</v>
      </c>
      <c r="K68" s="139"/>
      <c r="L68" s="197"/>
      <c r="M68" s="198">
        <f t="shared" si="18"/>
        <v>1</v>
      </c>
      <c r="N68" s="198"/>
      <c r="O68" s="139"/>
      <c r="P68" s="139"/>
      <c r="Q68" s="176"/>
      <c r="R68" s="141">
        <v>23.5</v>
      </c>
      <c r="S68" s="176">
        <f t="shared" si="9"/>
        <v>1.44</v>
      </c>
      <c r="T68" s="160">
        <f t="shared" si="10"/>
        <v>1</v>
      </c>
      <c r="U68" s="160">
        <f t="shared" si="11"/>
        <v>1.44</v>
      </c>
      <c r="V68" s="282">
        <f t="shared" si="12"/>
        <v>62.13024</v>
      </c>
      <c r="W68" s="176">
        <f t="shared" ref="W68:X68" si="63">C68/100</f>
        <v>0.9</v>
      </c>
      <c r="X68" s="176">
        <f t="shared" si="63"/>
        <v>2.04</v>
      </c>
      <c r="Y68" s="176">
        <f t="shared" si="14"/>
        <v>1.44</v>
      </c>
      <c r="Z68" s="283">
        <f t="shared" si="15"/>
        <v>2.64384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48.0</v>
      </c>
      <c r="B69" s="191" t="s">
        <v>174</v>
      </c>
      <c r="C69" s="191">
        <v>100.0</v>
      </c>
      <c r="D69" s="191">
        <v>204.0</v>
      </c>
      <c r="E69" s="191">
        <v>146.0</v>
      </c>
      <c r="F69" s="191">
        <f t="shared" si="5"/>
        <v>0</v>
      </c>
      <c r="G69" s="191">
        <f t="shared" si="6"/>
        <v>69.9924</v>
      </c>
      <c r="H69" s="192">
        <f t="shared" si="7"/>
        <v>69.9924</v>
      </c>
      <c r="I69" s="191">
        <v>1.0</v>
      </c>
      <c r="J69" s="194">
        <f t="shared" si="8"/>
        <v>69.9924</v>
      </c>
      <c r="K69" s="139"/>
      <c r="L69" s="197"/>
      <c r="M69" s="198">
        <f t="shared" si="18"/>
        <v>1</v>
      </c>
      <c r="N69" s="198"/>
      <c r="O69" s="139"/>
      <c r="P69" s="139"/>
      <c r="Q69" s="176"/>
      <c r="R69" s="141">
        <v>23.5</v>
      </c>
      <c r="S69" s="176">
        <f t="shared" si="9"/>
        <v>1.46</v>
      </c>
      <c r="T69" s="160">
        <f t="shared" si="10"/>
        <v>1</v>
      </c>
      <c r="U69" s="160">
        <f t="shared" si="11"/>
        <v>1.46</v>
      </c>
      <c r="V69" s="282">
        <f t="shared" si="12"/>
        <v>69.9924</v>
      </c>
      <c r="W69" s="176">
        <f t="shared" ref="W69:X69" si="64">C69/100</f>
        <v>1</v>
      </c>
      <c r="X69" s="176">
        <f t="shared" si="64"/>
        <v>2.04</v>
      </c>
      <c r="Y69" s="176">
        <f t="shared" si="14"/>
        <v>1.46</v>
      </c>
      <c r="Z69" s="283">
        <f t="shared" si="15"/>
        <v>2.9784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49.0</v>
      </c>
      <c r="B70" s="191" t="s">
        <v>174</v>
      </c>
      <c r="C70" s="191">
        <v>87.0</v>
      </c>
      <c r="D70" s="191">
        <v>204.0</v>
      </c>
      <c r="E70" s="191">
        <v>199.0</v>
      </c>
      <c r="F70" s="191">
        <f t="shared" si="5"/>
        <v>0</v>
      </c>
      <c r="G70" s="191">
        <f t="shared" si="6"/>
        <v>82.998522</v>
      </c>
      <c r="H70" s="192">
        <f t="shared" si="7"/>
        <v>82.998522</v>
      </c>
      <c r="I70" s="191">
        <v>1.0</v>
      </c>
      <c r="J70" s="194">
        <f t="shared" si="8"/>
        <v>82.998522</v>
      </c>
      <c r="K70" s="139"/>
      <c r="L70" s="197"/>
      <c r="M70" s="198"/>
      <c r="N70" s="198"/>
      <c r="O70" s="139"/>
      <c r="P70" s="139"/>
      <c r="Q70" s="176"/>
      <c r="R70" s="141">
        <v>23.5</v>
      </c>
      <c r="S70" s="176">
        <f t="shared" si="9"/>
        <v>1.99</v>
      </c>
      <c r="T70" s="160">
        <f t="shared" si="10"/>
        <v>1</v>
      </c>
      <c r="U70" s="160">
        <f t="shared" si="11"/>
        <v>1.99</v>
      </c>
      <c r="V70" s="282">
        <f t="shared" si="12"/>
        <v>82.998522</v>
      </c>
      <c r="W70" s="176">
        <f t="shared" ref="W70:X70" si="65">C70/100</f>
        <v>0.87</v>
      </c>
      <c r="X70" s="176">
        <f t="shared" si="65"/>
        <v>2.04</v>
      </c>
      <c r="Y70" s="176">
        <f t="shared" si="14"/>
        <v>1.99</v>
      </c>
      <c r="Z70" s="283">
        <f t="shared" si="15"/>
        <v>3.531852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50.0</v>
      </c>
      <c r="B71" s="191" t="s">
        <v>174</v>
      </c>
      <c r="C71" s="191">
        <v>94.0</v>
      </c>
      <c r="D71" s="191">
        <v>204.0</v>
      </c>
      <c r="E71" s="191">
        <v>144.0</v>
      </c>
      <c r="F71" s="191">
        <f t="shared" si="5"/>
        <v>0</v>
      </c>
      <c r="G71" s="191">
        <f t="shared" si="6"/>
        <v>64.891584</v>
      </c>
      <c r="H71" s="192">
        <f t="shared" si="7"/>
        <v>64.891584</v>
      </c>
      <c r="I71" s="191">
        <v>1.0</v>
      </c>
      <c r="J71" s="194">
        <f t="shared" si="8"/>
        <v>64.891584</v>
      </c>
      <c r="K71" s="139"/>
      <c r="L71" s="197"/>
      <c r="M71" s="198"/>
      <c r="N71" s="198"/>
      <c r="O71" s="139"/>
      <c r="P71" s="139"/>
      <c r="Q71" s="176"/>
      <c r="R71" s="141">
        <v>23.5</v>
      </c>
      <c r="S71" s="176">
        <f t="shared" si="9"/>
        <v>1.44</v>
      </c>
      <c r="T71" s="160">
        <f t="shared" si="10"/>
        <v>1</v>
      </c>
      <c r="U71" s="160">
        <f t="shared" si="11"/>
        <v>1.44</v>
      </c>
      <c r="V71" s="282">
        <f t="shared" si="12"/>
        <v>64.891584</v>
      </c>
      <c r="W71" s="176">
        <f t="shared" ref="W71:X71" si="66">C71/100</f>
        <v>0.94</v>
      </c>
      <c r="X71" s="176">
        <f t="shared" si="66"/>
        <v>2.04</v>
      </c>
      <c r="Y71" s="176">
        <f t="shared" si="14"/>
        <v>1.44</v>
      </c>
      <c r="Z71" s="283">
        <f t="shared" si="15"/>
        <v>2.761344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51.0</v>
      </c>
      <c r="B72" s="191" t="s">
        <v>174</v>
      </c>
      <c r="C72" s="191">
        <v>99.0</v>
      </c>
      <c r="D72" s="191">
        <v>204.0</v>
      </c>
      <c r="E72" s="191">
        <v>144.0</v>
      </c>
      <c r="F72" s="191">
        <f t="shared" si="5"/>
        <v>0</v>
      </c>
      <c r="G72" s="191">
        <f t="shared" si="6"/>
        <v>68.343264</v>
      </c>
      <c r="H72" s="192">
        <f t="shared" si="7"/>
        <v>68.343264</v>
      </c>
      <c r="I72" s="191">
        <v>1.0</v>
      </c>
      <c r="J72" s="194">
        <f t="shared" si="8"/>
        <v>68.343264</v>
      </c>
      <c r="K72" s="139"/>
      <c r="L72" s="197"/>
      <c r="M72" s="198"/>
      <c r="N72" s="198"/>
      <c r="O72" s="139"/>
      <c r="P72" s="139"/>
      <c r="Q72" s="176"/>
      <c r="R72" s="141">
        <v>23.5</v>
      </c>
      <c r="S72" s="176">
        <f t="shared" si="9"/>
        <v>1.44</v>
      </c>
      <c r="T72" s="160">
        <f t="shared" si="10"/>
        <v>1</v>
      </c>
      <c r="U72" s="160">
        <f t="shared" si="11"/>
        <v>1.44</v>
      </c>
      <c r="V72" s="282">
        <f t="shared" si="12"/>
        <v>68.343264</v>
      </c>
      <c r="W72" s="176">
        <f t="shared" ref="W72:X72" si="67">C72/100</f>
        <v>0.99</v>
      </c>
      <c r="X72" s="176">
        <f t="shared" si="67"/>
        <v>2.04</v>
      </c>
      <c r="Y72" s="176">
        <f t="shared" si="14"/>
        <v>1.44</v>
      </c>
      <c r="Z72" s="283">
        <f t="shared" si="15"/>
        <v>2.908224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52.0</v>
      </c>
      <c r="B73" s="191" t="s">
        <v>174</v>
      </c>
      <c r="C73" s="191">
        <v>105.0</v>
      </c>
      <c r="D73" s="191">
        <v>204.0</v>
      </c>
      <c r="E73" s="191">
        <v>145.0</v>
      </c>
      <c r="F73" s="191">
        <f t="shared" si="5"/>
        <v>0</v>
      </c>
      <c r="G73" s="191">
        <f t="shared" si="6"/>
        <v>72.98865</v>
      </c>
      <c r="H73" s="192">
        <f t="shared" si="7"/>
        <v>72.98865</v>
      </c>
      <c r="I73" s="191">
        <v>1.0</v>
      </c>
      <c r="J73" s="194">
        <f t="shared" si="8"/>
        <v>72.98865</v>
      </c>
      <c r="K73" s="139"/>
      <c r="L73" s="197"/>
      <c r="M73" s="198"/>
      <c r="N73" s="198"/>
      <c r="O73" s="139"/>
      <c r="P73" s="139"/>
      <c r="Q73" s="176"/>
      <c r="R73" s="141">
        <v>23.5</v>
      </c>
      <c r="S73" s="176">
        <f t="shared" si="9"/>
        <v>1.45</v>
      </c>
      <c r="T73" s="160">
        <f t="shared" si="10"/>
        <v>1</v>
      </c>
      <c r="U73" s="160">
        <f t="shared" si="11"/>
        <v>1.45</v>
      </c>
      <c r="V73" s="282">
        <f t="shared" si="12"/>
        <v>72.98865</v>
      </c>
      <c r="W73" s="176">
        <f t="shared" ref="W73:X73" si="68">C73/100</f>
        <v>1.05</v>
      </c>
      <c r="X73" s="176">
        <f t="shared" si="68"/>
        <v>2.04</v>
      </c>
      <c r="Y73" s="176">
        <f t="shared" si="14"/>
        <v>1.45</v>
      </c>
      <c r="Z73" s="283">
        <f t="shared" si="15"/>
        <v>3.1059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53.0</v>
      </c>
      <c r="B74" s="191" t="s">
        <v>174</v>
      </c>
      <c r="C74" s="191">
        <v>99.0</v>
      </c>
      <c r="D74" s="191">
        <v>204.0</v>
      </c>
      <c r="E74" s="191">
        <v>145.0</v>
      </c>
      <c r="F74" s="191">
        <f t="shared" si="5"/>
        <v>0</v>
      </c>
      <c r="G74" s="191">
        <f t="shared" si="6"/>
        <v>68.81787</v>
      </c>
      <c r="H74" s="192">
        <f t="shared" si="7"/>
        <v>68.81787</v>
      </c>
      <c r="I74" s="191">
        <v>1.0</v>
      </c>
      <c r="J74" s="194">
        <f t="shared" si="8"/>
        <v>68.81787</v>
      </c>
      <c r="K74" s="139"/>
      <c r="L74" s="197"/>
      <c r="M74" s="198"/>
      <c r="N74" s="198"/>
      <c r="O74" s="139"/>
      <c r="P74" s="139"/>
      <c r="Q74" s="176"/>
      <c r="R74" s="141">
        <v>23.5</v>
      </c>
      <c r="S74" s="176">
        <f t="shared" si="9"/>
        <v>1.45</v>
      </c>
      <c r="T74" s="160">
        <f t="shared" si="10"/>
        <v>1</v>
      </c>
      <c r="U74" s="160">
        <f t="shared" si="11"/>
        <v>1.45</v>
      </c>
      <c r="V74" s="282">
        <f t="shared" si="12"/>
        <v>68.81787</v>
      </c>
      <c r="W74" s="176">
        <f t="shared" ref="W74:X74" si="69">C74/100</f>
        <v>0.99</v>
      </c>
      <c r="X74" s="176">
        <f t="shared" si="69"/>
        <v>2.04</v>
      </c>
      <c r="Y74" s="176">
        <f t="shared" si="14"/>
        <v>1.45</v>
      </c>
      <c r="Z74" s="283">
        <f t="shared" si="15"/>
        <v>2.92842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54.0</v>
      </c>
      <c r="B75" s="191" t="s">
        <v>174</v>
      </c>
      <c r="C75" s="191">
        <v>103.0</v>
      </c>
      <c r="D75" s="191">
        <v>204.0</v>
      </c>
      <c r="E75" s="191">
        <v>145.0</v>
      </c>
      <c r="F75" s="191">
        <f t="shared" si="5"/>
        <v>0</v>
      </c>
      <c r="G75" s="191">
        <f t="shared" si="6"/>
        <v>71.59839</v>
      </c>
      <c r="H75" s="192">
        <f t="shared" si="7"/>
        <v>71.59839</v>
      </c>
      <c r="I75" s="191">
        <v>1.0</v>
      </c>
      <c r="J75" s="194">
        <f t="shared" si="8"/>
        <v>71.59839</v>
      </c>
      <c r="K75" s="139"/>
      <c r="L75" s="197"/>
      <c r="M75" s="198"/>
      <c r="N75" s="198"/>
      <c r="O75" s="139"/>
      <c r="P75" s="139"/>
      <c r="Q75" s="176"/>
      <c r="R75" s="141">
        <v>23.5</v>
      </c>
      <c r="S75" s="176">
        <f t="shared" si="9"/>
        <v>1.45</v>
      </c>
      <c r="T75" s="160">
        <f t="shared" si="10"/>
        <v>1</v>
      </c>
      <c r="U75" s="160">
        <f t="shared" si="11"/>
        <v>1.45</v>
      </c>
      <c r="V75" s="282">
        <f t="shared" si="12"/>
        <v>71.59839</v>
      </c>
      <c r="W75" s="176">
        <f t="shared" ref="W75:X75" si="70">C75/100</f>
        <v>1.03</v>
      </c>
      <c r="X75" s="176">
        <f t="shared" si="70"/>
        <v>2.04</v>
      </c>
      <c r="Y75" s="176">
        <f t="shared" si="14"/>
        <v>1.45</v>
      </c>
      <c r="Z75" s="283">
        <f t="shared" si="15"/>
        <v>3.04674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55.0</v>
      </c>
      <c r="B76" s="182" t="s">
        <v>116</v>
      </c>
      <c r="C76" s="191">
        <v>79.0</v>
      </c>
      <c r="D76" s="191">
        <v>204.0</v>
      </c>
      <c r="E76" s="191">
        <v>169.0</v>
      </c>
      <c r="F76" s="191">
        <f t="shared" si="5"/>
        <v>0.8</v>
      </c>
      <c r="G76" s="191">
        <f t="shared" si="6"/>
        <v>55.833882</v>
      </c>
      <c r="H76" s="192">
        <f t="shared" si="7"/>
        <v>44.6671056</v>
      </c>
      <c r="I76" s="191">
        <v>1.0</v>
      </c>
      <c r="J76" s="194">
        <f t="shared" si="8"/>
        <v>44.6671056</v>
      </c>
      <c r="K76" s="139"/>
      <c r="L76" s="197"/>
      <c r="M76" s="198"/>
      <c r="N76" s="198"/>
      <c r="O76" s="139"/>
      <c r="P76" s="139"/>
      <c r="Q76" s="176"/>
      <c r="R76" s="141">
        <v>20.5</v>
      </c>
      <c r="S76" s="176">
        <f t="shared" si="9"/>
        <v>1.69</v>
      </c>
      <c r="T76" s="160">
        <f t="shared" si="10"/>
        <v>1</v>
      </c>
      <c r="U76" s="160">
        <f t="shared" si="11"/>
        <v>1.69</v>
      </c>
      <c r="V76" s="282">
        <f t="shared" si="12"/>
        <v>55.833882</v>
      </c>
      <c r="W76" s="176">
        <f t="shared" ref="W76:X76" si="71">C76/100</f>
        <v>0.79</v>
      </c>
      <c r="X76" s="176">
        <f t="shared" si="71"/>
        <v>2.04</v>
      </c>
      <c r="Y76" s="176">
        <f t="shared" si="14"/>
        <v>1.69</v>
      </c>
      <c r="Z76" s="283">
        <f t="shared" si="15"/>
        <v>2.723604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56.0</v>
      </c>
      <c r="B77" s="191" t="s">
        <v>110</v>
      </c>
      <c r="C77" s="191">
        <v>84.0</v>
      </c>
      <c r="D77" s="191">
        <v>204.0</v>
      </c>
      <c r="E77" s="191">
        <v>150.0</v>
      </c>
      <c r="F77" s="191">
        <f t="shared" si="5"/>
        <v>0</v>
      </c>
      <c r="G77" s="191">
        <f t="shared" si="6"/>
        <v>52.6932</v>
      </c>
      <c r="H77" s="192">
        <f t="shared" si="7"/>
        <v>52.6932</v>
      </c>
      <c r="I77" s="191">
        <v>1.0</v>
      </c>
      <c r="J77" s="194">
        <f t="shared" si="8"/>
        <v>52.6932</v>
      </c>
      <c r="K77" s="139"/>
      <c r="L77" s="197"/>
      <c r="M77" s="198"/>
      <c r="N77" s="198"/>
      <c r="O77" s="139"/>
      <c r="P77" s="139"/>
      <c r="Q77" s="176"/>
      <c r="R77" s="141">
        <v>20.5</v>
      </c>
      <c r="S77" s="176">
        <f t="shared" si="9"/>
        <v>1.5</v>
      </c>
      <c r="T77" s="160">
        <f t="shared" si="10"/>
        <v>1</v>
      </c>
      <c r="U77" s="160">
        <f t="shared" si="11"/>
        <v>1.5</v>
      </c>
      <c r="V77" s="282">
        <f t="shared" si="12"/>
        <v>52.6932</v>
      </c>
      <c r="W77" s="176">
        <f t="shared" ref="W77:X77" si="72">C77/100</f>
        <v>0.84</v>
      </c>
      <c r="X77" s="176">
        <f t="shared" si="72"/>
        <v>2.04</v>
      </c>
      <c r="Y77" s="176">
        <f t="shared" si="14"/>
        <v>1.5</v>
      </c>
      <c r="Z77" s="283">
        <f t="shared" si="15"/>
        <v>2.5704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57.0</v>
      </c>
      <c r="B78" s="182" t="s">
        <v>223</v>
      </c>
      <c r="C78" s="191">
        <v>75.0</v>
      </c>
      <c r="D78" s="191">
        <v>204.0</v>
      </c>
      <c r="E78" s="191">
        <v>178.0</v>
      </c>
      <c r="F78" s="191">
        <f t="shared" si="5"/>
        <v>0.8</v>
      </c>
      <c r="G78" s="191">
        <f t="shared" si="6"/>
        <v>55.8297</v>
      </c>
      <c r="H78" s="192">
        <f t="shared" si="7"/>
        <v>44.66376</v>
      </c>
      <c r="I78" s="191">
        <v>1.0</v>
      </c>
      <c r="J78" s="194">
        <f t="shared" si="8"/>
        <v>44.66376</v>
      </c>
      <c r="K78" s="139"/>
      <c r="L78" s="197"/>
      <c r="M78" s="198"/>
      <c r="N78" s="198"/>
      <c r="O78" s="139"/>
      <c r="P78" s="139"/>
      <c r="Q78" s="176"/>
      <c r="R78" s="141">
        <v>20.5</v>
      </c>
      <c r="S78" s="176">
        <f t="shared" si="9"/>
        <v>1.78</v>
      </c>
      <c r="T78" s="160">
        <f t="shared" si="10"/>
        <v>1</v>
      </c>
      <c r="U78" s="160">
        <f t="shared" si="11"/>
        <v>1.78</v>
      </c>
      <c r="V78" s="282">
        <f t="shared" si="12"/>
        <v>55.8297</v>
      </c>
      <c r="W78" s="176">
        <f t="shared" ref="W78:X78" si="73">C78/100</f>
        <v>0.75</v>
      </c>
      <c r="X78" s="176">
        <f t="shared" si="73"/>
        <v>2.04</v>
      </c>
      <c r="Y78" s="176">
        <f t="shared" si="14"/>
        <v>1.78</v>
      </c>
      <c r="Z78" s="283">
        <f t="shared" si="15"/>
        <v>2.7234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58.0</v>
      </c>
      <c r="B79" s="191" t="s">
        <v>221</v>
      </c>
      <c r="C79" s="191">
        <v>80.0</v>
      </c>
      <c r="D79" s="191">
        <v>204.0</v>
      </c>
      <c r="E79" s="191">
        <v>125.0</v>
      </c>
      <c r="F79" s="191">
        <f t="shared" si="5"/>
        <v>0</v>
      </c>
      <c r="G79" s="191">
        <f t="shared" si="6"/>
        <v>41.82</v>
      </c>
      <c r="H79" s="192">
        <f t="shared" si="7"/>
        <v>41.82</v>
      </c>
      <c r="I79" s="191">
        <v>1.0</v>
      </c>
      <c r="J79" s="194">
        <f t="shared" si="8"/>
        <v>41.82</v>
      </c>
      <c r="K79" s="139"/>
      <c r="L79" s="197"/>
      <c r="M79" s="198"/>
      <c r="N79" s="198"/>
      <c r="O79" s="139"/>
      <c r="P79" s="139"/>
      <c r="Q79" s="176"/>
      <c r="R79" s="141">
        <v>20.5</v>
      </c>
      <c r="S79" s="176">
        <f t="shared" si="9"/>
        <v>1.25</v>
      </c>
      <c r="T79" s="160">
        <f t="shared" si="10"/>
        <v>1</v>
      </c>
      <c r="U79" s="160">
        <f t="shared" si="11"/>
        <v>1.25</v>
      </c>
      <c r="V79" s="282">
        <f t="shared" si="12"/>
        <v>41.82</v>
      </c>
      <c r="W79" s="176">
        <f t="shared" ref="W79:X79" si="74">C79/100</f>
        <v>0.8</v>
      </c>
      <c r="X79" s="176">
        <f t="shared" si="74"/>
        <v>2.04</v>
      </c>
      <c r="Y79" s="176">
        <f t="shared" si="14"/>
        <v>1.25</v>
      </c>
      <c r="Z79" s="283">
        <f t="shared" si="15"/>
        <v>2.04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/>
      <c r="B80" s="176"/>
      <c r="C80" s="176"/>
      <c r="D80" s="176"/>
      <c r="E80" s="176"/>
      <c r="F80" s="176"/>
      <c r="G80" s="176"/>
      <c r="H80" s="179"/>
      <c r="I80" s="160"/>
      <c r="J80" s="203">
        <f>+Q115</f>
        <v>167.6</v>
      </c>
      <c r="K80" s="139"/>
      <c r="L80" s="139"/>
      <c r="M80" s="139"/>
      <c r="N80" s="139"/>
      <c r="O80" s="139"/>
      <c r="P80" s="139"/>
      <c r="Q80" s="139"/>
      <c r="R80" s="204"/>
      <c r="S80" s="187">
        <f t="shared" si="9"/>
        <v>0</v>
      </c>
      <c r="T80" s="181" t="str">
        <f t="shared" si="10"/>
        <v/>
      </c>
      <c r="U80" s="181">
        <f t="shared" si="11"/>
        <v>0</v>
      </c>
      <c r="V80" s="186"/>
      <c r="W80" s="187">
        <f t="shared" ref="W80:X80" si="75">C80/100</f>
        <v>0</v>
      </c>
      <c r="X80" s="187">
        <f t="shared" si="75"/>
        <v>0</v>
      </c>
      <c r="Y80" s="187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/>
      <c r="B81" s="205"/>
      <c r="C81" s="205"/>
      <c r="D81" s="205"/>
      <c r="E81" s="205"/>
      <c r="F81" s="205"/>
      <c r="G81" s="205"/>
      <c r="H81" s="206"/>
      <c r="I81" s="207">
        <f>SUM(I22:I79)</f>
        <v>262</v>
      </c>
      <c r="J81" s="208">
        <f>SUM(J22:J80)</f>
        <v>33137.66063</v>
      </c>
      <c r="K81" s="209"/>
      <c r="L81" s="209"/>
      <c r="M81" s="209"/>
      <c r="N81" s="209"/>
      <c r="O81" s="209"/>
      <c r="P81" s="209"/>
      <c r="Q81" s="209"/>
      <c r="R81" s="141"/>
      <c r="S81" s="209">
        <f>SUMIFS($T$22:$T$79,$S$22:$S$79,"&gt;=3")</f>
        <v>0</v>
      </c>
      <c r="T81" s="209">
        <f t="shared" ref="T81:U81" si="76">SUM(T22:T79)</f>
        <v>262</v>
      </c>
      <c r="U81" s="209">
        <f t="shared" si="76"/>
        <v>576.9</v>
      </c>
      <c r="V81" s="209"/>
      <c r="W81" s="209"/>
      <c r="X81" s="209"/>
      <c r="Y81" s="209"/>
      <c r="Z81" s="210">
        <f>SUM(Z22:Z80)</f>
        <v>1123.65634</v>
      </c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</row>
    <row r="82" ht="29.25" customHeight="1">
      <c r="A82" s="139"/>
      <c r="B82" s="139"/>
      <c r="C82" s="139"/>
      <c r="D82" s="139"/>
      <c r="E82" s="139"/>
      <c r="F82" s="139"/>
      <c r="G82" s="139"/>
      <c r="H82" s="140"/>
      <c r="I82" s="139"/>
      <c r="J82" s="139"/>
      <c r="K82" s="139"/>
      <c r="L82" s="139"/>
      <c r="M82" s="139"/>
      <c r="N82" s="139"/>
      <c r="O82" s="139"/>
      <c r="P82" s="139"/>
      <c r="Q82" s="139"/>
      <c r="R82" s="141"/>
      <c r="S82" s="186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9.25" customHeight="1">
      <c r="A83" s="139"/>
      <c r="B83" s="139"/>
      <c r="C83" s="139"/>
      <c r="D83" s="139"/>
      <c r="E83" s="139"/>
      <c r="F83" s="139"/>
      <c r="G83" s="139"/>
      <c r="H83" s="140"/>
      <c r="I83" s="139"/>
      <c r="J83" s="139"/>
      <c r="K83" s="139"/>
      <c r="L83" s="139"/>
      <c r="M83" s="139"/>
      <c r="N83" s="139"/>
      <c r="O83" s="139"/>
      <c r="P83" s="139"/>
      <c r="Q83" s="139"/>
      <c r="R83" s="204"/>
      <c r="S83" s="139"/>
      <c r="T83" s="139" t="s">
        <v>48</v>
      </c>
      <c r="U83" s="139" t="s">
        <v>72</v>
      </c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9.25" customHeight="1">
      <c r="A84" s="139"/>
      <c r="B84" s="139"/>
      <c r="C84" s="139"/>
      <c r="D84" s="139"/>
      <c r="E84" s="139"/>
      <c r="F84" s="139"/>
      <c r="G84" s="139"/>
      <c r="H84" s="140"/>
      <c r="I84" s="139"/>
      <c r="J84" s="139"/>
      <c r="K84" s="139"/>
      <c r="L84" s="139"/>
      <c r="M84" s="139"/>
      <c r="N84" s="139"/>
      <c r="O84" s="139"/>
      <c r="P84" s="139"/>
      <c r="Q84" s="139"/>
      <c r="R84" s="141"/>
      <c r="S84" s="139" t="s">
        <v>31</v>
      </c>
      <c r="T84" s="211">
        <f>SUMIFS($J$22:$J$79,$S$22:$S$79,"&gt;=3")</f>
        <v>0</v>
      </c>
      <c r="U84" s="212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9.25" customHeight="1">
      <c r="A85" s="139" t="s">
        <v>32</v>
      </c>
      <c r="B85" s="139"/>
      <c r="C85" s="139"/>
      <c r="D85" s="139" t="s">
        <v>33</v>
      </c>
      <c r="E85" s="139"/>
      <c r="F85" s="139"/>
      <c r="G85" s="139"/>
      <c r="H85" s="140"/>
      <c r="I85" s="139"/>
      <c r="J85" s="139"/>
      <c r="K85" s="139"/>
      <c r="L85" s="139"/>
      <c r="M85" s="139"/>
      <c r="N85" s="139"/>
      <c r="O85" s="139"/>
      <c r="P85" s="139"/>
      <c r="Q85" s="139"/>
      <c r="R85" s="141"/>
      <c r="S85" s="139" t="s">
        <v>34</v>
      </c>
      <c r="T85" s="213">
        <f>J81-T84</f>
        <v>33137.66063</v>
      </c>
      <c r="U85" s="212">
        <f>+SUMIFS($U$22:$U$79,$S$22:$S$79,"&gt;=3")</f>
        <v>0</v>
      </c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9.25" customHeight="1">
      <c r="A86" s="139"/>
      <c r="B86" s="139"/>
      <c r="C86" s="139"/>
      <c r="D86" s="139"/>
      <c r="E86" s="139"/>
      <c r="F86" s="139"/>
      <c r="G86" s="139"/>
      <c r="H86" s="140"/>
      <c r="I86" s="139"/>
      <c r="J86" s="139"/>
      <c r="K86" s="139"/>
      <c r="L86" s="139"/>
      <c r="M86" s="139"/>
      <c r="N86" s="139"/>
      <c r="O86" s="139"/>
      <c r="P86" s="139"/>
      <c r="Q86" s="139"/>
      <c r="R86" s="204"/>
      <c r="S86" s="139"/>
      <c r="T86" s="214">
        <f>+I81</f>
        <v>262</v>
      </c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39.0" customHeight="1">
      <c r="A87" s="176"/>
      <c r="B87" s="160" t="s">
        <v>12</v>
      </c>
      <c r="C87" s="177" t="s">
        <v>73</v>
      </c>
      <c r="D87" s="52"/>
      <c r="E87" s="53"/>
      <c r="F87" s="178"/>
      <c r="G87" s="178"/>
      <c r="H87" s="179" t="s">
        <v>14</v>
      </c>
      <c r="I87" s="160" t="s">
        <v>15</v>
      </c>
      <c r="J87" s="160" t="s">
        <v>16</v>
      </c>
      <c r="K87" s="139"/>
      <c r="L87" s="139"/>
      <c r="M87" s="139"/>
      <c r="N87" s="139"/>
      <c r="O87" s="139"/>
      <c r="P87" s="139"/>
      <c r="Q87" s="139"/>
      <c r="R87" s="141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customHeight="1">
      <c r="A88" s="154">
        <v>1.0</v>
      </c>
      <c r="B88" s="215" t="s">
        <v>65</v>
      </c>
      <c r="C88" s="215">
        <v>84.0</v>
      </c>
      <c r="D88" s="215">
        <v>202.0</v>
      </c>
      <c r="E88" s="215">
        <v>251.0</v>
      </c>
      <c r="F88" s="215">
        <f t="shared" ref="F88:F94" si="77">1-VALUE(IF(RIGHT(B88, 1)="%", RIGHT(B88, 3), 0))</f>
        <v>0.2</v>
      </c>
      <c r="G88" s="215">
        <f t="shared" ref="G88:G94" si="78">+Q88*C88/100*D88/100*E88/100</f>
        <v>0</v>
      </c>
      <c r="H88" s="216">
        <f t="shared" ref="H88:H94" si="79">IF(F88=0, G88, F88*G88)</f>
        <v>0</v>
      </c>
      <c r="I88" s="215">
        <v>1.0</v>
      </c>
      <c r="J88" s="217">
        <f t="shared" ref="J88:J94" si="80">+I88*H88</f>
        <v>0</v>
      </c>
      <c r="K88" s="139"/>
      <c r="L88" s="176">
        <f t="shared" ref="L88:L94" si="81">D88*25.4/1000</f>
        <v>5.1308</v>
      </c>
      <c r="M88" s="160">
        <f t="shared" ref="M88:M92" si="82">+I88</f>
        <v>1</v>
      </c>
      <c r="N88" s="160">
        <f t="shared" ref="N88:N92" si="83">M88*L88</f>
        <v>5.1308</v>
      </c>
      <c r="O88" s="139"/>
      <c r="P88" s="139"/>
      <c r="Q88" s="139"/>
      <c r="R88" s="141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54">
        <v>2.0</v>
      </c>
      <c r="B89" s="215" t="s">
        <v>65</v>
      </c>
      <c r="C89" s="215">
        <v>92.0</v>
      </c>
      <c r="D89" s="215">
        <v>202.0</v>
      </c>
      <c r="E89" s="215">
        <v>202.0</v>
      </c>
      <c r="F89" s="215">
        <f t="shared" si="77"/>
        <v>0.2</v>
      </c>
      <c r="G89" s="215">
        <f t="shared" si="78"/>
        <v>0</v>
      </c>
      <c r="H89" s="216">
        <f t="shared" si="79"/>
        <v>0</v>
      </c>
      <c r="I89" s="215">
        <v>1.0</v>
      </c>
      <c r="J89" s="217">
        <f t="shared" si="80"/>
        <v>0</v>
      </c>
      <c r="K89" s="139"/>
      <c r="L89" s="176">
        <f t="shared" si="81"/>
        <v>5.1308</v>
      </c>
      <c r="M89" s="160">
        <f t="shared" si="82"/>
        <v>1</v>
      </c>
      <c r="N89" s="160">
        <f t="shared" si="83"/>
        <v>5.1308</v>
      </c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customHeight="1">
      <c r="A90" s="154">
        <v>3.0</v>
      </c>
      <c r="B90" s="218" t="s">
        <v>66</v>
      </c>
      <c r="C90" s="218">
        <v>95.0</v>
      </c>
      <c r="D90" s="218">
        <v>202.0</v>
      </c>
      <c r="E90" s="218">
        <v>150.0</v>
      </c>
      <c r="F90" s="218">
        <f t="shared" si="77"/>
        <v>0.5</v>
      </c>
      <c r="G90" s="218">
        <f t="shared" si="78"/>
        <v>0</v>
      </c>
      <c r="H90" s="219">
        <f t="shared" si="79"/>
        <v>0</v>
      </c>
      <c r="I90" s="215">
        <v>1.0</v>
      </c>
      <c r="J90" s="194">
        <f t="shared" si="80"/>
        <v>0</v>
      </c>
      <c r="K90" s="139"/>
      <c r="L90" s="176">
        <f t="shared" si="81"/>
        <v>5.1308</v>
      </c>
      <c r="M90" s="160">
        <f t="shared" si="82"/>
        <v>1</v>
      </c>
      <c r="N90" s="160">
        <f t="shared" si="83"/>
        <v>5.1308</v>
      </c>
      <c r="O90" s="139"/>
      <c r="P90" s="139"/>
      <c r="Q90" s="139"/>
      <c r="R90" s="139"/>
      <c r="S90" s="220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54">
        <v>4.0</v>
      </c>
      <c r="B91" s="218" t="s">
        <v>92</v>
      </c>
      <c r="C91" s="218">
        <v>88.0</v>
      </c>
      <c r="D91" s="218">
        <v>208.0</v>
      </c>
      <c r="E91" s="218">
        <v>283.0</v>
      </c>
      <c r="F91" s="218">
        <f t="shared" si="77"/>
        <v>0.2</v>
      </c>
      <c r="G91" s="218">
        <f t="shared" si="78"/>
        <v>0</v>
      </c>
      <c r="H91" s="219">
        <f t="shared" si="79"/>
        <v>0</v>
      </c>
      <c r="I91" s="215">
        <v>1.0</v>
      </c>
      <c r="J91" s="194">
        <f t="shared" si="80"/>
        <v>0</v>
      </c>
      <c r="K91" s="139"/>
      <c r="L91" s="176">
        <f t="shared" si="81"/>
        <v>5.2832</v>
      </c>
      <c r="M91" s="160">
        <f t="shared" si="82"/>
        <v>1</v>
      </c>
      <c r="N91" s="160">
        <f t="shared" si="83"/>
        <v>5.2832</v>
      </c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54">
        <v>5.0</v>
      </c>
      <c r="B92" s="218" t="s">
        <v>181</v>
      </c>
      <c r="C92" s="218">
        <v>90.0</v>
      </c>
      <c r="D92" s="218">
        <v>204.0</v>
      </c>
      <c r="E92" s="218">
        <v>144.0</v>
      </c>
      <c r="F92" s="218">
        <f t="shared" si="77"/>
        <v>0.2</v>
      </c>
      <c r="G92" s="218">
        <f t="shared" si="78"/>
        <v>0</v>
      </c>
      <c r="H92" s="219">
        <f t="shared" si="79"/>
        <v>0</v>
      </c>
      <c r="I92" s="215">
        <v>1.0</v>
      </c>
      <c r="J92" s="194">
        <f t="shared" si="80"/>
        <v>0</v>
      </c>
      <c r="K92" s="139"/>
      <c r="L92" s="176">
        <f t="shared" si="81"/>
        <v>5.1816</v>
      </c>
      <c r="M92" s="160">
        <f t="shared" si="82"/>
        <v>1</v>
      </c>
      <c r="N92" s="160">
        <f t="shared" si="83"/>
        <v>5.1816</v>
      </c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54">
        <v>6.0</v>
      </c>
      <c r="B93" s="218" t="s">
        <v>116</v>
      </c>
      <c r="C93" s="218">
        <v>79.0</v>
      </c>
      <c r="D93" s="218">
        <v>204.0</v>
      </c>
      <c r="E93" s="218">
        <v>169.0</v>
      </c>
      <c r="F93" s="218">
        <f t="shared" si="77"/>
        <v>0.2</v>
      </c>
      <c r="G93" s="218">
        <f t="shared" si="78"/>
        <v>0</v>
      </c>
      <c r="H93" s="219">
        <f t="shared" si="79"/>
        <v>0</v>
      </c>
      <c r="I93" s="215">
        <v>1.0</v>
      </c>
      <c r="J93" s="194">
        <f t="shared" si="80"/>
        <v>0</v>
      </c>
      <c r="K93" s="139"/>
      <c r="L93" s="139">
        <f t="shared" si="81"/>
        <v>5.1816</v>
      </c>
      <c r="M93" s="221"/>
      <c r="N93" s="221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customHeight="1">
      <c r="A94" s="154">
        <v>7.0</v>
      </c>
      <c r="B94" s="218" t="s">
        <v>223</v>
      </c>
      <c r="C94" s="218">
        <v>75.0</v>
      </c>
      <c r="D94" s="218">
        <v>204.0</v>
      </c>
      <c r="E94" s="218">
        <v>178.0</v>
      </c>
      <c r="F94" s="218">
        <f t="shared" si="77"/>
        <v>0.2</v>
      </c>
      <c r="G94" s="218">
        <f t="shared" si="78"/>
        <v>0</v>
      </c>
      <c r="H94" s="219">
        <f t="shared" si="79"/>
        <v>0</v>
      </c>
      <c r="I94" s="215">
        <v>1.0</v>
      </c>
      <c r="J94" s="194">
        <f t="shared" si="80"/>
        <v>0</v>
      </c>
      <c r="K94" s="139"/>
      <c r="L94" s="139">
        <f t="shared" si="81"/>
        <v>5.1816</v>
      </c>
      <c r="M94" s="221"/>
      <c r="N94" s="221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4.75" customHeight="1">
      <c r="A95" s="160"/>
      <c r="B95" s="197"/>
      <c r="C95" s="197"/>
      <c r="D95" s="197"/>
      <c r="E95" s="197"/>
      <c r="F95" s="197"/>
      <c r="G95" s="197"/>
      <c r="H95" s="269" t="s">
        <v>38</v>
      </c>
      <c r="I95" s="197"/>
      <c r="J95" s="226">
        <f>SUM(J88:J94)</f>
        <v>0</v>
      </c>
      <c r="K95" s="139"/>
      <c r="L95" s="139"/>
      <c r="M95" s="139"/>
      <c r="N95" s="139"/>
      <c r="O95" s="139"/>
      <c r="P95" s="139"/>
      <c r="Q95" s="139"/>
      <c r="R95" s="141"/>
      <c r="S95" s="227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18.75" customHeight="1">
      <c r="A96" s="174"/>
      <c r="B96" s="144"/>
      <c r="C96" s="144"/>
      <c r="D96" s="144"/>
      <c r="E96" s="144"/>
      <c r="F96" s="144"/>
      <c r="G96" s="144"/>
      <c r="H96" s="145"/>
      <c r="I96" s="144"/>
      <c r="J96" s="175"/>
      <c r="K96" s="139"/>
      <c r="L96" s="139"/>
      <c r="M96" s="139"/>
      <c r="N96" s="139"/>
      <c r="O96" s="139"/>
      <c r="P96" s="139"/>
      <c r="Q96" s="139"/>
      <c r="R96" s="141"/>
      <c r="S96" s="227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18.75" customHeight="1">
      <c r="A97" s="139"/>
      <c r="B97" s="139"/>
      <c r="C97" s="139"/>
      <c r="D97" s="139"/>
      <c r="E97" s="139"/>
      <c r="F97" s="139"/>
      <c r="G97" s="139"/>
      <c r="H97" s="140"/>
      <c r="I97" s="139"/>
      <c r="J97" s="139"/>
      <c r="K97" s="139"/>
      <c r="L97" s="139"/>
      <c r="M97" s="139"/>
      <c r="N97" s="139"/>
      <c r="O97" s="139"/>
      <c r="P97" s="139"/>
      <c r="Q97" s="139"/>
      <c r="R97" s="141"/>
      <c r="S97" s="227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18.75" customHeight="1">
      <c r="A98" s="139"/>
      <c r="B98" s="139"/>
      <c r="C98" s="139"/>
      <c r="D98" s="139"/>
      <c r="E98" s="139"/>
      <c r="F98" s="139"/>
      <c r="G98" s="139"/>
      <c r="H98" s="140"/>
      <c r="I98" s="139"/>
      <c r="J98" s="139"/>
      <c r="K98" s="139"/>
      <c r="L98" s="139"/>
      <c r="M98" s="139"/>
      <c r="N98" s="139"/>
      <c r="O98" s="139"/>
      <c r="P98" s="139"/>
      <c r="Q98" s="139"/>
      <c r="R98" s="227"/>
      <c r="S98" s="227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18.75" customHeight="1">
      <c r="A99" s="139" t="s">
        <v>39</v>
      </c>
      <c r="B99" s="139"/>
      <c r="C99" s="139"/>
      <c r="D99" s="139"/>
      <c r="E99" s="139"/>
      <c r="F99" s="139"/>
      <c r="G99" s="139"/>
      <c r="H99" s="140"/>
      <c r="I99" s="139"/>
      <c r="J99" s="139"/>
      <c r="K99" s="139"/>
      <c r="L99" s="139"/>
      <c r="M99" s="139"/>
      <c r="N99" s="139"/>
      <c r="O99" s="139"/>
      <c r="P99" s="139"/>
      <c r="Q99" s="139"/>
      <c r="R99" s="227"/>
      <c r="S99" s="227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18.75" customHeight="1">
      <c r="A100" s="139"/>
      <c r="B100" s="139"/>
      <c r="C100" s="139"/>
      <c r="D100" s="139"/>
      <c r="E100" s="139"/>
      <c r="F100" s="139"/>
      <c r="G100" s="139"/>
      <c r="H100" s="140"/>
      <c r="I100" s="139"/>
      <c r="J100" s="139"/>
      <c r="K100" s="139"/>
      <c r="L100" s="139"/>
      <c r="M100" s="139"/>
      <c r="N100" s="139"/>
      <c r="O100" s="139"/>
      <c r="P100" s="139"/>
      <c r="Q100" s="139"/>
      <c r="R100" s="227"/>
      <c r="S100" s="227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42.0" customHeight="1">
      <c r="A101" s="176"/>
      <c r="B101" s="160" t="s">
        <v>12</v>
      </c>
      <c r="C101" s="177" t="s">
        <v>74</v>
      </c>
      <c r="D101" s="52"/>
      <c r="E101" s="53"/>
      <c r="F101" s="228"/>
      <c r="G101" s="228"/>
      <c r="H101" s="179" t="s">
        <v>14</v>
      </c>
      <c r="I101" s="224" t="s">
        <v>15</v>
      </c>
      <c r="J101" s="160" t="s">
        <v>16</v>
      </c>
      <c r="K101" s="139"/>
      <c r="L101" s="139"/>
      <c r="M101" s="139"/>
      <c r="N101" s="139"/>
      <c r="O101" s="139"/>
      <c r="P101" s="139"/>
      <c r="Q101" s="139"/>
      <c r="R101" s="227"/>
      <c r="S101" s="227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4.75" customHeight="1">
      <c r="A102" s="160">
        <v>1.0</v>
      </c>
      <c r="B102" s="182" t="s">
        <v>56</v>
      </c>
      <c r="C102" s="181"/>
      <c r="D102" s="181"/>
      <c r="E102" s="181"/>
      <c r="F102" s="181"/>
      <c r="G102" s="181"/>
      <c r="H102" s="232">
        <v>50.0</v>
      </c>
      <c r="I102" s="181">
        <v>1.0</v>
      </c>
      <c r="J102" s="194">
        <f t="shared" ref="J102:J113" si="84">+I102*H102</f>
        <v>50</v>
      </c>
      <c r="K102" s="176"/>
      <c r="L102" s="176"/>
      <c r="M102" s="176"/>
      <c r="N102" s="176"/>
      <c r="O102" s="176"/>
      <c r="P102" s="176"/>
      <c r="Q102" s="284"/>
      <c r="R102" s="227"/>
      <c r="S102" s="227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4.75" customHeight="1">
      <c r="A103" s="160">
        <v>2.0</v>
      </c>
      <c r="B103" s="191" t="s">
        <v>56</v>
      </c>
      <c r="C103" s="181"/>
      <c r="D103" s="181"/>
      <c r="E103" s="181"/>
      <c r="F103" s="181"/>
      <c r="G103" s="181"/>
      <c r="H103" s="232">
        <v>26.0</v>
      </c>
      <c r="I103" s="181">
        <v>1.0</v>
      </c>
      <c r="J103" s="194">
        <f t="shared" si="84"/>
        <v>26</v>
      </c>
      <c r="K103" s="176"/>
      <c r="L103" s="176"/>
      <c r="M103" s="176"/>
      <c r="N103" s="176"/>
      <c r="O103" s="176"/>
      <c r="P103" s="176"/>
      <c r="Q103" s="284"/>
      <c r="R103" s="227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4.75" customHeight="1">
      <c r="A104" s="160">
        <v>3.0</v>
      </c>
      <c r="B104" s="182" t="s">
        <v>56</v>
      </c>
      <c r="C104" s="181"/>
      <c r="D104" s="181"/>
      <c r="E104" s="181"/>
      <c r="F104" s="181"/>
      <c r="G104" s="181"/>
      <c r="H104" s="232">
        <v>55.0</v>
      </c>
      <c r="I104" s="181">
        <v>1.0</v>
      </c>
      <c r="J104" s="194">
        <f t="shared" si="84"/>
        <v>55</v>
      </c>
      <c r="K104" s="176"/>
      <c r="L104" s="176"/>
      <c r="M104" s="176"/>
      <c r="N104" s="176"/>
      <c r="O104" s="176"/>
      <c r="P104" s="176"/>
      <c r="Q104" s="284"/>
      <c r="R104" s="227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4.75" customHeight="1">
      <c r="A105" s="160">
        <v>4.0</v>
      </c>
      <c r="B105" s="191" t="s">
        <v>55</v>
      </c>
      <c r="C105" s="181"/>
      <c r="D105" s="181"/>
      <c r="E105" s="181"/>
      <c r="F105" s="181"/>
      <c r="G105" s="181"/>
      <c r="H105" s="232">
        <v>26.0</v>
      </c>
      <c r="I105" s="181">
        <v>1.0</v>
      </c>
      <c r="J105" s="194">
        <f t="shared" si="84"/>
        <v>26</v>
      </c>
      <c r="K105" s="176"/>
      <c r="L105" s="176"/>
      <c r="M105" s="176"/>
      <c r="N105" s="176"/>
      <c r="O105" s="176"/>
      <c r="P105" s="176"/>
      <c r="Q105" s="284"/>
      <c r="R105" s="227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4.75" customHeight="1">
      <c r="A106" s="160">
        <v>5.0</v>
      </c>
      <c r="B106" s="182" t="s">
        <v>84</v>
      </c>
      <c r="C106" s="181"/>
      <c r="D106" s="181"/>
      <c r="E106" s="181"/>
      <c r="F106" s="181"/>
      <c r="G106" s="181"/>
      <c r="H106" s="232">
        <v>63.0</v>
      </c>
      <c r="I106" s="181">
        <v>1.0</v>
      </c>
      <c r="J106" s="194">
        <f t="shared" si="84"/>
        <v>63</v>
      </c>
      <c r="K106" s="176"/>
      <c r="L106" s="176"/>
      <c r="M106" s="176"/>
      <c r="N106" s="176"/>
      <c r="O106" s="176"/>
      <c r="P106" s="176"/>
      <c r="Q106" s="284"/>
      <c r="R106" s="227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4.75" customHeight="1">
      <c r="A107" s="160">
        <v>6.0</v>
      </c>
      <c r="B107" s="191" t="s">
        <v>84</v>
      </c>
      <c r="C107" s="181"/>
      <c r="D107" s="181"/>
      <c r="E107" s="181"/>
      <c r="F107" s="181"/>
      <c r="G107" s="181"/>
      <c r="H107" s="232">
        <v>27.0</v>
      </c>
      <c r="I107" s="181">
        <v>1.0</v>
      </c>
      <c r="J107" s="194">
        <f t="shared" si="84"/>
        <v>27</v>
      </c>
      <c r="K107" s="176"/>
      <c r="L107" s="176"/>
      <c r="M107" s="176"/>
      <c r="N107" s="176"/>
      <c r="O107" s="176"/>
      <c r="P107" s="176"/>
      <c r="Q107" s="284"/>
      <c r="R107" s="227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4.75" customHeight="1">
      <c r="A108" s="160">
        <v>7.0</v>
      </c>
      <c r="B108" s="182" t="s">
        <v>174</v>
      </c>
      <c r="C108" s="181"/>
      <c r="D108" s="181"/>
      <c r="E108" s="181"/>
      <c r="F108" s="181"/>
      <c r="G108" s="181"/>
      <c r="H108" s="232">
        <v>50.0</v>
      </c>
      <c r="I108" s="181">
        <v>1.0</v>
      </c>
      <c r="J108" s="194">
        <f t="shared" si="84"/>
        <v>50</v>
      </c>
      <c r="K108" s="176"/>
      <c r="L108" s="176"/>
      <c r="M108" s="176"/>
      <c r="N108" s="176"/>
      <c r="O108" s="176"/>
      <c r="P108" s="176"/>
      <c r="Q108" s="284"/>
      <c r="R108" s="227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4.75" customHeight="1">
      <c r="A109" s="160">
        <v>8.0</v>
      </c>
      <c r="B109" s="191" t="s">
        <v>174</v>
      </c>
      <c r="C109" s="181"/>
      <c r="D109" s="181"/>
      <c r="E109" s="181"/>
      <c r="F109" s="181"/>
      <c r="G109" s="181"/>
      <c r="H109" s="232">
        <v>18.0</v>
      </c>
      <c r="I109" s="181">
        <v>1.0</v>
      </c>
      <c r="J109" s="194">
        <f t="shared" si="84"/>
        <v>18</v>
      </c>
      <c r="K109" s="176"/>
      <c r="L109" s="176"/>
      <c r="M109" s="176"/>
      <c r="N109" s="176"/>
      <c r="O109" s="176"/>
      <c r="P109" s="176"/>
      <c r="Q109" s="284"/>
      <c r="R109" s="227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4.75" customHeight="1">
      <c r="A110" s="160">
        <v>9.0</v>
      </c>
      <c r="B110" s="182" t="s">
        <v>110</v>
      </c>
      <c r="C110" s="181"/>
      <c r="D110" s="181"/>
      <c r="E110" s="181"/>
      <c r="F110" s="181"/>
      <c r="G110" s="181"/>
      <c r="H110" s="232">
        <v>36.0</v>
      </c>
      <c r="I110" s="181">
        <v>1.0</v>
      </c>
      <c r="J110" s="194">
        <f t="shared" si="84"/>
        <v>36</v>
      </c>
      <c r="K110" s="176"/>
      <c r="L110" s="176"/>
      <c r="M110" s="176"/>
      <c r="N110" s="176"/>
      <c r="O110" s="176"/>
      <c r="P110" s="176"/>
      <c r="Q110" s="284"/>
      <c r="R110" s="227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4.75" customHeight="1">
      <c r="A111" s="160">
        <v>10.0</v>
      </c>
      <c r="B111" s="191" t="s">
        <v>110</v>
      </c>
      <c r="C111" s="181"/>
      <c r="D111" s="181"/>
      <c r="E111" s="181"/>
      <c r="F111" s="181"/>
      <c r="G111" s="181"/>
      <c r="H111" s="232">
        <v>18.0</v>
      </c>
      <c r="I111" s="181">
        <v>1.0</v>
      </c>
      <c r="J111" s="194">
        <f t="shared" si="84"/>
        <v>18</v>
      </c>
      <c r="K111" s="176"/>
      <c r="L111" s="176"/>
      <c r="M111" s="176"/>
      <c r="N111" s="176"/>
      <c r="O111" s="176"/>
      <c r="P111" s="176"/>
      <c r="Q111" s="284"/>
      <c r="R111" s="227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4.75" customHeight="1">
      <c r="A112" s="160">
        <v>11.0</v>
      </c>
      <c r="B112" s="182" t="s">
        <v>221</v>
      </c>
      <c r="C112" s="181"/>
      <c r="D112" s="181"/>
      <c r="E112" s="181"/>
      <c r="F112" s="181"/>
      <c r="G112" s="181"/>
      <c r="H112" s="232">
        <v>30.0</v>
      </c>
      <c r="I112" s="181">
        <v>1.0</v>
      </c>
      <c r="J112" s="194">
        <f t="shared" si="84"/>
        <v>30</v>
      </c>
      <c r="K112" s="176"/>
      <c r="L112" s="176"/>
      <c r="M112" s="176"/>
      <c r="N112" s="176"/>
      <c r="O112" s="176"/>
      <c r="P112" s="176"/>
      <c r="Q112" s="284"/>
      <c r="R112" s="227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4.75" customHeight="1">
      <c r="A113" s="160">
        <v>12.0</v>
      </c>
      <c r="B113" s="191" t="s">
        <v>221</v>
      </c>
      <c r="C113" s="181"/>
      <c r="D113" s="181"/>
      <c r="E113" s="181"/>
      <c r="F113" s="181"/>
      <c r="G113" s="181"/>
      <c r="H113" s="232">
        <v>20.0</v>
      </c>
      <c r="I113" s="181">
        <v>1.0</v>
      </c>
      <c r="J113" s="194">
        <f t="shared" si="84"/>
        <v>20</v>
      </c>
      <c r="K113" s="176"/>
      <c r="L113" s="176"/>
      <c r="M113" s="176"/>
      <c r="N113" s="176"/>
      <c r="O113" s="176"/>
      <c r="P113" s="176"/>
      <c r="Q113" s="284"/>
      <c r="R113" s="227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18.75" customHeight="1">
      <c r="A114" s="139"/>
      <c r="B114" s="139"/>
      <c r="C114" s="139"/>
      <c r="D114" s="139"/>
      <c r="E114" s="139"/>
      <c r="F114" s="139"/>
      <c r="G114" s="139"/>
      <c r="H114" s="140" t="s">
        <v>38</v>
      </c>
      <c r="I114" s="139"/>
      <c r="J114" s="235">
        <f>SUM(J102:J113)</f>
        <v>419</v>
      </c>
      <c r="K114" s="236"/>
      <c r="L114" s="236"/>
      <c r="M114" s="236"/>
      <c r="N114" s="236"/>
      <c r="O114" s="236"/>
      <c r="P114" s="236"/>
      <c r="Q114" s="236"/>
      <c r="R114" s="139"/>
      <c r="S114" s="227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18.75" customHeight="1">
      <c r="A115" s="144"/>
      <c r="B115" s="144"/>
      <c r="C115" s="144"/>
      <c r="D115" s="144"/>
      <c r="E115" s="144"/>
      <c r="F115" s="144"/>
      <c r="G115" s="144"/>
      <c r="H115" s="145"/>
      <c r="I115" s="173"/>
      <c r="J115" s="205">
        <f>+J114*60%</f>
        <v>251.4</v>
      </c>
      <c r="K115" s="205"/>
      <c r="L115" s="205"/>
      <c r="M115" s="205"/>
      <c r="N115" s="205"/>
      <c r="O115" s="205"/>
      <c r="P115" s="205"/>
      <c r="Q115" s="205">
        <f>+J114*40%</f>
        <v>167.6</v>
      </c>
      <c r="R115" s="139"/>
      <c r="S115" s="227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18.75" customHeight="1">
      <c r="A116" s="139"/>
      <c r="B116" s="139"/>
      <c r="C116" s="139"/>
      <c r="D116" s="139"/>
      <c r="E116" s="139"/>
      <c r="F116" s="139"/>
      <c r="G116" s="139"/>
      <c r="H116" s="140"/>
      <c r="I116" s="139"/>
      <c r="J116" s="139"/>
      <c r="K116" s="139"/>
      <c r="L116" s="139"/>
      <c r="M116" s="139"/>
      <c r="N116" s="139"/>
      <c r="O116" s="139"/>
      <c r="P116" s="139"/>
      <c r="Q116" s="139"/>
      <c r="R116" s="139"/>
      <c r="S116" s="227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18.75" customHeight="1">
      <c r="A117" s="139"/>
      <c r="B117" s="139"/>
      <c r="C117" s="139"/>
      <c r="D117" s="139"/>
      <c r="E117" s="139"/>
      <c r="F117" s="139"/>
      <c r="G117" s="139"/>
      <c r="H117" s="140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227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19.5" customHeight="1">
      <c r="A118" s="238" t="s">
        <v>41</v>
      </c>
      <c r="B118" s="139"/>
      <c r="C118" s="139"/>
      <c r="D118" s="139"/>
      <c r="E118" s="139"/>
      <c r="F118" s="139"/>
      <c r="G118" s="139"/>
      <c r="H118" s="140"/>
      <c r="I118" s="139"/>
      <c r="J118" s="139"/>
      <c r="K118" s="139"/>
      <c r="L118" s="139"/>
      <c r="M118" s="139"/>
      <c r="N118" s="139"/>
      <c r="O118" s="139"/>
      <c r="P118" s="139"/>
      <c r="Q118" s="139"/>
      <c r="R118" s="139"/>
      <c r="S118" s="227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57.0" customHeight="1">
      <c r="A119" s="239"/>
      <c r="B119" s="240" t="s">
        <v>42</v>
      </c>
      <c r="C119" s="240" t="s">
        <v>43</v>
      </c>
      <c r="D119" s="240" t="s">
        <v>44</v>
      </c>
      <c r="E119" s="240" t="s">
        <v>45</v>
      </c>
      <c r="F119" s="240"/>
      <c r="G119" s="240"/>
      <c r="H119" s="241" t="s">
        <v>46</v>
      </c>
      <c r="I119" s="242" t="s">
        <v>47</v>
      </c>
      <c r="J119" s="139"/>
      <c r="K119" s="139"/>
      <c r="L119" s="139"/>
      <c r="M119" s="139"/>
      <c r="N119" s="139"/>
      <c r="O119" s="139"/>
      <c r="P119" s="139"/>
      <c r="Q119" s="139"/>
      <c r="R119" s="141"/>
      <c r="S119" s="227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18.75" customHeight="1">
      <c r="A120" s="243" t="s">
        <v>48</v>
      </c>
      <c r="B120" s="244">
        <f>+E15</f>
        <v>37386.8361</v>
      </c>
      <c r="C120" s="245">
        <f>+J81</f>
        <v>33137.66063</v>
      </c>
      <c r="D120" s="245">
        <f>+J95</f>
        <v>0</v>
      </c>
      <c r="E120" s="246">
        <f>J115</f>
        <v>251.4</v>
      </c>
      <c r="F120" s="246"/>
      <c r="G120" s="246"/>
      <c r="H120" s="247">
        <f>+I15</f>
        <v>616.5467821</v>
      </c>
      <c r="I120" s="248">
        <f>+B120-C120-D120-E120-H120</f>
        <v>3381.228687</v>
      </c>
      <c r="J120" s="139"/>
      <c r="K120" s="139"/>
      <c r="L120" s="139"/>
      <c r="M120" s="139"/>
      <c r="N120" s="139"/>
      <c r="O120" s="139"/>
      <c r="P120" s="139"/>
      <c r="Q120" s="139"/>
      <c r="R120" s="141"/>
      <c r="S120" s="227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19.5" customHeight="1">
      <c r="A121" s="249" t="s">
        <v>49</v>
      </c>
      <c r="B121" s="250"/>
      <c r="C121" s="251">
        <f>+C120/B120</f>
        <v>0.8863456791</v>
      </c>
      <c r="D121" s="251">
        <f>+D120/B120</f>
        <v>0</v>
      </c>
      <c r="E121" s="251">
        <f>+E120/B120</f>
        <v>0.006724291923</v>
      </c>
      <c r="F121" s="251"/>
      <c r="G121" s="251"/>
      <c r="H121" s="252">
        <f>+H120/B120</f>
        <v>0.01649101252</v>
      </c>
      <c r="I121" s="253">
        <f>+I120/B120</f>
        <v>0.09043901651</v>
      </c>
      <c r="J121" s="139"/>
      <c r="K121" s="139"/>
      <c r="L121" s="139"/>
      <c r="M121" s="139"/>
      <c r="N121" s="139"/>
      <c r="O121" s="139"/>
      <c r="P121" s="139"/>
      <c r="Q121" s="139"/>
      <c r="R121" s="141"/>
      <c r="S121" s="227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19.5" customHeight="1">
      <c r="A122" s="163"/>
      <c r="B122" s="221"/>
      <c r="C122" s="254"/>
      <c r="D122" s="254"/>
      <c r="E122" s="254"/>
      <c r="F122" s="254"/>
      <c r="G122" s="254"/>
      <c r="H122" s="255"/>
      <c r="I122" s="256"/>
      <c r="J122" s="139"/>
      <c r="K122" s="139"/>
      <c r="L122" s="139"/>
      <c r="M122" s="139"/>
      <c r="N122" s="139"/>
      <c r="O122" s="139"/>
      <c r="P122" s="139"/>
      <c r="Q122" s="139"/>
      <c r="R122" s="141"/>
      <c r="S122" s="227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18.75" customHeight="1">
      <c r="A123" s="257"/>
      <c r="B123" s="258"/>
      <c r="C123" s="258"/>
      <c r="D123" s="258" t="s">
        <v>50</v>
      </c>
      <c r="E123" s="258" t="s">
        <v>48</v>
      </c>
      <c r="F123" s="258"/>
      <c r="G123" s="258"/>
      <c r="H123" s="259">
        <f>+D120+E120+H120+I120</f>
        <v>4249.175469</v>
      </c>
      <c r="I123" s="260"/>
      <c r="J123" s="139"/>
      <c r="K123" s="139"/>
      <c r="L123" s="139"/>
      <c r="M123" s="139"/>
      <c r="N123" s="139"/>
      <c r="O123" s="139"/>
      <c r="P123" s="139"/>
      <c r="Q123" s="139"/>
      <c r="R123" s="141"/>
      <c r="S123" s="140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18.75" customHeight="1">
      <c r="A124" s="261"/>
      <c r="B124" s="139"/>
      <c r="C124" s="139"/>
      <c r="D124" s="139"/>
      <c r="E124" s="139" t="s">
        <v>49</v>
      </c>
      <c r="F124" s="139"/>
      <c r="G124" s="139"/>
      <c r="H124" s="255">
        <f>+H123/B120</f>
        <v>0.1136543209</v>
      </c>
      <c r="I124" s="262"/>
      <c r="J124" s="139"/>
      <c r="K124" s="139"/>
      <c r="L124" s="139"/>
      <c r="M124" s="139"/>
      <c r="N124" s="139"/>
      <c r="O124" s="139"/>
      <c r="P124" s="139"/>
      <c r="Q124" s="139"/>
      <c r="R124" s="141"/>
      <c r="S124" s="140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18.75" customHeight="1">
      <c r="A125" s="261"/>
      <c r="B125" s="139"/>
      <c r="C125" s="139" t="s">
        <v>51</v>
      </c>
      <c r="D125" s="139"/>
      <c r="E125" s="139"/>
      <c r="F125" s="139"/>
      <c r="G125" s="139"/>
      <c r="H125" s="140"/>
      <c r="I125" s="262"/>
      <c r="J125" s="139"/>
      <c r="K125" s="139"/>
      <c r="L125" s="139"/>
      <c r="M125" s="139"/>
      <c r="N125" s="139"/>
      <c r="O125" s="139"/>
      <c r="P125" s="139"/>
      <c r="Q125" s="139"/>
      <c r="R125" s="141"/>
      <c r="S125" s="140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18.75" customHeight="1">
      <c r="A126" s="261"/>
      <c r="B126" s="139"/>
      <c r="C126" s="139"/>
      <c r="D126" s="139" t="s">
        <v>52</v>
      </c>
      <c r="E126" s="139"/>
      <c r="F126" s="139"/>
      <c r="G126" s="139"/>
      <c r="H126" s="140">
        <f>+H125*(H123-H120)</f>
        <v>0</v>
      </c>
      <c r="I126" s="262"/>
      <c r="J126" s="139"/>
      <c r="K126" s="139"/>
      <c r="L126" s="139"/>
      <c r="M126" s="139"/>
      <c r="N126" s="139"/>
      <c r="O126" s="139"/>
      <c r="P126" s="139"/>
      <c r="Q126" s="139"/>
      <c r="R126" s="141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19.5" customHeight="1">
      <c r="A127" s="263"/>
      <c r="B127" s="264"/>
      <c r="C127" s="264"/>
      <c r="D127" s="264"/>
      <c r="E127" s="264"/>
      <c r="F127" s="264"/>
      <c r="G127" s="264"/>
      <c r="H127" s="265"/>
      <c r="I127" s="266"/>
      <c r="J127" s="139"/>
      <c r="K127" s="139"/>
      <c r="L127" s="139"/>
      <c r="M127" s="139"/>
      <c r="N127" s="139"/>
      <c r="O127" s="139"/>
      <c r="P127" s="139"/>
      <c r="Q127" s="139"/>
      <c r="R127" s="141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18.75" customHeight="1">
      <c r="A128" s="139"/>
      <c r="B128" s="139"/>
      <c r="C128" s="139"/>
      <c r="D128" s="139"/>
      <c r="E128" s="139"/>
      <c r="F128" s="139"/>
      <c r="G128" s="139"/>
      <c r="H128" s="140"/>
      <c r="I128" s="139"/>
      <c r="J128" s="139"/>
      <c r="K128" s="139"/>
      <c r="L128" s="139"/>
      <c r="M128" s="139"/>
      <c r="N128" s="139"/>
      <c r="O128" s="139"/>
      <c r="P128" s="139"/>
      <c r="Q128" s="139"/>
      <c r="R128" s="141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18.75" customHeight="1">
      <c r="A129" s="139"/>
      <c r="B129" s="139"/>
      <c r="C129" s="139"/>
      <c r="D129" s="139"/>
      <c r="E129" s="139"/>
      <c r="F129" s="139"/>
      <c r="G129" s="139"/>
      <c r="H129" s="140"/>
      <c r="I129" s="139"/>
      <c r="J129" s="139"/>
      <c r="K129" s="139"/>
      <c r="L129" s="139"/>
      <c r="M129" s="139"/>
      <c r="N129" s="139"/>
      <c r="O129" s="139"/>
      <c r="P129" s="139"/>
      <c r="Q129" s="139"/>
      <c r="R129" s="141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18.75" customHeight="1">
      <c r="A130" s="139"/>
      <c r="B130" s="139"/>
      <c r="C130" s="139"/>
      <c r="D130" s="139"/>
      <c r="E130" s="139"/>
      <c r="F130" s="139"/>
      <c r="G130" s="139"/>
      <c r="H130" s="140"/>
      <c r="I130" s="139"/>
      <c r="J130" s="139"/>
      <c r="K130" s="139"/>
      <c r="L130" s="139"/>
      <c r="M130" s="139"/>
      <c r="N130" s="139"/>
      <c r="O130" s="139"/>
      <c r="P130" s="139"/>
      <c r="Q130" s="139"/>
      <c r="R130" s="141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7"/>
      <c r="R131" s="268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7"/>
      <c r="R132" s="268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7"/>
      <c r="R133" s="268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7"/>
      <c r="R134" s="268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7"/>
      <c r="R135" s="268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7"/>
      <c r="R136" s="268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7"/>
      <c r="R137" s="268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7"/>
      <c r="R138" s="268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7"/>
      <c r="R139" s="268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7"/>
      <c r="R140" s="268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7"/>
      <c r="R141" s="268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7"/>
      <c r="R142" s="268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7"/>
      <c r="R143" s="268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7"/>
      <c r="R144" s="268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7"/>
      <c r="R145" s="268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7"/>
      <c r="R146" s="268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7"/>
      <c r="R147" s="268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7"/>
      <c r="R148" s="268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7"/>
      <c r="R149" s="268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7"/>
      <c r="R150" s="268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7"/>
      <c r="R151" s="268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7"/>
      <c r="R152" s="268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7"/>
      <c r="R153" s="268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7"/>
      <c r="R154" s="268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7"/>
      <c r="R155" s="268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7"/>
      <c r="R156" s="268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7"/>
      <c r="R157" s="268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7"/>
      <c r="R158" s="26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7"/>
      <c r="R159" s="26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7"/>
      <c r="R160" s="26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7"/>
      <c r="R161" s="26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7"/>
      <c r="R162" s="26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7"/>
      <c r="R163" s="26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7"/>
      <c r="R164" s="26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7"/>
      <c r="R165" s="26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7"/>
      <c r="R166" s="26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7"/>
      <c r="R167" s="26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7"/>
      <c r="R168" s="26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7"/>
      <c r="R169" s="26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7"/>
      <c r="R170" s="26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7"/>
      <c r="R171" s="26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7"/>
      <c r="R172" s="26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7"/>
      <c r="R173" s="26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7"/>
      <c r="R174" s="26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7"/>
      <c r="R175" s="26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7"/>
      <c r="R176" s="26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7"/>
      <c r="R177" s="26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7"/>
      <c r="R178" s="26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7"/>
      <c r="R179" s="26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7"/>
      <c r="R180" s="26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7"/>
      <c r="R181" s="26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7"/>
      <c r="R182" s="26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7"/>
      <c r="R183" s="26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7"/>
      <c r="R184" s="26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7"/>
      <c r="R185" s="26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7"/>
      <c r="R186" s="26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7"/>
      <c r="R187" s="26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7"/>
      <c r="R188" s="26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7"/>
      <c r="R189" s="26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7"/>
      <c r="R190" s="26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7"/>
      <c r="R191" s="26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7"/>
      <c r="R192" s="26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7"/>
      <c r="R193" s="26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7"/>
      <c r="R194" s="26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7"/>
      <c r="R252" s="26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7"/>
      <c r="R253" s="26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7"/>
      <c r="R254" s="26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7"/>
      <c r="R255" s="26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7"/>
      <c r="R256" s="26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7"/>
      <c r="R257" s="26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7"/>
      <c r="R258" s="26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7"/>
      <c r="R259" s="26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7"/>
      <c r="R260" s="26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7"/>
      <c r="R261" s="26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7"/>
      <c r="R262" s="26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7"/>
      <c r="R263" s="26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7"/>
      <c r="R264" s="26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7"/>
      <c r="R265" s="26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7"/>
      <c r="R266" s="26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7"/>
      <c r="R267" s="26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7"/>
      <c r="R268" s="26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7"/>
      <c r="R269" s="26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7"/>
      <c r="R270" s="26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7"/>
      <c r="R271" s="26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7"/>
      <c r="R272" s="26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7"/>
      <c r="R273" s="26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7"/>
      <c r="R274" s="26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7"/>
      <c r="R275" s="26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7"/>
      <c r="R276" s="26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7"/>
      <c r="R277" s="26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7"/>
      <c r="R278" s="26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7"/>
      <c r="R279" s="26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7"/>
      <c r="R280" s="26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7"/>
      <c r="R281" s="26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7"/>
      <c r="R282" s="26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7"/>
      <c r="R283" s="26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7"/>
      <c r="R284" s="26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7"/>
      <c r="R285" s="26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7"/>
      <c r="R286" s="26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7"/>
      <c r="R287" s="26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7"/>
      <c r="R288" s="26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7"/>
      <c r="R289" s="26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7"/>
      <c r="R290" s="26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7"/>
      <c r="R291" s="26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7"/>
      <c r="R292" s="26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7"/>
      <c r="R293" s="26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7"/>
      <c r="R294" s="26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7"/>
      <c r="R295" s="26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7"/>
      <c r="R296" s="26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7"/>
      <c r="R297" s="26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7"/>
      <c r="R298" s="26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7"/>
      <c r="R299" s="26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7"/>
      <c r="R300" s="26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7"/>
      <c r="R301" s="26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7"/>
      <c r="R302" s="26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7"/>
      <c r="R303" s="268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7"/>
      <c r="R304" s="268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7"/>
      <c r="R305" s="268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7"/>
      <c r="R306" s="268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7"/>
      <c r="R307" s="268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7"/>
      <c r="R308" s="268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7"/>
      <c r="R309" s="268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7"/>
      <c r="R310" s="268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7"/>
      <c r="R311" s="268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7"/>
      <c r="R312" s="268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7"/>
      <c r="R313" s="268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7"/>
      <c r="R314" s="268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7"/>
      <c r="R315" s="268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7"/>
      <c r="R316" s="268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7"/>
      <c r="R317" s="268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7"/>
      <c r="R318" s="268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7"/>
      <c r="R319" s="268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7"/>
      <c r="R320" s="268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7"/>
      <c r="R321" s="268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7"/>
      <c r="R322" s="268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7"/>
      <c r="R323" s="268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7"/>
      <c r="R324" s="268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7"/>
      <c r="R325" s="268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7"/>
      <c r="R326" s="268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87:E87"/>
    <mergeCell ref="C101:E101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44375.0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224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76</v>
      </c>
      <c r="C8" s="154">
        <v>22.5</v>
      </c>
      <c r="D8" s="155">
        <v>0.1086</v>
      </c>
      <c r="E8" s="156">
        <f>208.59*41</f>
        <v>8552.19</v>
      </c>
      <c r="F8" s="156"/>
      <c r="G8" s="156"/>
      <c r="H8" s="157">
        <v>41.0</v>
      </c>
      <c r="I8" s="158">
        <f>+D8*E8</f>
        <v>928.767834</v>
      </c>
      <c r="J8" s="159">
        <f>E8-I8</f>
        <v>7623.422166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18.75" customHeight="1">
      <c r="A9" s="163"/>
      <c r="B9" s="164"/>
      <c r="C9" s="165"/>
      <c r="D9" s="166"/>
      <c r="E9" s="167">
        <f>SUM(E8)</f>
        <v>8552.19</v>
      </c>
      <c r="F9" s="168"/>
      <c r="G9" s="168"/>
      <c r="H9" s="169"/>
      <c r="I9" s="170">
        <f t="shared" ref="I9:J9" si="1">SUM(I8)</f>
        <v>928.767834</v>
      </c>
      <c r="J9" s="171">
        <f t="shared" si="1"/>
        <v>7623.422166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18.75" customHeight="1">
      <c r="A10" s="172"/>
      <c r="B10" s="144"/>
      <c r="C10" s="144"/>
      <c r="D10" s="173"/>
      <c r="E10" s="174"/>
      <c r="F10" s="151"/>
      <c r="G10" s="151"/>
      <c r="H10" s="147"/>
      <c r="I10" s="175"/>
      <c r="J10" s="139"/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18.75" customHeight="1">
      <c r="A11" s="139"/>
      <c r="B11" s="139"/>
      <c r="C11" s="139"/>
      <c r="D11" s="139"/>
      <c r="E11" s="139"/>
      <c r="F11" s="139"/>
      <c r="G11" s="139"/>
      <c r="H11" s="140"/>
      <c r="I11" s="139"/>
      <c r="J11" s="139"/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18.75" customHeight="1">
      <c r="A12" s="139"/>
      <c r="B12" s="139"/>
      <c r="C12" s="139"/>
      <c r="D12" s="139"/>
      <c r="E12" s="139"/>
      <c r="F12" s="139"/>
      <c r="G12" s="139"/>
      <c r="H12" s="140"/>
      <c r="I12" s="139"/>
      <c r="J12" s="139"/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18.75" customHeight="1">
      <c r="A13" s="139" t="s">
        <v>11</v>
      </c>
      <c r="B13" s="139"/>
      <c r="C13" s="139"/>
      <c r="D13" s="139"/>
      <c r="E13" s="139"/>
      <c r="F13" s="139"/>
      <c r="G13" s="139"/>
      <c r="H13" s="140"/>
      <c r="I13" s="139"/>
      <c r="J13" s="139"/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40.5" customHeight="1">
      <c r="A15" s="176"/>
      <c r="B15" s="160" t="s">
        <v>12</v>
      </c>
      <c r="C15" s="177" t="s">
        <v>62</v>
      </c>
      <c r="D15" s="52"/>
      <c r="E15" s="53"/>
      <c r="F15" s="178"/>
      <c r="G15" s="178"/>
      <c r="H15" s="179" t="s">
        <v>14</v>
      </c>
      <c r="I15" s="160" t="s">
        <v>15</v>
      </c>
      <c r="J15" s="160" t="s">
        <v>16</v>
      </c>
      <c r="K15" s="139"/>
      <c r="L15" s="160" t="s">
        <v>17</v>
      </c>
      <c r="M15" s="160" t="s">
        <v>15</v>
      </c>
      <c r="N15" s="176" t="s">
        <v>18</v>
      </c>
      <c r="O15" s="139"/>
      <c r="P15" s="139"/>
      <c r="Q15" s="176" t="s">
        <v>129</v>
      </c>
      <c r="R15" s="180"/>
      <c r="S15" s="160" t="s">
        <v>17</v>
      </c>
      <c r="T15" s="160" t="s">
        <v>15</v>
      </c>
      <c r="U15" s="176" t="s">
        <v>18</v>
      </c>
      <c r="V15" s="139"/>
      <c r="W15" s="176" t="s">
        <v>19</v>
      </c>
      <c r="X15" s="176" t="s">
        <v>20</v>
      </c>
      <c r="Y15" s="176" t="s">
        <v>21</v>
      </c>
      <c r="Z15" s="176" t="s">
        <v>225</v>
      </c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27.0" customHeight="1">
      <c r="A16" s="160">
        <v>1.0</v>
      </c>
      <c r="B16" s="182" t="s">
        <v>79</v>
      </c>
      <c r="C16" s="191">
        <v>99.0</v>
      </c>
      <c r="D16" s="191">
        <v>207.0</v>
      </c>
      <c r="E16" s="277">
        <v>2900.0</v>
      </c>
      <c r="F16" s="277">
        <f t="shared" ref="F16:F20" si="3">VALUE(IF(RIGHT(B16, 1)="%", RIGHT(B16, 3), 0))</f>
        <v>0.8</v>
      </c>
      <c r="G16" s="277">
        <f t="shared" ref="G16:G20" si="4">+R16*C16/100*D16/100*E16/100</f>
        <v>1337.16825</v>
      </c>
      <c r="H16" s="192">
        <f t="shared" ref="H16:H20" si="5">IF(F16=0, G16, F16*G16)</f>
        <v>1069.7346</v>
      </c>
      <c r="I16" s="191">
        <v>5.0</v>
      </c>
      <c r="J16" s="194">
        <f t="shared" ref="J16:J20" si="6">+I16*H16</f>
        <v>5348.673</v>
      </c>
      <c r="K16" s="139"/>
      <c r="L16" s="176">
        <f>D16*25.4/1000</f>
        <v>5.2578</v>
      </c>
      <c r="M16" s="160">
        <f>+I16</f>
        <v>5</v>
      </c>
      <c r="N16" s="160">
        <f>M16*L16</f>
        <v>26.289</v>
      </c>
      <c r="O16" s="139"/>
      <c r="P16" s="139"/>
      <c r="Q16" s="176"/>
      <c r="R16" s="281">
        <v>22.5</v>
      </c>
      <c r="S16" s="176">
        <f t="shared" ref="S16:S21" si="7">E16/100</f>
        <v>29</v>
      </c>
      <c r="T16" s="160">
        <f t="shared" ref="T16:T21" si="8">I16</f>
        <v>5</v>
      </c>
      <c r="U16" s="160">
        <f t="shared" ref="U16:U21" si="9">T16*S16</f>
        <v>145</v>
      </c>
      <c r="V16" s="282">
        <f t="shared" ref="V16:V20" si="10">R16*C16/100*D16/100*E16/100</f>
        <v>1337.16825</v>
      </c>
      <c r="W16" s="176">
        <f t="shared" ref="W16:X16" si="2">C16/100</f>
        <v>0.99</v>
      </c>
      <c r="X16" s="176">
        <f t="shared" si="2"/>
        <v>2.07</v>
      </c>
      <c r="Y16" s="176">
        <f t="shared" ref="Y16:Y21" si="12">U16</f>
        <v>145</v>
      </c>
      <c r="Z16" s="283">
        <f t="shared" ref="Z16:Z21" si="13">W16*X16*Y16</f>
        <v>297.1485</v>
      </c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27.0" customHeight="1">
      <c r="A17" s="160">
        <v>2.0</v>
      </c>
      <c r="B17" s="191" t="s">
        <v>76</v>
      </c>
      <c r="C17" s="191">
        <v>99.0</v>
      </c>
      <c r="D17" s="191">
        <v>207.0</v>
      </c>
      <c r="E17" s="191">
        <v>287.0</v>
      </c>
      <c r="F17" s="191">
        <f t="shared" si="3"/>
        <v>0</v>
      </c>
      <c r="G17" s="191">
        <f t="shared" si="4"/>
        <v>132.3335475</v>
      </c>
      <c r="H17" s="192">
        <f t="shared" si="5"/>
        <v>132.3335475</v>
      </c>
      <c r="I17" s="191">
        <v>3.0</v>
      </c>
      <c r="J17" s="194">
        <f t="shared" si="6"/>
        <v>397.0006425</v>
      </c>
      <c r="K17" s="139"/>
      <c r="L17" s="176"/>
      <c r="M17" s="160"/>
      <c r="N17" s="160"/>
      <c r="O17" s="139"/>
      <c r="P17" s="139"/>
      <c r="Q17" s="176">
        <v>135.0</v>
      </c>
      <c r="R17" s="281">
        <v>22.5</v>
      </c>
      <c r="S17" s="176">
        <f t="shared" si="7"/>
        <v>2.87</v>
      </c>
      <c r="T17" s="160">
        <f t="shared" si="8"/>
        <v>3</v>
      </c>
      <c r="U17" s="160">
        <f t="shared" si="9"/>
        <v>8.61</v>
      </c>
      <c r="V17" s="282">
        <f t="shared" si="10"/>
        <v>132.3335475</v>
      </c>
      <c r="W17" s="176">
        <f t="shared" ref="W17:X17" si="11">C17/100</f>
        <v>0.99</v>
      </c>
      <c r="X17" s="176">
        <f t="shared" si="11"/>
        <v>2.07</v>
      </c>
      <c r="Y17" s="176">
        <f t="shared" si="12"/>
        <v>8.61</v>
      </c>
      <c r="Z17" s="283">
        <f t="shared" si="13"/>
        <v>17.644473</v>
      </c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27.0" customHeight="1">
      <c r="A18" s="160">
        <v>3.0</v>
      </c>
      <c r="B18" s="191" t="s">
        <v>76</v>
      </c>
      <c r="C18" s="191">
        <v>99.0</v>
      </c>
      <c r="D18" s="191">
        <v>207.0</v>
      </c>
      <c r="E18" s="191">
        <v>289.0</v>
      </c>
      <c r="F18" s="191">
        <f t="shared" si="3"/>
        <v>0</v>
      </c>
      <c r="G18" s="191">
        <f t="shared" si="4"/>
        <v>133.2557325</v>
      </c>
      <c r="H18" s="192">
        <f t="shared" si="5"/>
        <v>133.2557325</v>
      </c>
      <c r="I18" s="191">
        <v>1.0</v>
      </c>
      <c r="J18" s="194">
        <f t="shared" si="6"/>
        <v>133.2557325</v>
      </c>
      <c r="K18" s="139"/>
      <c r="L18" s="176">
        <f t="shared" ref="L18:L20" si="15">D18*25.4/1000</f>
        <v>5.2578</v>
      </c>
      <c r="M18" s="160">
        <f t="shared" ref="M18:M20" si="16">+I18</f>
        <v>1</v>
      </c>
      <c r="N18" s="160">
        <f t="shared" ref="N18:N20" si="17">M18*L18</f>
        <v>5.2578</v>
      </c>
      <c r="O18" s="139"/>
      <c r="P18" s="139"/>
      <c r="Q18" s="176">
        <v>135.0</v>
      </c>
      <c r="R18" s="281">
        <v>22.5</v>
      </c>
      <c r="S18" s="176">
        <f t="shared" si="7"/>
        <v>2.89</v>
      </c>
      <c r="T18" s="160">
        <f t="shared" si="8"/>
        <v>1</v>
      </c>
      <c r="U18" s="160">
        <f t="shared" si="9"/>
        <v>2.89</v>
      </c>
      <c r="V18" s="282">
        <f t="shared" si="10"/>
        <v>133.2557325</v>
      </c>
      <c r="W18" s="176">
        <f t="shared" ref="W18:X18" si="14">C18/100</f>
        <v>0.99</v>
      </c>
      <c r="X18" s="176">
        <f t="shared" si="14"/>
        <v>2.07</v>
      </c>
      <c r="Y18" s="176">
        <f t="shared" si="12"/>
        <v>2.89</v>
      </c>
      <c r="Z18" s="283">
        <f t="shared" si="13"/>
        <v>5.922477</v>
      </c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27.0" customHeight="1">
      <c r="A19" s="160">
        <v>4.0</v>
      </c>
      <c r="B19" s="191" t="s">
        <v>76</v>
      </c>
      <c r="C19" s="191">
        <v>80.0</v>
      </c>
      <c r="D19" s="191">
        <v>207.0</v>
      </c>
      <c r="E19" s="191">
        <v>290.0</v>
      </c>
      <c r="F19" s="191">
        <f t="shared" si="3"/>
        <v>0</v>
      </c>
      <c r="G19" s="191">
        <f t="shared" si="4"/>
        <v>108.054</v>
      </c>
      <c r="H19" s="192">
        <f t="shared" si="5"/>
        <v>108.054</v>
      </c>
      <c r="I19" s="191">
        <v>1.0</v>
      </c>
      <c r="J19" s="194">
        <f t="shared" si="6"/>
        <v>108.054</v>
      </c>
      <c r="K19" s="139"/>
      <c r="L19" s="176">
        <f t="shared" si="15"/>
        <v>5.2578</v>
      </c>
      <c r="M19" s="160">
        <f t="shared" si="16"/>
        <v>1</v>
      </c>
      <c r="N19" s="160">
        <f t="shared" si="17"/>
        <v>5.2578</v>
      </c>
      <c r="O19" s="139"/>
      <c r="P19" s="139"/>
      <c r="Q19" s="176">
        <v>128.0</v>
      </c>
      <c r="R19" s="281">
        <v>22.5</v>
      </c>
      <c r="S19" s="176">
        <f t="shared" si="7"/>
        <v>2.9</v>
      </c>
      <c r="T19" s="160">
        <f t="shared" si="8"/>
        <v>1</v>
      </c>
      <c r="U19" s="160">
        <f t="shared" si="9"/>
        <v>2.9</v>
      </c>
      <c r="V19" s="282">
        <f t="shared" si="10"/>
        <v>108.054</v>
      </c>
      <c r="W19" s="176">
        <f t="shared" ref="W19:X19" si="18">C19/100</f>
        <v>0.8</v>
      </c>
      <c r="X19" s="176">
        <f t="shared" si="18"/>
        <v>2.07</v>
      </c>
      <c r="Y19" s="176">
        <f t="shared" si="12"/>
        <v>2.9</v>
      </c>
      <c r="Z19" s="283">
        <f t="shared" si="13"/>
        <v>4.8024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27.0" customHeight="1">
      <c r="A20" s="160">
        <v>5.0</v>
      </c>
      <c r="B20" s="191" t="s">
        <v>76</v>
      </c>
      <c r="C20" s="191">
        <v>97.0</v>
      </c>
      <c r="D20" s="191">
        <v>207.0</v>
      </c>
      <c r="E20" s="191">
        <v>226.0</v>
      </c>
      <c r="F20" s="191">
        <f t="shared" si="3"/>
        <v>0</v>
      </c>
      <c r="G20" s="191">
        <f t="shared" si="4"/>
        <v>102.101715</v>
      </c>
      <c r="H20" s="192">
        <f t="shared" si="5"/>
        <v>102.101715</v>
      </c>
      <c r="I20" s="191">
        <v>1.0</v>
      </c>
      <c r="J20" s="194">
        <f t="shared" si="6"/>
        <v>102.101715</v>
      </c>
      <c r="K20" s="139"/>
      <c r="L20" s="176">
        <f t="shared" si="15"/>
        <v>5.2578</v>
      </c>
      <c r="M20" s="160">
        <f t="shared" si="16"/>
        <v>1</v>
      </c>
      <c r="N20" s="160">
        <f t="shared" si="17"/>
        <v>5.2578</v>
      </c>
      <c r="O20" s="139"/>
      <c r="P20" s="139"/>
      <c r="Q20" s="176"/>
      <c r="R20" s="281">
        <v>22.5</v>
      </c>
      <c r="S20" s="176">
        <f t="shared" si="7"/>
        <v>2.26</v>
      </c>
      <c r="T20" s="160">
        <f t="shared" si="8"/>
        <v>1</v>
      </c>
      <c r="U20" s="160">
        <f t="shared" si="9"/>
        <v>2.26</v>
      </c>
      <c r="V20" s="282">
        <f t="shared" si="10"/>
        <v>102.101715</v>
      </c>
      <c r="W20" s="176">
        <f t="shared" ref="W20:X20" si="19">C20/100</f>
        <v>0.97</v>
      </c>
      <c r="X20" s="176">
        <f t="shared" si="19"/>
        <v>2.07</v>
      </c>
      <c r="Y20" s="176">
        <f t="shared" si="12"/>
        <v>2.26</v>
      </c>
      <c r="Z20" s="283">
        <f t="shared" si="13"/>
        <v>4.537854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/>
      <c r="B21" s="176"/>
      <c r="C21" s="176"/>
      <c r="D21" s="176"/>
      <c r="E21" s="176"/>
      <c r="F21" s="176"/>
      <c r="G21" s="176"/>
      <c r="H21" s="179"/>
      <c r="I21" s="160"/>
      <c r="J21" s="203">
        <f>+Q40</f>
        <v>19.2</v>
      </c>
      <c r="K21" s="139"/>
      <c r="L21" s="139"/>
      <c r="M21" s="139"/>
      <c r="N21" s="139"/>
      <c r="O21" s="139"/>
      <c r="P21" s="139"/>
      <c r="Q21" s="139"/>
      <c r="R21" s="204"/>
      <c r="S21" s="187">
        <f t="shared" si="7"/>
        <v>0</v>
      </c>
      <c r="T21" s="181" t="str">
        <f t="shared" si="8"/>
        <v/>
      </c>
      <c r="U21" s="181">
        <f t="shared" si="9"/>
        <v>0</v>
      </c>
      <c r="V21" s="186"/>
      <c r="W21" s="187">
        <f t="shared" ref="W21:X21" si="20">C21/100</f>
        <v>0</v>
      </c>
      <c r="X21" s="187">
        <f t="shared" si="20"/>
        <v>0</v>
      </c>
      <c r="Y21" s="187">
        <f t="shared" si="12"/>
        <v>0</v>
      </c>
      <c r="Z21" s="189">
        <f t="shared" si="13"/>
        <v>0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/>
      <c r="B22" s="205"/>
      <c r="C22" s="205"/>
      <c r="D22" s="205"/>
      <c r="E22" s="205"/>
      <c r="F22" s="205"/>
      <c r="G22" s="205"/>
      <c r="H22" s="206"/>
      <c r="I22" s="207">
        <f>SUM(I16:I20)</f>
        <v>11</v>
      </c>
      <c r="J22" s="208">
        <f>SUM(J16:J21)</f>
        <v>6108.28509</v>
      </c>
      <c r="K22" s="209"/>
      <c r="L22" s="209"/>
      <c r="M22" s="209"/>
      <c r="N22" s="209"/>
      <c r="O22" s="209"/>
      <c r="P22" s="209"/>
      <c r="Q22" s="209"/>
      <c r="R22" s="141"/>
      <c r="S22" s="209">
        <f>SUMIFS($T$16:$T$20,$S$16:$S$20,"&gt;=3")</f>
        <v>5</v>
      </c>
      <c r="T22" s="209">
        <f t="shared" ref="T22:U22" si="21">SUM(T16:T20)</f>
        <v>11</v>
      </c>
      <c r="U22" s="209">
        <f t="shared" si="21"/>
        <v>161.66</v>
      </c>
      <c r="V22" s="209"/>
      <c r="W22" s="209"/>
      <c r="X22" s="209"/>
      <c r="Y22" s="209"/>
      <c r="Z22" s="210">
        <f>SUM(Z16:Z21)</f>
        <v>330.055704</v>
      </c>
      <c r="AA22" s="209"/>
      <c r="AB22" s="2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209"/>
      <c r="AQ22" s="209"/>
      <c r="AR22" s="209"/>
      <c r="AS22" s="209"/>
      <c r="AT22" s="209"/>
    </row>
    <row r="23" ht="29.2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86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9.2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204"/>
      <c r="S24" s="139"/>
      <c r="T24" s="139" t="s">
        <v>48</v>
      </c>
      <c r="U24" s="139" t="s">
        <v>72</v>
      </c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9.2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 t="s">
        <v>31</v>
      </c>
      <c r="T25" s="211">
        <f>SUMIFS($J$16:$J$20,$S$16:$S$20,"&gt;=3")</f>
        <v>5348.673</v>
      </c>
      <c r="U25" s="212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9.25" customHeight="1">
      <c r="A26" s="139" t="s">
        <v>32</v>
      </c>
      <c r="B26" s="139"/>
      <c r="C26" s="139"/>
      <c r="D26" s="139" t="s">
        <v>33</v>
      </c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 t="s">
        <v>34</v>
      </c>
      <c r="T26" s="213">
        <f>J22-T25</f>
        <v>759.61209</v>
      </c>
      <c r="U26" s="212">
        <f>+SUMIFS($U$16:$U$20,$S$16:$S$20,"&gt;=3")</f>
        <v>145</v>
      </c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9.2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204"/>
      <c r="S27" s="139"/>
      <c r="T27" s="214">
        <f>+I22</f>
        <v>11</v>
      </c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39.0" customHeight="1">
      <c r="A28" s="176"/>
      <c r="B28" s="160" t="s">
        <v>12</v>
      </c>
      <c r="C28" s="177" t="s">
        <v>73</v>
      </c>
      <c r="D28" s="52"/>
      <c r="E28" s="53"/>
      <c r="F28" s="178"/>
      <c r="G28" s="178"/>
      <c r="H28" s="179" t="s">
        <v>14</v>
      </c>
      <c r="I28" s="160" t="s">
        <v>15</v>
      </c>
      <c r="J28" s="160" t="s">
        <v>16</v>
      </c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54">
        <v>1.0</v>
      </c>
      <c r="B29" s="215" t="s">
        <v>79</v>
      </c>
      <c r="C29" s="215">
        <v>99.0</v>
      </c>
      <c r="D29" s="215">
        <v>207.0</v>
      </c>
      <c r="E29" s="215">
        <v>2900.0</v>
      </c>
      <c r="F29" s="215">
        <f>1-VALUE(IF(RIGHT(B29, 1)="%", RIGHT(B29, 3), 0))</f>
        <v>0.2</v>
      </c>
      <c r="G29" s="215">
        <f>+Q29*C29/100*D29/100*E29/100</f>
        <v>0</v>
      </c>
      <c r="H29" s="216">
        <f>IF(F29=0, G29, F29*G29)</f>
        <v>0</v>
      </c>
      <c r="I29" s="215">
        <v>1.0</v>
      </c>
      <c r="J29" s="217">
        <f>+I29*H29</f>
        <v>0</v>
      </c>
      <c r="K29" s="139"/>
      <c r="L29" s="176">
        <f>D29*25.4/1000</f>
        <v>5.2578</v>
      </c>
      <c r="M29" s="160">
        <f>+I29</f>
        <v>1</v>
      </c>
      <c r="N29" s="160">
        <f>M29*L29</f>
        <v>5.2578</v>
      </c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4.75" customHeight="1">
      <c r="A30" s="160"/>
      <c r="B30" s="197"/>
      <c r="C30" s="197"/>
      <c r="D30" s="197"/>
      <c r="E30" s="197"/>
      <c r="F30" s="197"/>
      <c r="G30" s="197"/>
      <c r="H30" s="269" t="s">
        <v>38</v>
      </c>
      <c r="I30" s="197"/>
      <c r="J30" s="226">
        <f>SUM(J29)</f>
        <v>0</v>
      </c>
      <c r="K30" s="139"/>
      <c r="L30" s="139"/>
      <c r="M30" s="139"/>
      <c r="N30" s="139"/>
      <c r="O30" s="139"/>
      <c r="P30" s="139"/>
      <c r="Q30" s="139"/>
      <c r="R30" s="141"/>
      <c r="S30" s="227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18.75" customHeight="1">
      <c r="A31" s="174"/>
      <c r="B31" s="144"/>
      <c r="C31" s="144"/>
      <c r="D31" s="144"/>
      <c r="E31" s="144"/>
      <c r="F31" s="144"/>
      <c r="G31" s="144"/>
      <c r="H31" s="145"/>
      <c r="I31" s="144"/>
      <c r="J31" s="175"/>
      <c r="K31" s="139"/>
      <c r="L31" s="139"/>
      <c r="M31" s="139"/>
      <c r="N31" s="139"/>
      <c r="O31" s="139"/>
      <c r="P31" s="139"/>
      <c r="Q31" s="139"/>
      <c r="R31" s="141"/>
      <c r="S31" s="227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18.75" customHeight="1">
      <c r="A32" s="139"/>
      <c r="B32" s="139"/>
      <c r="C32" s="139"/>
      <c r="D32" s="139"/>
      <c r="E32" s="139"/>
      <c r="F32" s="139"/>
      <c r="G32" s="139"/>
      <c r="H32" s="140"/>
      <c r="I32" s="139"/>
      <c r="J32" s="139"/>
      <c r="K32" s="139"/>
      <c r="L32" s="139"/>
      <c r="M32" s="139"/>
      <c r="N32" s="139"/>
      <c r="O32" s="139"/>
      <c r="P32" s="139"/>
      <c r="Q32" s="139"/>
      <c r="R32" s="141"/>
      <c r="S32" s="227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18.75" customHeight="1">
      <c r="A33" s="139"/>
      <c r="B33" s="139"/>
      <c r="C33" s="139"/>
      <c r="D33" s="139"/>
      <c r="E33" s="139"/>
      <c r="F33" s="139"/>
      <c r="G33" s="139"/>
      <c r="H33" s="140"/>
      <c r="I33" s="139"/>
      <c r="J33" s="139"/>
      <c r="K33" s="139"/>
      <c r="L33" s="139"/>
      <c r="M33" s="139"/>
      <c r="N33" s="139"/>
      <c r="O33" s="139"/>
      <c r="P33" s="139"/>
      <c r="Q33" s="139"/>
      <c r="R33" s="227"/>
      <c r="S33" s="227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18.75" customHeight="1">
      <c r="A34" s="139" t="s">
        <v>39</v>
      </c>
      <c r="B34" s="139"/>
      <c r="C34" s="139"/>
      <c r="D34" s="139"/>
      <c r="E34" s="139"/>
      <c r="F34" s="139"/>
      <c r="G34" s="139"/>
      <c r="H34" s="140"/>
      <c r="I34" s="139"/>
      <c r="J34" s="139"/>
      <c r="K34" s="139"/>
      <c r="L34" s="139"/>
      <c r="M34" s="139"/>
      <c r="N34" s="139"/>
      <c r="O34" s="139"/>
      <c r="P34" s="139"/>
      <c r="Q34" s="139"/>
      <c r="R34" s="227"/>
      <c r="S34" s="227"/>
      <c r="T34" s="139"/>
      <c r="U34" s="139"/>
      <c r="V34" s="139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18.75" customHeight="1">
      <c r="A35" s="139"/>
      <c r="B35" s="139"/>
      <c r="C35" s="139"/>
      <c r="D35" s="139"/>
      <c r="E35" s="139"/>
      <c r="F35" s="139"/>
      <c r="G35" s="139"/>
      <c r="H35" s="140"/>
      <c r="I35" s="139"/>
      <c r="J35" s="139"/>
      <c r="K35" s="139"/>
      <c r="L35" s="139"/>
      <c r="M35" s="139"/>
      <c r="N35" s="139"/>
      <c r="O35" s="139"/>
      <c r="P35" s="139"/>
      <c r="Q35" s="139"/>
      <c r="R35" s="227"/>
      <c r="S35" s="227"/>
      <c r="T35" s="139"/>
      <c r="U35" s="139"/>
      <c r="V35" s="139"/>
      <c r="W35" s="139"/>
      <c r="X35" s="139"/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42.0" customHeight="1">
      <c r="A36" s="176"/>
      <c r="B36" s="160" t="s">
        <v>12</v>
      </c>
      <c r="C36" s="177" t="s">
        <v>74</v>
      </c>
      <c r="D36" s="52"/>
      <c r="E36" s="53"/>
      <c r="F36" s="228"/>
      <c r="G36" s="228"/>
      <c r="H36" s="179" t="s">
        <v>14</v>
      </c>
      <c r="I36" s="224" t="s">
        <v>15</v>
      </c>
      <c r="J36" s="160" t="s">
        <v>16</v>
      </c>
      <c r="K36" s="139"/>
      <c r="L36" s="139"/>
      <c r="M36" s="139"/>
      <c r="N36" s="139"/>
      <c r="O36" s="139"/>
      <c r="P36" s="139"/>
      <c r="Q36" s="139"/>
      <c r="R36" s="227"/>
      <c r="S36" s="227"/>
      <c r="T36" s="139"/>
      <c r="U36" s="139"/>
      <c r="V36" s="139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4.75" customHeight="1">
      <c r="A37" s="160">
        <v>1.0</v>
      </c>
      <c r="B37" s="182" t="s">
        <v>76</v>
      </c>
      <c r="C37" s="181"/>
      <c r="D37" s="181"/>
      <c r="E37" s="181"/>
      <c r="F37" s="181"/>
      <c r="G37" s="181"/>
      <c r="H37" s="232">
        <v>32.0</v>
      </c>
      <c r="I37" s="181">
        <v>1.0</v>
      </c>
      <c r="J37" s="194">
        <f t="shared" ref="J37:J38" si="22">+I37*H37</f>
        <v>32</v>
      </c>
      <c r="K37" s="176"/>
      <c r="L37" s="176"/>
      <c r="M37" s="176"/>
      <c r="N37" s="176"/>
      <c r="O37" s="176"/>
      <c r="P37" s="176"/>
      <c r="Q37" s="284"/>
      <c r="R37" s="227"/>
      <c r="S37" s="227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4.75" customHeight="1">
      <c r="A38" s="160">
        <v>2.0</v>
      </c>
      <c r="B38" s="191" t="s">
        <v>76</v>
      </c>
      <c r="C38" s="181"/>
      <c r="D38" s="181"/>
      <c r="E38" s="181"/>
      <c r="F38" s="181"/>
      <c r="G38" s="181"/>
      <c r="H38" s="232">
        <v>16.0</v>
      </c>
      <c r="I38" s="181">
        <v>1.0</v>
      </c>
      <c r="J38" s="194">
        <f t="shared" si="22"/>
        <v>16</v>
      </c>
      <c r="K38" s="176"/>
      <c r="L38" s="176"/>
      <c r="M38" s="176"/>
      <c r="N38" s="176"/>
      <c r="O38" s="176"/>
      <c r="P38" s="176"/>
      <c r="Q38" s="284"/>
      <c r="R38" s="227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18.75" customHeight="1">
      <c r="A39" s="139"/>
      <c r="B39" s="139"/>
      <c r="C39" s="139"/>
      <c r="D39" s="139"/>
      <c r="E39" s="139"/>
      <c r="F39" s="139"/>
      <c r="G39" s="139"/>
      <c r="H39" s="140" t="s">
        <v>38</v>
      </c>
      <c r="I39" s="139"/>
      <c r="J39" s="235">
        <f>SUM(J37:J38)</f>
        <v>48</v>
      </c>
      <c r="K39" s="236"/>
      <c r="L39" s="236"/>
      <c r="M39" s="236"/>
      <c r="N39" s="236"/>
      <c r="O39" s="236"/>
      <c r="P39" s="236"/>
      <c r="Q39" s="236"/>
      <c r="R39" s="139"/>
      <c r="S39" s="227"/>
      <c r="T39" s="139"/>
      <c r="U39" s="139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18.75" customHeight="1">
      <c r="A40" s="144"/>
      <c r="B40" s="144"/>
      <c r="C40" s="144"/>
      <c r="D40" s="144"/>
      <c r="E40" s="144"/>
      <c r="F40" s="144"/>
      <c r="G40" s="144"/>
      <c r="H40" s="145"/>
      <c r="I40" s="173"/>
      <c r="J40" s="205">
        <f>+J39*60%</f>
        <v>28.8</v>
      </c>
      <c r="K40" s="205"/>
      <c r="L40" s="205"/>
      <c r="M40" s="205"/>
      <c r="N40" s="205"/>
      <c r="O40" s="205"/>
      <c r="P40" s="205"/>
      <c r="Q40" s="205">
        <f>+J39*40%</f>
        <v>19.2</v>
      </c>
      <c r="R40" s="139"/>
      <c r="S40" s="227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18.75" customHeight="1">
      <c r="A41" s="139"/>
      <c r="B41" s="139"/>
      <c r="C41" s="139"/>
      <c r="D41" s="139"/>
      <c r="E41" s="139"/>
      <c r="F41" s="139"/>
      <c r="G41" s="139"/>
      <c r="H41" s="140"/>
      <c r="I41" s="139"/>
      <c r="J41" s="139"/>
      <c r="K41" s="139"/>
      <c r="L41" s="139"/>
      <c r="M41" s="139"/>
      <c r="N41" s="139"/>
      <c r="O41" s="139"/>
      <c r="P41" s="139"/>
      <c r="Q41" s="139"/>
      <c r="R41" s="139"/>
      <c r="S41" s="227"/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18.75" customHeight="1">
      <c r="A42" s="139"/>
      <c r="B42" s="139"/>
      <c r="C42" s="139"/>
      <c r="D42" s="139"/>
      <c r="E42" s="139"/>
      <c r="F42" s="139"/>
      <c r="G42" s="139"/>
      <c r="H42" s="140"/>
      <c r="I42" s="139"/>
      <c r="J42" s="139"/>
      <c r="K42" s="139"/>
      <c r="L42" s="139"/>
      <c r="M42" s="139"/>
      <c r="N42" s="139"/>
      <c r="O42" s="139"/>
      <c r="P42" s="139"/>
      <c r="Q42" s="139"/>
      <c r="R42" s="139"/>
      <c r="S42" s="227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19.5" customHeight="1">
      <c r="A43" s="238" t="s">
        <v>41</v>
      </c>
      <c r="B43" s="139"/>
      <c r="C43" s="139"/>
      <c r="D43" s="139"/>
      <c r="E43" s="139"/>
      <c r="F43" s="139"/>
      <c r="G43" s="139"/>
      <c r="H43" s="140"/>
      <c r="I43" s="139"/>
      <c r="J43" s="139"/>
      <c r="K43" s="139"/>
      <c r="L43" s="139"/>
      <c r="M43" s="139"/>
      <c r="N43" s="139"/>
      <c r="O43" s="139"/>
      <c r="P43" s="139"/>
      <c r="Q43" s="139"/>
      <c r="R43" s="139"/>
      <c r="S43" s="227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57.0" customHeight="1">
      <c r="A44" s="239"/>
      <c r="B44" s="240" t="s">
        <v>42</v>
      </c>
      <c r="C44" s="240" t="s">
        <v>43</v>
      </c>
      <c r="D44" s="240" t="s">
        <v>44</v>
      </c>
      <c r="E44" s="240" t="s">
        <v>45</v>
      </c>
      <c r="F44" s="240"/>
      <c r="G44" s="240"/>
      <c r="H44" s="241" t="s">
        <v>46</v>
      </c>
      <c r="I44" s="242" t="s">
        <v>47</v>
      </c>
      <c r="J44" s="139"/>
      <c r="K44" s="139"/>
      <c r="L44" s="139"/>
      <c r="M44" s="139"/>
      <c r="N44" s="139"/>
      <c r="O44" s="139"/>
      <c r="P44" s="139"/>
      <c r="Q44" s="139"/>
      <c r="R44" s="141"/>
      <c r="S44" s="227"/>
      <c r="T44" s="139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18.75" customHeight="1">
      <c r="A45" s="243" t="s">
        <v>48</v>
      </c>
      <c r="B45" s="244">
        <f>+E9</f>
        <v>8552.19</v>
      </c>
      <c r="C45" s="245">
        <f>+J22</f>
        <v>6108.28509</v>
      </c>
      <c r="D45" s="245">
        <f>+J30</f>
        <v>0</v>
      </c>
      <c r="E45" s="246">
        <f>J40</f>
        <v>28.8</v>
      </c>
      <c r="F45" s="246"/>
      <c r="G45" s="246"/>
      <c r="H45" s="247">
        <f>+I9</f>
        <v>928.767834</v>
      </c>
      <c r="I45" s="248">
        <f>+B45-C45-D45-E45-H45</f>
        <v>1486.337076</v>
      </c>
      <c r="J45" s="139"/>
      <c r="K45" s="139"/>
      <c r="L45" s="139"/>
      <c r="M45" s="139"/>
      <c r="N45" s="139"/>
      <c r="O45" s="139"/>
      <c r="P45" s="139"/>
      <c r="Q45" s="139"/>
      <c r="R45" s="141"/>
      <c r="S45" s="227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19.5" customHeight="1">
      <c r="A46" s="249" t="s">
        <v>49</v>
      </c>
      <c r="B46" s="250"/>
      <c r="C46" s="251">
        <f>+C45/B45</f>
        <v>0.714236364</v>
      </c>
      <c r="D46" s="251">
        <f>+D45/B45</f>
        <v>0</v>
      </c>
      <c r="E46" s="251">
        <f>+E45/B45</f>
        <v>0.003367558485</v>
      </c>
      <c r="F46" s="251"/>
      <c r="G46" s="251"/>
      <c r="H46" s="252">
        <f>+H45/B45</f>
        <v>0.1086</v>
      </c>
      <c r="I46" s="253">
        <f>+I45/B45</f>
        <v>0.1737960775</v>
      </c>
      <c r="J46" s="139"/>
      <c r="K46" s="139"/>
      <c r="L46" s="139"/>
      <c r="M46" s="139"/>
      <c r="N46" s="139"/>
      <c r="O46" s="139"/>
      <c r="P46" s="139"/>
      <c r="Q46" s="139"/>
      <c r="R46" s="141"/>
      <c r="S46" s="227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19.5" customHeight="1">
      <c r="A47" s="163"/>
      <c r="B47" s="221"/>
      <c r="C47" s="254"/>
      <c r="D47" s="254"/>
      <c r="E47" s="254"/>
      <c r="F47" s="254"/>
      <c r="G47" s="254"/>
      <c r="H47" s="255"/>
      <c r="I47" s="256"/>
      <c r="J47" s="139"/>
      <c r="K47" s="139"/>
      <c r="L47" s="139"/>
      <c r="M47" s="139"/>
      <c r="N47" s="139"/>
      <c r="O47" s="139"/>
      <c r="P47" s="139"/>
      <c r="Q47" s="139"/>
      <c r="R47" s="141"/>
      <c r="S47" s="227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18.75" customHeight="1">
      <c r="A48" s="257"/>
      <c r="B48" s="258"/>
      <c r="C48" s="258"/>
      <c r="D48" s="258" t="s">
        <v>50</v>
      </c>
      <c r="E48" s="258" t="s">
        <v>48</v>
      </c>
      <c r="F48" s="258"/>
      <c r="G48" s="258"/>
      <c r="H48" s="259">
        <f>+D45+E45+H45+I45</f>
        <v>2443.90491</v>
      </c>
      <c r="I48" s="260"/>
      <c r="J48" s="139"/>
      <c r="K48" s="139"/>
      <c r="L48" s="139"/>
      <c r="M48" s="139"/>
      <c r="N48" s="139"/>
      <c r="O48" s="139"/>
      <c r="P48" s="139"/>
      <c r="Q48" s="139"/>
      <c r="R48" s="141"/>
      <c r="S48" s="140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18.75" customHeight="1">
      <c r="A49" s="261"/>
      <c r="B49" s="139"/>
      <c r="C49" s="139"/>
      <c r="D49" s="139"/>
      <c r="E49" s="139" t="s">
        <v>49</v>
      </c>
      <c r="F49" s="139"/>
      <c r="G49" s="139"/>
      <c r="H49" s="255">
        <f>+H48/B45</f>
        <v>0.285763636</v>
      </c>
      <c r="I49" s="262"/>
      <c r="J49" s="139"/>
      <c r="K49" s="139"/>
      <c r="L49" s="139"/>
      <c r="M49" s="139"/>
      <c r="N49" s="139"/>
      <c r="O49" s="139"/>
      <c r="P49" s="139"/>
      <c r="Q49" s="139"/>
      <c r="R49" s="141"/>
      <c r="S49" s="140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18.75" customHeight="1">
      <c r="A50" s="261"/>
      <c r="B50" s="139"/>
      <c r="C50" s="139" t="s">
        <v>51</v>
      </c>
      <c r="D50" s="139"/>
      <c r="E50" s="139"/>
      <c r="F50" s="139"/>
      <c r="G50" s="139"/>
      <c r="H50" s="140"/>
      <c r="I50" s="262"/>
      <c r="J50" s="139"/>
      <c r="K50" s="139"/>
      <c r="L50" s="139"/>
      <c r="M50" s="139"/>
      <c r="N50" s="139"/>
      <c r="O50" s="139"/>
      <c r="P50" s="139"/>
      <c r="Q50" s="139"/>
      <c r="R50" s="141"/>
      <c r="S50" s="140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18.75" customHeight="1">
      <c r="A51" s="261"/>
      <c r="B51" s="139"/>
      <c r="C51" s="139"/>
      <c r="D51" s="139" t="s">
        <v>52</v>
      </c>
      <c r="E51" s="139"/>
      <c r="F51" s="139"/>
      <c r="G51" s="139"/>
      <c r="H51" s="140">
        <f>+H50*(H48-H45)</f>
        <v>0</v>
      </c>
      <c r="I51" s="262"/>
      <c r="J51" s="139"/>
      <c r="K51" s="139"/>
      <c r="L51" s="139"/>
      <c r="M51" s="139"/>
      <c r="N51" s="139"/>
      <c r="O51" s="139"/>
      <c r="P51" s="139"/>
      <c r="Q51" s="139"/>
      <c r="R51" s="141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19.5" customHeight="1">
      <c r="A52" s="263"/>
      <c r="B52" s="264"/>
      <c r="C52" s="264"/>
      <c r="D52" s="264"/>
      <c r="E52" s="264"/>
      <c r="F52" s="264"/>
      <c r="G52" s="264"/>
      <c r="H52" s="265"/>
      <c r="I52" s="266"/>
      <c r="J52" s="139"/>
      <c r="K52" s="139"/>
      <c r="L52" s="139"/>
      <c r="M52" s="139"/>
      <c r="N52" s="139"/>
      <c r="O52" s="139"/>
      <c r="P52" s="139"/>
      <c r="Q52" s="139"/>
      <c r="R52" s="141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18.75" customHeight="1">
      <c r="A53" s="139"/>
      <c r="B53" s="139"/>
      <c r="C53" s="139"/>
      <c r="D53" s="139"/>
      <c r="E53" s="139"/>
      <c r="F53" s="139"/>
      <c r="G53" s="139"/>
      <c r="H53" s="140"/>
      <c r="I53" s="139"/>
      <c r="J53" s="139"/>
      <c r="K53" s="139"/>
      <c r="L53" s="139"/>
      <c r="M53" s="139"/>
      <c r="N53" s="139"/>
      <c r="O53" s="139"/>
      <c r="P53" s="139"/>
      <c r="Q53" s="139"/>
      <c r="R53" s="141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18.75" customHeight="1">
      <c r="A54" s="139"/>
      <c r="B54" s="139"/>
      <c r="C54" s="139"/>
      <c r="D54" s="139"/>
      <c r="E54" s="139"/>
      <c r="F54" s="139"/>
      <c r="G54" s="139"/>
      <c r="H54" s="140"/>
      <c r="I54" s="139"/>
      <c r="J54" s="139"/>
      <c r="K54" s="139"/>
      <c r="L54" s="139"/>
      <c r="M54" s="139"/>
      <c r="N54" s="139"/>
      <c r="O54" s="139"/>
      <c r="P54" s="139"/>
      <c r="Q54" s="139"/>
      <c r="R54" s="141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18.75" customHeight="1">
      <c r="A55" s="139"/>
      <c r="B55" s="139"/>
      <c r="C55" s="139"/>
      <c r="D55" s="139"/>
      <c r="E55" s="139"/>
      <c r="F55" s="139"/>
      <c r="G55" s="139"/>
      <c r="H55" s="140"/>
      <c r="I55" s="139"/>
      <c r="J55" s="139"/>
      <c r="K55" s="139"/>
      <c r="L55" s="139"/>
      <c r="M55" s="139"/>
      <c r="N55" s="139"/>
      <c r="O55" s="139"/>
      <c r="P55" s="139"/>
      <c r="Q55" s="139"/>
      <c r="R55" s="141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18.0" customHeight="1">
      <c r="A56" s="7"/>
      <c r="B56" s="7"/>
      <c r="C56" s="7"/>
      <c r="D56" s="7"/>
      <c r="E56" s="7"/>
      <c r="F56" s="7"/>
      <c r="G56" s="7"/>
      <c r="H56" s="267"/>
      <c r="I56" s="7"/>
      <c r="J56" s="7"/>
      <c r="K56" s="7"/>
      <c r="L56" s="7"/>
      <c r="M56" s="7"/>
      <c r="N56" s="7"/>
      <c r="O56" s="7"/>
      <c r="P56" s="7"/>
      <c r="Q56" s="7"/>
      <c r="R56" s="268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</row>
    <row r="57" ht="18.0" customHeight="1">
      <c r="A57" s="7"/>
      <c r="B57" s="7"/>
      <c r="C57" s="7"/>
      <c r="D57" s="7"/>
      <c r="E57" s="7"/>
      <c r="F57" s="7"/>
      <c r="G57" s="7"/>
      <c r="H57" s="267"/>
      <c r="I57" s="7"/>
      <c r="J57" s="7"/>
      <c r="K57" s="7"/>
      <c r="L57" s="7"/>
      <c r="M57" s="7"/>
      <c r="N57" s="7"/>
      <c r="O57" s="7"/>
      <c r="P57" s="7"/>
      <c r="Q57" s="7"/>
      <c r="R57" s="268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</row>
    <row r="58" ht="18.0" customHeight="1">
      <c r="A58" s="7"/>
      <c r="B58" s="7"/>
      <c r="C58" s="7"/>
      <c r="D58" s="7"/>
      <c r="E58" s="7"/>
      <c r="F58" s="7"/>
      <c r="G58" s="7"/>
      <c r="H58" s="267"/>
      <c r="I58" s="7"/>
      <c r="J58" s="7"/>
      <c r="K58" s="7"/>
      <c r="L58" s="7"/>
      <c r="M58" s="7"/>
      <c r="N58" s="7"/>
      <c r="O58" s="7"/>
      <c r="P58" s="7"/>
      <c r="Q58" s="7"/>
      <c r="R58" s="268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</row>
    <row r="59" ht="18.0" customHeight="1">
      <c r="A59" s="7"/>
      <c r="B59" s="7"/>
      <c r="C59" s="7"/>
      <c r="D59" s="7"/>
      <c r="E59" s="7"/>
      <c r="F59" s="7"/>
      <c r="G59" s="7"/>
      <c r="H59" s="267"/>
      <c r="I59" s="7"/>
      <c r="J59" s="7"/>
      <c r="K59" s="7"/>
      <c r="L59" s="7"/>
      <c r="M59" s="7"/>
      <c r="N59" s="7"/>
      <c r="O59" s="7"/>
      <c r="P59" s="7"/>
      <c r="Q59" s="7"/>
      <c r="R59" s="268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</row>
    <row r="60" ht="18.0" customHeight="1">
      <c r="A60" s="7"/>
      <c r="B60" s="7"/>
      <c r="C60" s="7"/>
      <c r="D60" s="7"/>
      <c r="E60" s="7"/>
      <c r="F60" s="7"/>
      <c r="G60" s="7"/>
      <c r="H60" s="267"/>
      <c r="I60" s="7"/>
      <c r="J60" s="7"/>
      <c r="K60" s="7"/>
      <c r="L60" s="7"/>
      <c r="M60" s="7"/>
      <c r="N60" s="7"/>
      <c r="O60" s="7"/>
      <c r="P60" s="7"/>
      <c r="Q60" s="7"/>
      <c r="R60" s="268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</row>
    <row r="61" ht="18.0" customHeight="1">
      <c r="A61" s="7"/>
      <c r="B61" s="7"/>
      <c r="C61" s="7"/>
      <c r="D61" s="7"/>
      <c r="E61" s="7"/>
      <c r="F61" s="7"/>
      <c r="G61" s="7"/>
      <c r="H61" s="267"/>
      <c r="I61" s="7"/>
      <c r="J61" s="7"/>
      <c r="K61" s="7"/>
      <c r="L61" s="7"/>
      <c r="M61" s="7"/>
      <c r="N61" s="7"/>
      <c r="O61" s="7"/>
      <c r="P61" s="7"/>
      <c r="Q61" s="7"/>
      <c r="R61" s="268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</row>
    <row r="62" ht="18.0" customHeight="1">
      <c r="A62" s="7"/>
      <c r="B62" s="7"/>
      <c r="C62" s="7"/>
      <c r="D62" s="7"/>
      <c r="E62" s="7"/>
      <c r="F62" s="7"/>
      <c r="G62" s="7"/>
      <c r="H62" s="267"/>
      <c r="I62" s="7"/>
      <c r="J62" s="7"/>
      <c r="K62" s="7"/>
      <c r="L62" s="7"/>
      <c r="M62" s="7"/>
      <c r="N62" s="7"/>
      <c r="O62" s="7"/>
      <c r="P62" s="7"/>
      <c r="Q62" s="7"/>
      <c r="R62" s="268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</row>
    <row r="63" ht="18.0" customHeight="1">
      <c r="A63" s="7"/>
      <c r="B63" s="7"/>
      <c r="C63" s="7"/>
      <c r="D63" s="7"/>
      <c r="E63" s="7"/>
      <c r="F63" s="7"/>
      <c r="G63" s="7"/>
      <c r="H63" s="267"/>
      <c r="I63" s="7"/>
      <c r="J63" s="7"/>
      <c r="K63" s="7"/>
      <c r="L63" s="7"/>
      <c r="M63" s="7"/>
      <c r="N63" s="7"/>
      <c r="O63" s="7"/>
      <c r="P63" s="7"/>
      <c r="Q63" s="7"/>
      <c r="R63" s="268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</row>
    <row r="64" ht="18.0" customHeight="1">
      <c r="A64" s="7"/>
      <c r="B64" s="7"/>
      <c r="C64" s="7"/>
      <c r="D64" s="7"/>
      <c r="E64" s="7"/>
      <c r="F64" s="7"/>
      <c r="G64" s="7"/>
      <c r="H64" s="267"/>
      <c r="I64" s="7"/>
      <c r="J64" s="7"/>
      <c r="K64" s="7"/>
      <c r="L64" s="7"/>
      <c r="M64" s="7"/>
      <c r="N64" s="7"/>
      <c r="O64" s="7"/>
      <c r="P64" s="7"/>
      <c r="Q64" s="7"/>
      <c r="R64" s="268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</row>
    <row r="65" ht="18.0" customHeight="1">
      <c r="A65" s="7"/>
      <c r="B65" s="7"/>
      <c r="C65" s="7"/>
      <c r="D65" s="7"/>
      <c r="E65" s="7"/>
      <c r="F65" s="7"/>
      <c r="G65" s="7"/>
      <c r="H65" s="267"/>
      <c r="I65" s="7"/>
      <c r="J65" s="7"/>
      <c r="K65" s="7"/>
      <c r="L65" s="7"/>
      <c r="M65" s="7"/>
      <c r="N65" s="7"/>
      <c r="O65" s="7"/>
      <c r="P65" s="7"/>
      <c r="Q65" s="7"/>
      <c r="R65" s="268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</row>
    <row r="66" ht="18.0" customHeight="1">
      <c r="A66" s="7"/>
      <c r="B66" s="7"/>
      <c r="C66" s="7"/>
      <c r="D66" s="7"/>
      <c r="E66" s="7"/>
      <c r="F66" s="7"/>
      <c r="G66" s="7"/>
      <c r="H66" s="267"/>
      <c r="I66" s="7"/>
      <c r="J66" s="7"/>
      <c r="K66" s="7"/>
      <c r="L66" s="7"/>
      <c r="M66" s="7"/>
      <c r="N66" s="7"/>
      <c r="O66" s="7"/>
      <c r="P66" s="7"/>
      <c r="Q66" s="7"/>
      <c r="R66" s="268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</row>
    <row r="67" ht="18.0" customHeight="1">
      <c r="A67" s="7"/>
      <c r="B67" s="7"/>
      <c r="C67" s="7"/>
      <c r="D67" s="7"/>
      <c r="E67" s="7"/>
      <c r="F67" s="7"/>
      <c r="G67" s="7"/>
      <c r="H67" s="267"/>
      <c r="I67" s="7"/>
      <c r="J67" s="7"/>
      <c r="K67" s="7"/>
      <c r="L67" s="7"/>
      <c r="M67" s="7"/>
      <c r="N67" s="7"/>
      <c r="O67" s="7"/>
      <c r="P67" s="7"/>
      <c r="Q67" s="7"/>
      <c r="R67" s="268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</row>
    <row r="68" ht="18.0" customHeight="1">
      <c r="A68" s="7"/>
      <c r="B68" s="7"/>
      <c r="C68" s="7"/>
      <c r="D68" s="7"/>
      <c r="E68" s="7"/>
      <c r="F68" s="7"/>
      <c r="G68" s="7"/>
      <c r="H68" s="267"/>
      <c r="I68" s="7"/>
      <c r="J68" s="7"/>
      <c r="K68" s="7"/>
      <c r="L68" s="7"/>
      <c r="M68" s="7"/>
      <c r="N68" s="7"/>
      <c r="O68" s="7"/>
      <c r="P68" s="7"/>
      <c r="Q68" s="7"/>
      <c r="R68" s="268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</row>
    <row r="69" ht="18.0" customHeight="1">
      <c r="A69" s="7"/>
      <c r="B69" s="7"/>
      <c r="C69" s="7"/>
      <c r="D69" s="7"/>
      <c r="E69" s="7"/>
      <c r="F69" s="7"/>
      <c r="G69" s="7"/>
      <c r="H69" s="267"/>
      <c r="I69" s="7"/>
      <c r="J69" s="7"/>
      <c r="K69" s="7"/>
      <c r="L69" s="7"/>
      <c r="M69" s="7"/>
      <c r="N69" s="7"/>
      <c r="O69" s="7"/>
      <c r="P69" s="7"/>
      <c r="Q69" s="7"/>
      <c r="R69" s="268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</row>
    <row r="70" ht="18.0" customHeight="1">
      <c r="A70" s="7"/>
      <c r="B70" s="7"/>
      <c r="C70" s="7"/>
      <c r="D70" s="7"/>
      <c r="E70" s="7"/>
      <c r="F70" s="7"/>
      <c r="G70" s="7"/>
      <c r="H70" s="267"/>
      <c r="I70" s="7"/>
      <c r="J70" s="7"/>
      <c r="K70" s="7"/>
      <c r="L70" s="7"/>
      <c r="M70" s="7"/>
      <c r="N70" s="7"/>
      <c r="O70" s="7"/>
      <c r="P70" s="7"/>
      <c r="Q70" s="7"/>
      <c r="R70" s="268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</row>
    <row r="71" ht="18.0" customHeight="1">
      <c r="A71" s="7"/>
      <c r="B71" s="7"/>
      <c r="C71" s="7"/>
      <c r="D71" s="7"/>
      <c r="E71" s="7"/>
      <c r="F71" s="7"/>
      <c r="G71" s="7"/>
      <c r="H71" s="267"/>
      <c r="I71" s="7"/>
      <c r="J71" s="7"/>
      <c r="K71" s="7"/>
      <c r="L71" s="7"/>
      <c r="M71" s="7"/>
      <c r="N71" s="7"/>
      <c r="O71" s="7"/>
      <c r="P71" s="7"/>
      <c r="Q71" s="7"/>
      <c r="R71" s="268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</row>
    <row r="72" ht="18.0" customHeight="1">
      <c r="A72" s="7"/>
      <c r="B72" s="7"/>
      <c r="C72" s="7"/>
      <c r="D72" s="7"/>
      <c r="E72" s="7"/>
      <c r="F72" s="7"/>
      <c r="G72" s="7"/>
      <c r="H72" s="267"/>
      <c r="I72" s="7"/>
      <c r="J72" s="7"/>
      <c r="K72" s="7"/>
      <c r="L72" s="7"/>
      <c r="M72" s="7"/>
      <c r="N72" s="7"/>
      <c r="O72" s="7"/>
      <c r="P72" s="7"/>
      <c r="Q72" s="7"/>
      <c r="R72" s="268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</row>
    <row r="73" ht="18.0" customHeight="1">
      <c r="A73" s="7"/>
      <c r="B73" s="7"/>
      <c r="C73" s="7"/>
      <c r="D73" s="7"/>
      <c r="E73" s="7"/>
      <c r="F73" s="7"/>
      <c r="G73" s="7"/>
      <c r="H73" s="267"/>
      <c r="I73" s="7"/>
      <c r="J73" s="7"/>
      <c r="K73" s="7"/>
      <c r="L73" s="7"/>
      <c r="M73" s="7"/>
      <c r="N73" s="7"/>
      <c r="O73" s="7"/>
      <c r="P73" s="7"/>
      <c r="Q73" s="7"/>
      <c r="R73" s="268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</row>
    <row r="74" ht="18.0" customHeight="1">
      <c r="A74" s="7"/>
      <c r="B74" s="7"/>
      <c r="C74" s="7"/>
      <c r="D74" s="7"/>
      <c r="E74" s="7"/>
      <c r="F74" s="7"/>
      <c r="G74" s="7"/>
      <c r="H74" s="267"/>
      <c r="I74" s="7"/>
      <c r="J74" s="7"/>
      <c r="K74" s="7"/>
      <c r="L74" s="7"/>
      <c r="M74" s="7"/>
      <c r="N74" s="7"/>
      <c r="O74" s="7"/>
      <c r="P74" s="7"/>
      <c r="Q74" s="7"/>
      <c r="R74" s="268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</row>
    <row r="75" ht="18.0" customHeight="1">
      <c r="A75" s="7"/>
      <c r="B75" s="7"/>
      <c r="C75" s="7"/>
      <c r="D75" s="7"/>
      <c r="E75" s="7"/>
      <c r="F75" s="7"/>
      <c r="G75" s="7"/>
      <c r="H75" s="267"/>
      <c r="I75" s="7"/>
      <c r="J75" s="7"/>
      <c r="K75" s="7"/>
      <c r="L75" s="7"/>
      <c r="M75" s="7"/>
      <c r="N75" s="7"/>
      <c r="O75" s="7"/>
      <c r="P75" s="7"/>
      <c r="Q75" s="7"/>
      <c r="R75" s="268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</row>
    <row r="76" ht="18.0" customHeight="1">
      <c r="A76" s="7"/>
      <c r="B76" s="7"/>
      <c r="C76" s="7"/>
      <c r="D76" s="7"/>
      <c r="E76" s="7"/>
      <c r="F76" s="7"/>
      <c r="G76" s="7"/>
      <c r="H76" s="267"/>
      <c r="I76" s="7"/>
      <c r="J76" s="7"/>
      <c r="K76" s="7"/>
      <c r="L76" s="7"/>
      <c r="M76" s="7"/>
      <c r="N76" s="7"/>
      <c r="O76" s="7"/>
      <c r="P76" s="7"/>
      <c r="Q76" s="7"/>
      <c r="R76" s="268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</row>
    <row r="77" ht="18.0" customHeight="1">
      <c r="A77" s="7"/>
      <c r="B77" s="7"/>
      <c r="C77" s="7"/>
      <c r="D77" s="7"/>
      <c r="E77" s="7"/>
      <c r="F77" s="7"/>
      <c r="G77" s="7"/>
      <c r="H77" s="267"/>
      <c r="I77" s="7"/>
      <c r="J77" s="7"/>
      <c r="K77" s="7"/>
      <c r="L77" s="7"/>
      <c r="M77" s="7"/>
      <c r="N77" s="7"/>
      <c r="O77" s="7"/>
      <c r="P77" s="7"/>
      <c r="Q77" s="7"/>
      <c r="R77" s="268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</row>
    <row r="78" ht="18.0" customHeight="1">
      <c r="A78" s="7"/>
      <c r="B78" s="7"/>
      <c r="C78" s="7"/>
      <c r="D78" s="7"/>
      <c r="E78" s="7"/>
      <c r="F78" s="7"/>
      <c r="G78" s="7"/>
      <c r="H78" s="267"/>
      <c r="I78" s="7"/>
      <c r="J78" s="7"/>
      <c r="K78" s="7"/>
      <c r="L78" s="7"/>
      <c r="M78" s="7"/>
      <c r="N78" s="7"/>
      <c r="O78" s="7"/>
      <c r="P78" s="7"/>
      <c r="Q78" s="7"/>
      <c r="R78" s="268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</row>
    <row r="79" ht="18.0" customHeight="1">
      <c r="A79" s="7"/>
      <c r="B79" s="7"/>
      <c r="C79" s="7"/>
      <c r="D79" s="7"/>
      <c r="E79" s="7"/>
      <c r="F79" s="7"/>
      <c r="G79" s="7"/>
      <c r="H79" s="267"/>
      <c r="I79" s="7"/>
      <c r="J79" s="7"/>
      <c r="K79" s="7"/>
      <c r="L79" s="7"/>
      <c r="M79" s="7"/>
      <c r="N79" s="7"/>
      <c r="O79" s="7"/>
      <c r="P79" s="7"/>
      <c r="Q79" s="7"/>
      <c r="R79" s="268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</row>
    <row r="80" ht="18.0" customHeight="1">
      <c r="A80" s="7"/>
      <c r="B80" s="7"/>
      <c r="C80" s="7"/>
      <c r="D80" s="7"/>
      <c r="E80" s="7"/>
      <c r="F80" s="7"/>
      <c r="G80" s="7"/>
      <c r="H80" s="267"/>
      <c r="I80" s="7"/>
      <c r="J80" s="7"/>
      <c r="K80" s="7"/>
      <c r="L80" s="7"/>
      <c r="M80" s="7"/>
      <c r="N80" s="7"/>
      <c r="O80" s="7"/>
      <c r="P80" s="7"/>
      <c r="Q80" s="7"/>
      <c r="R80" s="268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</row>
    <row r="81" ht="18.0" customHeight="1">
      <c r="A81" s="7"/>
      <c r="B81" s="7"/>
      <c r="C81" s="7"/>
      <c r="D81" s="7"/>
      <c r="E81" s="7"/>
      <c r="F81" s="7"/>
      <c r="G81" s="7"/>
      <c r="H81" s="267"/>
      <c r="I81" s="7"/>
      <c r="J81" s="7"/>
      <c r="K81" s="7"/>
      <c r="L81" s="7"/>
      <c r="M81" s="7"/>
      <c r="N81" s="7"/>
      <c r="O81" s="7"/>
      <c r="P81" s="7"/>
      <c r="Q81" s="7"/>
      <c r="R81" s="268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</row>
    <row r="82" ht="18.0" customHeight="1">
      <c r="A82" s="7"/>
      <c r="B82" s="7"/>
      <c r="C82" s="7"/>
      <c r="D82" s="7"/>
      <c r="E82" s="7"/>
      <c r="F82" s="7"/>
      <c r="G82" s="7"/>
      <c r="H82" s="267"/>
      <c r="I82" s="7"/>
      <c r="J82" s="7"/>
      <c r="K82" s="7"/>
      <c r="L82" s="7"/>
      <c r="M82" s="7"/>
      <c r="N82" s="7"/>
      <c r="O82" s="7"/>
      <c r="P82" s="7"/>
      <c r="Q82" s="7"/>
      <c r="R82" s="268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</row>
    <row r="83" ht="18.0" customHeight="1">
      <c r="A83" s="7"/>
      <c r="B83" s="7"/>
      <c r="C83" s="7"/>
      <c r="D83" s="7"/>
      <c r="E83" s="7"/>
      <c r="F83" s="7"/>
      <c r="G83" s="7"/>
      <c r="H83" s="267"/>
      <c r="I83" s="7"/>
      <c r="J83" s="7"/>
      <c r="K83" s="7"/>
      <c r="L83" s="7"/>
      <c r="M83" s="7"/>
      <c r="N83" s="7"/>
      <c r="O83" s="7"/>
      <c r="P83" s="7"/>
      <c r="Q83" s="7"/>
      <c r="R83" s="268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</row>
    <row r="84" ht="18.0" customHeight="1">
      <c r="A84" s="7"/>
      <c r="B84" s="7"/>
      <c r="C84" s="7"/>
      <c r="D84" s="7"/>
      <c r="E84" s="7"/>
      <c r="F84" s="7"/>
      <c r="G84" s="7"/>
      <c r="H84" s="267"/>
      <c r="I84" s="7"/>
      <c r="J84" s="7"/>
      <c r="K84" s="7"/>
      <c r="L84" s="7"/>
      <c r="M84" s="7"/>
      <c r="N84" s="7"/>
      <c r="O84" s="7"/>
      <c r="P84" s="7"/>
      <c r="Q84" s="7"/>
      <c r="R84" s="268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</row>
    <row r="85" ht="18.0" customHeight="1">
      <c r="A85" s="7"/>
      <c r="B85" s="7"/>
      <c r="C85" s="7"/>
      <c r="D85" s="7"/>
      <c r="E85" s="7"/>
      <c r="F85" s="7"/>
      <c r="G85" s="7"/>
      <c r="H85" s="267"/>
      <c r="I85" s="7"/>
      <c r="J85" s="7"/>
      <c r="K85" s="7"/>
      <c r="L85" s="7"/>
      <c r="M85" s="7"/>
      <c r="N85" s="7"/>
      <c r="O85" s="7"/>
      <c r="P85" s="7"/>
      <c r="Q85" s="7"/>
      <c r="R85" s="268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</row>
    <row r="86" ht="18.0" customHeight="1">
      <c r="A86" s="7"/>
      <c r="B86" s="7"/>
      <c r="C86" s="7"/>
      <c r="D86" s="7"/>
      <c r="E86" s="7"/>
      <c r="F86" s="7"/>
      <c r="G86" s="7"/>
      <c r="H86" s="267"/>
      <c r="I86" s="7"/>
      <c r="J86" s="7"/>
      <c r="K86" s="7"/>
      <c r="L86" s="7"/>
      <c r="M86" s="7"/>
      <c r="N86" s="7"/>
      <c r="O86" s="7"/>
      <c r="P86" s="7"/>
      <c r="Q86" s="7"/>
      <c r="R86" s="268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</row>
    <row r="87" ht="18.0" customHeight="1">
      <c r="A87" s="7"/>
      <c r="B87" s="7"/>
      <c r="C87" s="7"/>
      <c r="D87" s="7"/>
      <c r="E87" s="7"/>
      <c r="F87" s="7"/>
      <c r="G87" s="7"/>
      <c r="H87" s="267"/>
      <c r="I87" s="7"/>
      <c r="J87" s="7"/>
      <c r="K87" s="7"/>
      <c r="L87" s="7"/>
      <c r="M87" s="7"/>
      <c r="N87" s="7"/>
      <c r="O87" s="7"/>
      <c r="P87" s="7"/>
      <c r="Q87" s="7"/>
      <c r="R87" s="268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</row>
    <row r="88" ht="18.0" customHeight="1">
      <c r="A88" s="7"/>
      <c r="B88" s="7"/>
      <c r="C88" s="7"/>
      <c r="D88" s="7"/>
      <c r="E88" s="7"/>
      <c r="F88" s="7"/>
      <c r="G88" s="7"/>
      <c r="H88" s="267"/>
      <c r="I88" s="7"/>
      <c r="J88" s="7"/>
      <c r="K88" s="7"/>
      <c r="L88" s="7"/>
      <c r="M88" s="7"/>
      <c r="N88" s="7"/>
      <c r="O88" s="7"/>
      <c r="P88" s="7"/>
      <c r="Q88" s="7"/>
      <c r="R88" s="268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</row>
    <row r="89" ht="18.0" customHeight="1">
      <c r="A89" s="7"/>
      <c r="B89" s="7"/>
      <c r="C89" s="7"/>
      <c r="D89" s="7"/>
      <c r="E89" s="7"/>
      <c r="F89" s="7"/>
      <c r="G89" s="7"/>
      <c r="H89" s="267"/>
      <c r="I89" s="7"/>
      <c r="J89" s="7"/>
      <c r="K89" s="7"/>
      <c r="L89" s="7"/>
      <c r="M89" s="7"/>
      <c r="N89" s="7"/>
      <c r="O89" s="7"/>
      <c r="P89" s="7"/>
      <c r="Q89" s="7"/>
      <c r="R89" s="268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</row>
    <row r="90" ht="18.0" customHeight="1">
      <c r="A90" s="7"/>
      <c r="B90" s="7"/>
      <c r="C90" s="7"/>
      <c r="D90" s="7"/>
      <c r="E90" s="7"/>
      <c r="F90" s="7"/>
      <c r="G90" s="7"/>
      <c r="H90" s="267"/>
      <c r="I90" s="7"/>
      <c r="J90" s="7"/>
      <c r="K90" s="7"/>
      <c r="L90" s="7"/>
      <c r="M90" s="7"/>
      <c r="N90" s="7"/>
      <c r="O90" s="7"/>
      <c r="P90" s="7"/>
      <c r="Q90" s="7"/>
      <c r="R90" s="268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</row>
    <row r="91" ht="18.0" customHeight="1">
      <c r="A91" s="7"/>
      <c r="B91" s="7"/>
      <c r="C91" s="7"/>
      <c r="D91" s="7"/>
      <c r="E91" s="7"/>
      <c r="F91" s="7"/>
      <c r="G91" s="7"/>
      <c r="H91" s="267"/>
      <c r="I91" s="7"/>
      <c r="J91" s="7"/>
      <c r="K91" s="7"/>
      <c r="L91" s="7"/>
      <c r="M91" s="7"/>
      <c r="N91" s="7"/>
      <c r="O91" s="7"/>
      <c r="P91" s="7"/>
      <c r="Q91" s="7"/>
      <c r="R91" s="268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</row>
    <row r="92" ht="18.0" customHeight="1">
      <c r="A92" s="7"/>
      <c r="B92" s="7"/>
      <c r="C92" s="7"/>
      <c r="D92" s="7"/>
      <c r="E92" s="7"/>
      <c r="F92" s="7"/>
      <c r="G92" s="7"/>
      <c r="H92" s="267"/>
      <c r="I92" s="7"/>
      <c r="J92" s="7"/>
      <c r="K92" s="7"/>
      <c r="L92" s="7"/>
      <c r="M92" s="7"/>
      <c r="N92" s="7"/>
      <c r="O92" s="7"/>
      <c r="P92" s="7"/>
      <c r="Q92" s="7"/>
      <c r="R92" s="268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</row>
    <row r="93" ht="18.0" customHeight="1">
      <c r="A93" s="7"/>
      <c r="B93" s="7"/>
      <c r="C93" s="7"/>
      <c r="D93" s="7"/>
      <c r="E93" s="7"/>
      <c r="F93" s="7"/>
      <c r="G93" s="7"/>
      <c r="H93" s="267"/>
      <c r="I93" s="7"/>
      <c r="J93" s="7"/>
      <c r="K93" s="7"/>
      <c r="L93" s="7"/>
      <c r="M93" s="7"/>
      <c r="N93" s="7"/>
      <c r="O93" s="7"/>
      <c r="P93" s="7"/>
      <c r="Q93" s="7"/>
      <c r="R93" s="268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</row>
    <row r="94" ht="18.0" customHeight="1">
      <c r="A94" s="7"/>
      <c r="B94" s="7"/>
      <c r="C94" s="7"/>
      <c r="D94" s="7"/>
      <c r="E94" s="7"/>
      <c r="F94" s="7"/>
      <c r="G94" s="7"/>
      <c r="H94" s="267"/>
      <c r="I94" s="7"/>
      <c r="J94" s="7"/>
      <c r="K94" s="7"/>
      <c r="L94" s="7"/>
      <c r="M94" s="7"/>
      <c r="N94" s="7"/>
      <c r="O94" s="7"/>
      <c r="P94" s="7"/>
      <c r="Q94" s="7"/>
      <c r="R94" s="268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</row>
    <row r="95" ht="18.0" customHeight="1">
      <c r="A95" s="7"/>
      <c r="B95" s="7"/>
      <c r="C95" s="7"/>
      <c r="D95" s="7"/>
      <c r="E95" s="7"/>
      <c r="F95" s="7"/>
      <c r="G95" s="7"/>
      <c r="H95" s="267"/>
      <c r="I95" s="7"/>
      <c r="J95" s="7"/>
      <c r="K95" s="7"/>
      <c r="L95" s="7"/>
      <c r="M95" s="7"/>
      <c r="N95" s="7"/>
      <c r="O95" s="7"/>
      <c r="P95" s="7"/>
      <c r="Q95" s="7"/>
      <c r="R95" s="268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</row>
    <row r="96" ht="18.0" customHeight="1">
      <c r="A96" s="7"/>
      <c r="B96" s="7"/>
      <c r="C96" s="7"/>
      <c r="D96" s="7"/>
      <c r="E96" s="7"/>
      <c r="F96" s="7"/>
      <c r="G96" s="7"/>
      <c r="H96" s="267"/>
      <c r="I96" s="7"/>
      <c r="J96" s="7"/>
      <c r="K96" s="7"/>
      <c r="L96" s="7"/>
      <c r="M96" s="7"/>
      <c r="N96" s="7"/>
      <c r="O96" s="7"/>
      <c r="P96" s="7"/>
      <c r="Q96" s="7"/>
      <c r="R96" s="268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</row>
    <row r="97" ht="18.0" customHeight="1">
      <c r="A97" s="7"/>
      <c r="B97" s="7"/>
      <c r="C97" s="7"/>
      <c r="D97" s="7"/>
      <c r="E97" s="7"/>
      <c r="F97" s="7"/>
      <c r="G97" s="7"/>
      <c r="H97" s="267"/>
      <c r="I97" s="7"/>
      <c r="J97" s="7"/>
      <c r="K97" s="7"/>
      <c r="L97" s="7"/>
      <c r="M97" s="7"/>
      <c r="N97" s="7"/>
      <c r="O97" s="7"/>
      <c r="P97" s="7"/>
      <c r="Q97" s="7"/>
      <c r="R97" s="268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</row>
    <row r="98" ht="18.0" customHeight="1">
      <c r="A98" s="7"/>
      <c r="B98" s="7"/>
      <c r="C98" s="7"/>
      <c r="D98" s="7"/>
      <c r="E98" s="7"/>
      <c r="F98" s="7"/>
      <c r="G98" s="7"/>
      <c r="H98" s="267"/>
      <c r="I98" s="7"/>
      <c r="J98" s="7"/>
      <c r="K98" s="7"/>
      <c r="L98" s="7"/>
      <c r="M98" s="7"/>
      <c r="N98" s="7"/>
      <c r="O98" s="7"/>
      <c r="P98" s="7"/>
      <c r="Q98" s="7"/>
      <c r="R98" s="268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</row>
    <row r="99" ht="18.0" customHeight="1">
      <c r="A99" s="7"/>
      <c r="B99" s="7"/>
      <c r="C99" s="7"/>
      <c r="D99" s="7"/>
      <c r="E99" s="7"/>
      <c r="F99" s="7"/>
      <c r="G99" s="7"/>
      <c r="H99" s="267"/>
      <c r="I99" s="7"/>
      <c r="J99" s="7"/>
      <c r="K99" s="7"/>
      <c r="L99" s="7"/>
      <c r="M99" s="7"/>
      <c r="N99" s="7"/>
      <c r="O99" s="7"/>
      <c r="P99" s="7"/>
      <c r="Q99" s="7"/>
      <c r="R99" s="268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</row>
    <row r="100" ht="18.0" customHeight="1">
      <c r="A100" s="7"/>
      <c r="B100" s="7"/>
      <c r="C100" s="7"/>
      <c r="D100" s="7"/>
      <c r="E100" s="7"/>
      <c r="F100" s="7"/>
      <c r="G100" s="7"/>
      <c r="H100" s="267"/>
      <c r="I100" s="7"/>
      <c r="J100" s="7"/>
      <c r="K100" s="7"/>
      <c r="L100" s="7"/>
      <c r="M100" s="7"/>
      <c r="N100" s="7"/>
      <c r="O100" s="7"/>
      <c r="P100" s="7"/>
      <c r="Q100" s="7"/>
      <c r="R100" s="268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</row>
    <row r="101" ht="18.0" customHeight="1">
      <c r="A101" s="7"/>
      <c r="B101" s="7"/>
      <c r="C101" s="7"/>
      <c r="D101" s="7"/>
      <c r="E101" s="7"/>
      <c r="F101" s="7"/>
      <c r="G101" s="7"/>
      <c r="H101" s="267"/>
      <c r="I101" s="7"/>
      <c r="J101" s="7"/>
      <c r="K101" s="7"/>
      <c r="L101" s="7"/>
      <c r="M101" s="7"/>
      <c r="N101" s="7"/>
      <c r="O101" s="7"/>
      <c r="P101" s="7"/>
      <c r="Q101" s="7"/>
      <c r="R101" s="268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</row>
    <row r="102" ht="18.0" customHeight="1">
      <c r="A102" s="7"/>
      <c r="B102" s="7"/>
      <c r="C102" s="7"/>
      <c r="D102" s="7"/>
      <c r="E102" s="7"/>
      <c r="F102" s="7"/>
      <c r="G102" s="7"/>
      <c r="H102" s="267"/>
      <c r="I102" s="7"/>
      <c r="J102" s="7"/>
      <c r="K102" s="7"/>
      <c r="L102" s="7"/>
      <c r="M102" s="7"/>
      <c r="N102" s="7"/>
      <c r="O102" s="7"/>
      <c r="P102" s="7"/>
      <c r="Q102" s="7"/>
      <c r="R102" s="268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</row>
    <row r="103" ht="18.0" customHeight="1">
      <c r="A103" s="7"/>
      <c r="B103" s="7"/>
      <c r="C103" s="7"/>
      <c r="D103" s="7"/>
      <c r="E103" s="7"/>
      <c r="F103" s="7"/>
      <c r="G103" s="7"/>
      <c r="H103" s="267"/>
      <c r="I103" s="7"/>
      <c r="J103" s="7"/>
      <c r="K103" s="7"/>
      <c r="L103" s="7"/>
      <c r="M103" s="7"/>
      <c r="N103" s="7"/>
      <c r="O103" s="7"/>
      <c r="P103" s="7"/>
      <c r="Q103" s="7"/>
      <c r="R103" s="268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</row>
    <row r="104" ht="18.0" customHeight="1">
      <c r="A104" s="7"/>
      <c r="B104" s="7"/>
      <c r="C104" s="7"/>
      <c r="D104" s="7"/>
      <c r="E104" s="7"/>
      <c r="F104" s="7"/>
      <c r="G104" s="7"/>
      <c r="H104" s="267"/>
      <c r="I104" s="7"/>
      <c r="J104" s="7"/>
      <c r="K104" s="7"/>
      <c r="L104" s="7"/>
      <c r="M104" s="7"/>
      <c r="N104" s="7"/>
      <c r="O104" s="7"/>
      <c r="P104" s="7"/>
      <c r="Q104" s="7"/>
      <c r="R104" s="268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</row>
    <row r="105" ht="18.0" customHeight="1">
      <c r="A105" s="7"/>
      <c r="B105" s="7"/>
      <c r="C105" s="7"/>
      <c r="D105" s="7"/>
      <c r="E105" s="7"/>
      <c r="F105" s="7"/>
      <c r="G105" s="7"/>
      <c r="H105" s="267"/>
      <c r="I105" s="7"/>
      <c r="J105" s="7"/>
      <c r="K105" s="7"/>
      <c r="L105" s="7"/>
      <c r="M105" s="7"/>
      <c r="N105" s="7"/>
      <c r="O105" s="7"/>
      <c r="P105" s="7"/>
      <c r="Q105" s="7"/>
      <c r="R105" s="268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</row>
    <row r="106" ht="18.0" customHeight="1">
      <c r="A106" s="7"/>
      <c r="B106" s="7"/>
      <c r="C106" s="7"/>
      <c r="D106" s="7"/>
      <c r="E106" s="7"/>
      <c r="F106" s="7"/>
      <c r="G106" s="7"/>
      <c r="H106" s="267"/>
      <c r="I106" s="7"/>
      <c r="J106" s="7"/>
      <c r="K106" s="7"/>
      <c r="L106" s="7"/>
      <c r="M106" s="7"/>
      <c r="N106" s="7"/>
      <c r="O106" s="7"/>
      <c r="P106" s="7"/>
      <c r="Q106" s="7"/>
      <c r="R106" s="268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</row>
    <row r="107" ht="18.0" customHeight="1">
      <c r="A107" s="7"/>
      <c r="B107" s="7"/>
      <c r="C107" s="7"/>
      <c r="D107" s="7"/>
      <c r="E107" s="7"/>
      <c r="F107" s="7"/>
      <c r="G107" s="7"/>
      <c r="H107" s="267"/>
      <c r="I107" s="7"/>
      <c r="J107" s="7"/>
      <c r="K107" s="7"/>
      <c r="L107" s="7"/>
      <c r="M107" s="7"/>
      <c r="N107" s="7"/>
      <c r="O107" s="7"/>
      <c r="P107" s="7"/>
      <c r="Q107" s="7"/>
      <c r="R107" s="268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</row>
    <row r="108" ht="18.0" customHeight="1">
      <c r="A108" s="7"/>
      <c r="B108" s="7"/>
      <c r="C108" s="7"/>
      <c r="D108" s="7"/>
      <c r="E108" s="7"/>
      <c r="F108" s="7"/>
      <c r="G108" s="7"/>
      <c r="H108" s="267"/>
      <c r="I108" s="7"/>
      <c r="J108" s="7"/>
      <c r="K108" s="7"/>
      <c r="L108" s="7"/>
      <c r="M108" s="7"/>
      <c r="N108" s="7"/>
      <c r="O108" s="7"/>
      <c r="P108" s="7"/>
      <c r="Q108" s="7"/>
      <c r="R108" s="268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</row>
    <row r="109" ht="18.0" customHeight="1">
      <c r="A109" s="7"/>
      <c r="B109" s="7"/>
      <c r="C109" s="7"/>
      <c r="D109" s="7"/>
      <c r="E109" s="7"/>
      <c r="F109" s="7"/>
      <c r="G109" s="7"/>
      <c r="H109" s="267"/>
      <c r="I109" s="7"/>
      <c r="J109" s="7"/>
      <c r="K109" s="7"/>
      <c r="L109" s="7"/>
      <c r="M109" s="7"/>
      <c r="N109" s="7"/>
      <c r="O109" s="7"/>
      <c r="P109" s="7"/>
      <c r="Q109" s="7"/>
      <c r="R109" s="268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</row>
    <row r="110" ht="18.0" customHeight="1">
      <c r="A110" s="7"/>
      <c r="B110" s="7"/>
      <c r="C110" s="7"/>
      <c r="D110" s="7"/>
      <c r="E110" s="7"/>
      <c r="F110" s="7"/>
      <c r="G110" s="7"/>
      <c r="H110" s="267"/>
      <c r="I110" s="7"/>
      <c r="J110" s="7"/>
      <c r="K110" s="7"/>
      <c r="L110" s="7"/>
      <c r="M110" s="7"/>
      <c r="N110" s="7"/>
      <c r="O110" s="7"/>
      <c r="P110" s="7"/>
      <c r="Q110" s="7"/>
      <c r="R110" s="268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</row>
    <row r="111" ht="18.0" customHeight="1">
      <c r="A111" s="7"/>
      <c r="B111" s="7"/>
      <c r="C111" s="7"/>
      <c r="D111" s="7"/>
      <c r="E111" s="7"/>
      <c r="F111" s="7"/>
      <c r="G111" s="7"/>
      <c r="H111" s="267"/>
      <c r="I111" s="7"/>
      <c r="J111" s="7"/>
      <c r="K111" s="7"/>
      <c r="L111" s="7"/>
      <c r="M111" s="7"/>
      <c r="N111" s="7"/>
      <c r="O111" s="7"/>
      <c r="P111" s="7"/>
      <c r="Q111" s="7"/>
      <c r="R111" s="268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</row>
    <row r="112" ht="18.0" customHeight="1">
      <c r="A112" s="7"/>
      <c r="B112" s="7"/>
      <c r="C112" s="7"/>
      <c r="D112" s="7"/>
      <c r="E112" s="7"/>
      <c r="F112" s="7"/>
      <c r="G112" s="7"/>
      <c r="H112" s="267"/>
      <c r="I112" s="7"/>
      <c r="J112" s="7"/>
      <c r="K112" s="7"/>
      <c r="L112" s="7"/>
      <c r="M112" s="7"/>
      <c r="N112" s="7"/>
      <c r="O112" s="7"/>
      <c r="P112" s="7"/>
      <c r="Q112" s="7"/>
      <c r="R112" s="268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</row>
    <row r="113" ht="18.0" customHeight="1">
      <c r="A113" s="7"/>
      <c r="B113" s="7"/>
      <c r="C113" s="7"/>
      <c r="D113" s="7"/>
      <c r="E113" s="7"/>
      <c r="F113" s="7"/>
      <c r="G113" s="7"/>
      <c r="H113" s="267"/>
      <c r="I113" s="7"/>
      <c r="J113" s="7"/>
      <c r="K113" s="7"/>
      <c r="L113" s="7"/>
      <c r="M113" s="7"/>
      <c r="N113" s="7"/>
      <c r="O113" s="7"/>
      <c r="P113" s="7"/>
      <c r="Q113" s="7"/>
      <c r="R113" s="268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</row>
    <row r="114" ht="18.0" customHeight="1">
      <c r="A114" s="7"/>
      <c r="B114" s="7"/>
      <c r="C114" s="7"/>
      <c r="D114" s="7"/>
      <c r="E114" s="7"/>
      <c r="F114" s="7"/>
      <c r="G114" s="7"/>
      <c r="H114" s="267"/>
      <c r="I114" s="7"/>
      <c r="J114" s="7"/>
      <c r="K114" s="7"/>
      <c r="L114" s="7"/>
      <c r="M114" s="7"/>
      <c r="N114" s="7"/>
      <c r="O114" s="7"/>
      <c r="P114" s="7"/>
      <c r="Q114" s="7"/>
      <c r="R114" s="268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</row>
    <row r="115" ht="18.0" customHeight="1">
      <c r="A115" s="7"/>
      <c r="B115" s="7"/>
      <c r="C115" s="7"/>
      <c r="D115" s="7"/>
      <c r="E115" s="7"/>
      <c r="F115" s="7"/>
      <c r="G115" s="7"/>
      <c r="H115" s="267"/>
      <c r="I115" s="7"/>
      <c r="J115" s="7"/>
      <c r="K115" s="7"/>
      <c r="L115" s="7"/>
      <c r="M115" s="7"/>
      <c r="N115" s="7"/>
      <c r="O115" s="7"/>
      <c r="P115" s="7"/>
      <c r="Q115" s="7"/>
      <c r="R115" s="268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</row>
    <row r="116" ht="18.0" customHeight="1">
      <c r="A116" s="7"/>
      <c r="B116" s="7"/>
      <c r="C116" s="7"/>
      <c r="D116" s="7"/>
      <c r="E116" s="7"/>
      <c r="F116" s="7"/>
      <c r="G116" s="7"/>
      <c r="H116" s="267"/>
      <c r="I116" s="7"/>
      <c r="J116" s="7"/>
      <c r="K116" s="7"/>
      <c r="L116" s="7"/>
      <c r="M116" s="7"/>
      <c r="N116" s="7"/>
      <c r="O116" s="7"/>
      <c r="P116" s="7"/>
      <c r="Q116" s="7"/>
      <c r="R116" s="268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</row>
    <row r="117" ht="18.0" customHeight="1">
      <c r="A117" s="7"/>
      <c r="B117" s="7"/>
      <c r="C117" s="7"/>
      <c r="D117" s="7"/>
      <c r="E117" s="7"/>
      <c r="F117" s="7"/>
      <c r="G117" s="7"/>
      <c r="H117" s="267"/>
      <c r="I117" s="7"/>
      <c r="J117" s="7"/>
      <c r="K117" s="7"/>
      <c r="L117" s="7"/>
      <c r="M117" s="7"/>
      <c r="N117" s="7"/>
      <c r="O117" s="7"/>
      <c r="P117" s="7"/>
      <c r="Q117" s="7"/>
      <c r="R117" s="268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</row>
    <row r="118" ht="18.0" customHeight="1">
      <c r="A118" s="7"/>
      <c r="B118" s="7"/>
      <c r="C118" s="7"/>
      <c r="D118" s="7"/>
      <c r="E118" s="7"/>
      <c r="F118" s="7"/>
      <c r="G118" s="7"/>
      <c r="H118" s="267"/>
      <c r="I118" s="7"/>
      <c r="J118" s="7"/>
      <c r="K118" s="7"/>
      <c r="L118" s="7"/>
      <c r="M118" s="7"/>
      <c r="N118" s="7"/>
      <c r="O118" s="7"/>
      <c r="P118" s="7"/>
      <c r="Q118" s="7"/>
      <c r="R118" s="268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</row>
    <row r="119" ht="18.0" customHeight="1">
      <c r="A119" s="7"/>
      <c r="B119" s="7"/>
      <c r="C119" s="7"/>
      <c r="D119" s="7"/>
      <c r="E119" s="7"/>
      <c r="F119" s="7"/>
      <c r="G119" s="7"/>
      <c r="H119" s="267"/>
      <c r="I119" s="7"/>
      <c r="J119" s="7"/>
      <c r="K119" s="7"/>
      <c r="L119" s="7"/>
      <c r="M119" s="7"/>
      <c r="N119" s="7"/>
      <c r="O119" s="7"/>
      <c r="P119" s="7"/>
      <c r="Q119" s="7"/>
      <c r="R119" s="268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</row>
    <row r="120" ht="18.0" customHeight="1">
      <c r="A120" s="7"/>
      <c r="B120" s="7"/>
      <c r="C120" s="7"/>
      <c r="D120" s="7"/>
      <c r="E120" s="7"/>
      <c r="F120" s="7"/>
      <c r="G120" s="7"/>
      <c r="H120" s="267"/>
      <c r="I120" s="7"/>
      <c r="J120" s="7"/>
      <c r="K120" s="7"/>
      <c r="L120" s="7"/>
      <c r="M120" s="7"/>
      <c r="N120" s="7"/>
      <c r="O120" s="7"/>
      <c r="P120" s="7"/>
      <c r="Q120" s="7"/>
      <c r="R120" s="268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</row>
    <row r="121" ht="18.0" customHeight="1">
      <c r="A121" s="7"/>
      <c r="B121" s="7"/>
      <c r="C121" s="7"/>
      <c r="D121" s="7"/>
      <c r="E121" s="7"/>
      <c r="F121" s="7"/>
      <c r="G121" s="7"/>
      <c r="H121" s="267"/>
      <c r="I121" s="7"/>
      <c r="J121" s="7"/>
      <c r="K121" s="7"/>
      <c r="L121" s="7"/>
      <c r="M121" s="7"/>
      <c r="N121" s="7"/>
      <c r="O121" s="7"/>
      <c r="P121" s="7"/>
      <c r="Q121" s="7"/>
      <c r="R121" s="268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</row>
    <row r="122" ht="18.0" customHeight="1">
      <c r="A122" s="7"/>
      <c r="B122" s="7"/>
      <c r="C122" s="7"/>
      <c r="D122" s="7"/>
      <c r="E122" s="7"/>
      <c r="F122" s="7"/>
      <c r="G122" s="7"/>
      <c r="H122" s="267"/>
      <c r="I122" s="7"/>
      <c r="J122" s="7"/>
      <c r="K122" s="7"/>
      <c r="L122" s="7"/>
      <c r="M122" s="7"/>
      <c r="N122" s="7"/>
      <c r="O122" s="7"/>
      <c r="P122" s="7"/>
      <c r="Q122" s="7"/>
      <c r="R122" s="268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</row>
    <row r="123" ht="18.0" customHeight="1">
      <c r="A123" s="7"/>
      <c r="B123" s="7"/>
      <c r="C123" s="7"/>
      <c r="D123" s="7"/>
      <c r="E123" s="7"/>
      <c r="F123" s="7"/>
      <c r="G123" s="7"/>
      <c r="H123" s="267"/>
      <c r="I123" s="7"/>
      <c r="J123" s="7"/>
      <c r="K123" s="7"/>
      <c r="L123" s="7"/>
      <c r="M123" s="7"/>
      <c r="N123" s="7"/>
      <c r="O123" s="7"/>
      <c r="P123" s="7"/>
      <c r="Q123" s="7"/>
      <c r="R123" s="268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</row>
    <row r="124" ht="18.0" customHeight="1">
      <c r="A124" s="7"/>
      <c r="B124" s="7"/>
      <c r="C124" s="7"/>
      <c r="D124" s="7"/>
      <c r="E124" s="7"/>
      <c r="F124" s="7"/>
      <c r="G124" s="7"/>
      <c r="H124" s="267"/>
      <c r="I124" s="7"/>
      <c r="J124" s="7"/>
      <c r="K124" s="7"/>
      <c r="L124" s="7"/>
      <c r="M124" s="7"/>
      <c r="N124" s="7"/>
      <c r="O124" s="7"/>
      <c r="P124" s="7"/>
      <c r="Q124" s="7"/>
      <c r="R124" s="268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</row>
    <row r="125" ht="18.0" customHeight="1">
      <c r="A125" s="7"/>
      <c r="B125" s="7"/>
      <c r="C125" s="7"/>
      <c r="D125" s="7"/>
      <c r="E125" s="7"/>
      <c r="F125" s="7"/>
      <c r="G125" s="7"/>
      <c r="H125" s="267"/>
      <c r="I125" s="7"/>
      <c r="J125" s="7"/>
      <c r="K125" s="7"/>
      <c r="L125" s="7"/>
      <c r="M125" s="7"/>
      <c r="N125" s="7"/>
      <c r="O125" s="7"/>
      <c r="P125" s="7"/>
      <c r="Q125" s="7"/>
      <c r="R125" s="268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</row>
    <row r="126" ht="18.0" customHeight="1">
      <c r="A126" s="7"/>
      <c r="B126" s="7"/>
      <c r="C126" s="7"/>
      <c r="D126" s="7"/>
      <c r="E126" s="7"/>
      <c r="F126" s="7"/>
      <c r="G126" s="7"/>
      <c r="H126" s="267"/>
      <c r="I126" s="7"/>
      <c r="J126" s="7"/>
      <c r="K126" s="7"/>
      <c r="L126" s="7"/>
      <c r="M126" s="7"/>
      <c r="N126" s="7"/>
      <c r="O126" s="7"/>
      <c r="P126" s="7"/>
      <c r="Q126" s="7"/>
      <c r="R126" s="268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</row>
    <row r="127" ht="18.0" customHeight="1">
      <c r="A127" s="7"/>
      <c r="B127" s="7"/>
      <c r="C127" s="7"/>
      <c r="D127" s="7"/>
      <c r="E127" s="7"/>
      <c r="F127" s="7"/>
      <c r="G127" s="7"/>
      <c r="H127" s="267"/>
      <c r="I127" s="7"/>
      <c r="J127" s="7"/>
      <c r="K127" s="7"/>
      <c r="L127" s="7"/>
      <c r="M127" s="7"/>
      <c r="N127" s="7"/>
      <c r="O127" s="7"/>
      <c r="P127" s="7"/>
      <c r="Q127" s="7"/>
      <c r="R127" s="268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</row>
    <row r="128" ht="18.0" customHeight="1">
      <c r="A128" s="7"/>
      <c r="B128" s="7"/>
      <c r="C128" s="7"/>
      <c r="D128" s="7"/>
      <c r="E128" s="7"/>
      <c r="F128" s="7"/>
      <c r="G128" s="7"/>
      <c r="H128" s="267"/>
      <c r="I128" s="7"/>
      <c r="J128" s="7"/>
      <c r="K128" s="7"/>
      <c r="L128" s="7"/>
      <c r="M128" s="7"/>
      <c r="N128" s="7"/>
      <c r="O128" s="7"/>
      <c r="P128" s="7"/>
      <c r="Q128" s="7"/>
      <c r="R128" s="268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</row>
    <row r="129" ht="18.0" customHeight="1">
      <c r="A129" s="7"/>
      <c r="B129" s="7"/>
      <c r="C129" s="7"/>
      <c r="D129" s="7"/>
      <c r="E129" s="7"/>
      <c r="F129" s="7"/>
      <c r="G129" s="7"/>
      <c r="H129" s="267"/>
      <c r="I129" s="7"/>
      <c r="J129" s="7"/>
      <c r="K129" s="7"/>
      <c r="L129" s="7"/>
      <c r="M129" s="7"/>
      <c r="N129" s="7"/>
      <c r="O129" s="7"/>
      <c r="P129" s="7"/>
      <c r="Q129" s="7"/>
      <c r="R129" s="268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</row>
    <row r="130" ht="18.0" customHeight="1">
      <c r="A130" s="7"/>
      <c r="B130" s="7"/>
      <c r="C130" s="7"/>
      <c r="D130" s="7"/>
      <c r="E130" s="7"/>
      <c r="F130" s="7"/>
      <c r="G130" s="7"/>
      <c r="H130" s="267"/>
      <c r="I130" s="7"/>
      <c r="J130" s="7"/>
      <c r="K130" s="7"/>
      <c r="L130" s="7"/>
      <c r="M130" s="7"/>
      <c r="N130" s="7"/>
      <c r="O130" s="7"/>
      <c r="P130" s="7"/>
      <c r="Q130" s="7"/>
      <c r="R130" s="268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7"/>
      <c r="R131" s="268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7"/>
      <c r="R132" s="268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7"/>
      <c r="R133" s="268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7"/>
      <c r="R134" s="268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7"/>
      <c r="R135" s="268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7"/>
      <c r="R136" s="268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7"/>
      <c r="R137" s="268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7"/>
      <c r="R138" s="268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7"/>
      <c r="R139" s="268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7"/>
      <c r="R140" s="268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7"/>
      <c r="R141" s="268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7"/>
      <c r="R142" s="268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7"/>
      <c r="R143" s="268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7"/>
      <c r="R144" s="268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7"/>
      <c r="R145" s="268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7"/>
      <c r="R146" s="268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7"/>
      <c r="R147" s="268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7"/>
      <c r="R148" s="268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7"/>
      <c r="R149" s="268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7"/>
      <c r="R150" s="268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7"/>
      <c r="R151" s="268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7"/>
      <c r="R152" s="268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7"/>
      <c r="R153" s="268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7"/>
      <c r="R154" s="268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7"/>
      <c r="R155" s="268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7"/>
      <c r="R156" s="268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7"/>
      <c r="R157" s="268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7"/>
      <c r="R158" s="26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7"/>
      <c r="R159" s="26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7"/>
      <c r="R160" s="26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7"/>
      <c r="R161" s="26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7"/>
      <c r="R162" s="26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7"/>
      <c r="R163" s="26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7"/>
      <c r="R164" s="26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7"/>
      <c r="R165" s="26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7"/>
      <c r="R166" s="26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7"/>
      <c r="R167" s="26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7"/>
      <c r="R168" s="26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7"/>
      <c r="R169" s="26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7"/>
      <c r="R170" s="26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7"/>
      <c r="R171" s="26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7"/>
      <c r="R172" s="26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7"/>
      <c r="R173" s="26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7"/>
      <c r="R174" s="26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7"/>
      <c r="R175" s="26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7"/>
      <c r="R176" s="26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7"/>
      <c r="R177" s="26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7"/>
      <c r="R178" s="26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7"/>
      <c r="R179" s="26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7"/>
      <c r="R180" s="26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7"/>
      <c r="R181" s="26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7"/>
      <c r="R182" s="26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7"/>
      <c r="R183" s="26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7"/>
      <c r="R184" s="26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7"/>
      <c r="R185" s="26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7"/>
      <c r="R186" s="26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7"/>
      <c r="R187" s="26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7"/>
      <c r="R188" s="26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7"/>
      <c r="R189" s="26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7"/>
      <c r="R190" s="26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7"/>
      <c r="R191" s="26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7"/>
      <c r="R192" s="26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7"/>
      <c r="R193" s="26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7"/>
      <c r="R194" s="26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9:D9"/>
    <mergeCell ref="E10:H10"/>
    <mergeCell ref="C15:E15"/>
    <mergeCell ref="C28:E28"/>
    <mergeCell ref="C36:E36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8.29"/>
    <col customWidth="1" min="16" max="16" width="19.57"/>
    <col customWidth="1" min="17" max="17" width="17.43"/>
    <col customWidth="1" min="18" max="18" width="17.86"/>
    <col customWidth="1" min="19" max="19" width="17.0"/>
    <col customWidth="1" min="20" max="20" width="15.14"/>
    <col customWidth="1" min="21" max="21" width="13.86"/>
    <col customWidth="1" min="22" max="23" width="9.14"/>
    <col customWidth="1" min="24" max="24" width="16.0"/>
    <col customWidth="1" min="25" max="44" width="9.14"/>
  </cols>
  <sheetData>
    <row r="1" ht="18.75" customHeight="1">
      <c r="A1" s="139" t="s">
        <v>53</v>
      </c>
      <c r="B1" s="139"/>
      <c r="C1" s="139"/>
      <c r="D1" s="139"/>
      <c r="E1" s="139"/>
      <c r="F1" s="140"/>
      <c r="G1" s="139"/>
      <c r="H1" s="139"/>
      <c r="I1" s="139"/>
      <c r="J1" s="139"/>
      <c r="K1" s="139"/>
      <c r="L1" s="139"/>
      <c r="M1" s="139"/>
      <c r="N1" s="139"/>
      <c r="O1" s="139"/>
      <c r="P1" s="141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</row>
    <row r="2" ht="18.75" customHeight="1">
      <c r="A2" s="139"/>
      <c r="B2" s="139"/>
      <c r="C2" s="139"/>
      <c r="D2" s="139"/>
      <c r="E2" s="139"/>
      <c r="F2" s="140"/>
      <c r="G2" s="139"/>
      <c r="H2" s="139"/>
      <c r="I2" s="139"/>
      <c r="J2" s="139"/>
      <c r="K2" s="139"/>
      <c r="L2" s="139"/>
      <c r="M2" s="139"/>
      <c r="N2" s="139"/>
      <c r="O2" s="139"/>
      <c r="P2" s="141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</row>
    <row r="3" ht="18.75" customHeight="1">
      <c r="A3" s="142" t="s">
        <v>1</v>
      </c>
      <c r="B3" s="142"/>
      <c r="C3" s="142"/>
      <c r="D3" s="139"/>
      <c r="E3" s="139"/>
      <c r="F3" s="140"/>
      <c r="G3" s="139"/>
      <c r="H3" s="139"/>
      <c r="I3" s="139"/>
      <c r="J3" s="139"/>
      <c r="K3" s="139"/>
      <c r="L3" s="139"/>
      <c r="M3" s="139"/>
      <c r="N3" s="139"/>
      <c r="O3" s="139"/>
      <c r="P3" s="141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</row>
    <row r="4" ht="29.25" customHeight="1">
      <c r="A4" s="139"/>
      <c r="B4" s="139"/>
      <c r="C4" s="139"/>
      <c r="D4" s="139"/>
      <c r="E4" s="139"/>
      <c r="F4" s="140" t="s">
        <v>2</v>
      </c>
      <c r="G4" s="143">
        <v>44376.0</v>
      </c>
      <c r="H4" s="139"/>
      <c r="I4" s="139"/>
      <c r="J4" s="139"/>
      <c r="K4" s="139"/>
      <c r="L4" s="139"/>
      <c r="M4" s="139"/>
      <c r="N4" s="139"/>
      <c r="O4" s="139"/>
      <c r="P4" s="141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</row>
    <row r="5" ht="18.75" customHeight="1">
      <c r="A5" s="139" t="s">
        <v>4</v>
      </c>
      <c r="B5" s="139"/>
      <c r="C5" s="139"/>
      <c r="D5" s="139"/>
      <c r="E5" s="139"/>
      <c r="F5" s="140"/>
      <c r="G5" s="139"/>
      <c r="H5" s="139"/>
      <c r="I5" s="139"/>
      <c r="J5" s="139"/>
      <c r="K5" s="139"/>
      <c r="L5" s="139"/>
      <c r="M5" s="139"/>
      <c r="N5" s="139"/>
      <c r="O5" s="139"/>
      <c r="P5" s="141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</row>
    <row r="6" ht="18.75" customHeight="1">
      <c r="A6" s="144"/>
      <c r="B6" s="144"/>
      <c r="C6" s="144"/>
      <c r="D6" s="144"/>
      <c r="E6" s="144"/>
      <c r="F6" s="145"/>
      <c r="G6" s="144"/>
      <c r="H6" s="139"/>
      <c r="I6" s="139"/>
      <c r="J6" s="139"/>
      <c r="K6" s="139"/>
      <c r="L6" s="139"/>
      <c r="M6" s="139"/>
      <c r="N6" s="139"/>
      <c r="O6" s="139"/>
      <c r="P6" s="141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</row>
    <row r="7" ht="36.0" customHeight="1">
      <c r="A7" s="146" t="s">
        <v>6</v>
      </c>
      <c r="B7" s="147"/>
      <c r="C7" s="148" t="s">
        <v>226</v>
      </c>
      <c r="D7" s="149" t="s">
        <v>8</v>
      </c>
      <c r="E7" s="150" t="s">
        <v>9</v>
      </c>
      <c r="F7" s="147"/>
      <c r="G7" s="152" t="s">
        <v>10</v>
      </c>
      <c r="H7" s="139"/>
      <c r="I7" s="139"/>
      <c r="J7" s="139"/>
      <c r="K7" s="139"/>
      <c r="L7" s="139"/>
      <c r="M7" s="139"/>
      <c r="N7" s="139"/>
      <c r="O7" s="139"/>
      <c r="P7" s="141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</row>
    <row r="8" ht="26.25" customHeight="1">
      <c r="A8" s="153">
        <v>1.0</v>
      </c>
      <c r="B8" s="154" t="s">
        <v>227</v>
      </c>
      <c r="C8" s="154">
        <v>18.5</v>
      </c>
      <c r="D8" s="155">
        <v>0.1079</v>
      </c>
      <c r="E8" s="156">
        <f>206.155*1</f>
        <v>206.155</v>
      </c>
      <c r="F8" s="157">
        <v>1.0</v>
      </c>
      <c r="G8" s="158">
        <f t="shared" ref="G8:G10" si="1">+D8*E8</f>
        <v>22.2441245</v>
      </c>
      <c r="H8" s="307">
        <f t="shared" ref="H8:H10" si="2">E8-G8</f>
        <v>183.9108755</v>
      </c>
      <c r="I8" s="139"/>
      <c r="J8" s="139"/>
      <c r="K8" s="139"/>
      <c r="L8" s="139"/>
      <c r="M8" s="139"/>
      <c r="N8" s="139"/>
      <c r="O8" s="139"/>
      <c r="P8" s="308"/>
      <c r="Q8" s="309"/>
      <c r="R8" s="304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</row>
    <row r="9" ht="26.25" customHeight="1">
      <c r="A9" s="153">
        <v>2.0</v>
      </c>
      <c r="B9" s="154" t="s">
        <v>55</v>
      </c>
      <c r="C9" s="154">
        <v>29.5</v>
      </c>
      <c r="D9" s="155">
        <v>0.0155</v>
      </c>
      <c r="E9" s="156">
        <f>254.985*34.3</f>
        <v>8745.9855</v>
      </c>
      <c r="F9" s="157">
        <v>34.3</v>
      </c>
      <c r="G9" s="158">
        <f t="shared" si="1"/>
        <v>135.5627753</v>
      </c>
      <c r="H9" s="159">
        <f t="shared" si="2"/>
        <v>8610.422725</v>
      </c>
      <c r="I9" s="139"/>
      <c r="J9" s="139"/>
      <c r="K9" s="139"/>
      <c r="L9" s="139"/>
      <c r="M9" s="139"/>
      <c r="N9" s="139"/>
      <c r="O9" s="139"/>
      <c r="P9" s="141" t="s">
        <v>228</v>
      </c>
      <c r="Q9" s="139" t="s">
        <v>229</v>
      </c>
      <c r="R9" s="139" t="s">
        <v>230</v>
      </c>
      <c r="S9" s="139" t="s">
        <v>231</v>
      </c>
      <c r="T9" s="139" t="s">
        <v>232</v>
      </c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</row>
    <row r="10" ht="26.25" customHeight="1">
      <c r="A10" s="153">
        <v>3.0</v>
      </c>
      <c r="B10" s="154" t="s">
        <v>98</v>
      </c>
      <c r="C10" s="154">
        <v>18.5</v>
      </c>
      <c r="D10" s="155">
        <v>0.1168</v>
      </c>
      <c r="E10" s="156">
        <f>189.605*13</f>
        <v>2464.865</v>
      </c>
      <c r="F10" s="157">
        <v>13.0</v>
      </c>
      <c r="G10" s="158">
        <f t="shared" si="1"/>
        <v>287.896232</v>
      </c>
      <c r="H10" s="159">
        <f t="shared" si="2"/>
        <v>2176.968768</v>
      </c>
      <c r="I10" s="139"/>
      <c r="J10" s="139"/>
      <c r="K10" s="139"/>
      <c r="L10" s="139"/>
      <c r="M10" s="139"/>
      <c r="N10" s="139"/>
      <c r="O10" s="139"/>
      <c r="P10" s="141"/>
      <c r="Q10" s="139"/>
      <c r="R10" s="139"/>
      <c r="S10" s="139"/>
      <c r="T10" s="139" t="s">
        <v>233</v>
      </c>
      <c r="U10" s="139" t="s">
        <v>234</v>
      </c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</row>
    <row r="11" ht="18.75" customHeight="1">
      <c r="A11" s="163"/>
      <c r="B11" s="164"/>
      <c r="C11" s="165"/>
      <c r="D11" s="166"/>
      <c r="E11" s="167">
        <f>SUM(E8:E10)</f>
        <v>11417.0055</v>
      </c>
      <c r="F11" s="169"/>
      <c r="G11" s="170">
        <f t="shared" ref="G11:H11" si="3">SUM(G8:G10)</f>
        <v>445.7031318</v>
      </c>
      <c r="H11" s="171">
        <f t="shared" si="3"/>
        <v>10971.30237</v>
      </c>
      <c r="I11" s="139"/>
      <c r="J11" s="139"/>
      <c r="K11" s="139"/>
      <c r="L11" s="139"/>
      <c r="M11" s="139"/>
      <c r="N11" s="139"/>
      <c r="O11" s="139"/>
      <c r="P11" s="141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</row>
    <row r="12" ht="18.75" customHeight="1">
      <c r="A12" s="172"/>
      <c r="B12" s="144"/>
      <c r="C12" s="144"/>
      <c r="D12" s="173"/>
      <c r="E12" s="174"/>
      <c r="F12" s="147"/>
      <c r="G12" s="175"/>
      <c r="H12" s="139"/>
      <c r="I12" s="139"/>
      <c r="J12" s="139"/>
      <c r="K12" s="139"/>
      <c r="L12" s="139"/>
      <c r="M12" s="139"/>
      <c r="N12" s="139"/>
      <c r="O12" s="139"/>
      <c r="P12" s="141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</row>
    <row r="13" ht="18.75" customHeight="1">
      <c r="A13" s="139"/>
      <c r="B13" s="139"/>
      <c r="C13" s="139"/>
      <c r="D13" s="139"/>
      <c r="E13" s="139"/>
      <c r="F13" s="140"/>
      <c r="G13" s="139"/>
      <c r="H13" s="139"/>
      <c r="I13" s="139"/>
      <c r="J13" s="139"/>
      <c r="K13" s="139"/>
      <c r="L13" s="139"/>
      <c r="M13" s="139"/>
      <c r="N13" s="139"/>
      <c r="O13" s="139"/>
      <c r="P13" s="141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</row>
    <row r="14" ht="18.75" customHeight="1">
      <c r="A14" s="139"/>
      <c r="B14" s="139"/>
      <c r="C14" s="139"/>
      <c r="D14" s="139"/>
      <c r="E14" s="139"/>
      <c r="F14" s="140"/>
      <c r="G14" s="139"/>
      <c r="H14" s="139"/>
      <c r="I14" s="139"/>
      <c r="J14" s="139"/>
      <c r="K14" s="139"/>
      <c r="L14" s="139"/>
      <c r="M14" s="139"/>
      <c r="N14" s="139"/>
      <c r="O14" s="139"/>
      <c r="P14" s="141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</row>
    <row r="15" ht="18.75" customHeight="1">
      <c r="A15" s="139" t="s">
        <v>11</v>
      </c>
      <c r="B15" s="139"/>
      <c r="C15" s="139"/>
      <c r="D15" s="139"/>
      <c r="E15" s="139"/>
      <c r="F15" s="140"/>
      <c r="G15" s="139"/>
      <c r="H15" s="139"/>
      <c r="I15" s="139"/>
      <c r="J15" s="139"/>
      <c r="K15" s="139"/>
      <c r="L15" s="139"/>
      <c r="M15" s="139"/>
      <c r="N15" s="139"/>
      <c r="O15" s="139"/>
      <c r="P15" s="141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</row>
    <row r="16" ht="18.75" customHeight="1">
      <c r="A16" s="139"/>
      <c r="B16" s="139"/>
      <c r="C16" s="139"/>
      <c r="D16" s="139"/>
      <c r="E16" s="139"/>
      <c r="F16" s="140"/>
      <c r="G16" s="139"/>
      <c r="H16" s="139"/>
      <c r="I16" s="139"/>
      <c r="J16" s="139"/>
      <c r="K16" s="139"/>
      <c r="L16" s="139"/>
      <c r="M16" s="139"/>
      <c r="N16" s="139"/>
      <c r="O16" s="139"/>
      <c r="P16" s="141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</row>
    <row r="17" ht="40.5" customHeight="1">
      <c r="A17" s="176"/>
      <c r="B17" s="160" t="s">
        <v>12</v>
      </c>
      <c r="C17" s="177" t="s">
        <v>62</v>
      </c>
      <c r="D17" s="52"/>
      <c r="E17" s="53"/>
      <c r="F17" s="179" t="s">
        <v>14</v>
      </c>
      <c r="G17" s="160" t="s">
        <v>15</v>
      </c>
      <c r="H17" s="160" t="s">
        <v>16</v>
      </c>
      <c r="I17" s="139"/>
      <c r="J17" s="160" t="s">
        <v>17</v>
      </c>
      <c r="K17" s="160" t="s">
        <v>15</v>
      </c>
      <c r="L17" s="176" t="s">
        <v>18</v>
      </c>
      <c r="M17" s="139"/>
      <c r="N17" s="139"/>
      <c r="O17" s="176" t="s">
        <v>129</v>
      </c>
      <c r="P17" s="180"/>
      <c r="Q17" s="160" t="s">
        <v>17</v>
      </c>
      <c r="R17" s="160" t="s">
        <v>15</v>
      </c>
      <c r="S17" s="176" t="s">
        <v>18</v>
      </c>
      <c r="T17" s="139"/>
      <c r="U17" s="176" t="s">
        <v>19</v>
      </c>
      <c r="V17" s="176" t="s">
        <v>20</v>
      </c>
      <c r="W17" s="176" t="s">
        <v>21</v>
      </c>
      <c r="X17" s="176" t="s">
        <v>235</v>
      </c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</row>
    <row r="18" ht="27.0" customHeight="1">
      <c r="A18" s="160">
        <v>1.0</v>
      </c>
      <c r="B18" s="182" t="s">
        <v>111</v>
      </c>
      <c r="C18" s="191">
        <v>80.0</v>
      </c>
      <c r="D18" s="191">
        <v>202.0</v>
      </c>
      <c r="E18" s="191">
        <v>163.0</v>
      </c>
      <c r="F18" s="192">
        <f t="shared" ref="F18:F37" si="5">+T18</f>
        <v>48.73048</v>
      </c>
      <c r="G18" s="191">
        <v>1.0</v>
      </c>
      <c r="H18" s="310">
        <f t="shared" ref="H18:H37" si="6">+G18*F18</f>
        <v>48.73048</v>
      </c>
      <c r="I18" s="139"/>
      <c r="J18" s="176">
        <f>D18*25.4/1000</f>
        <v>5.1308</v>
      </c>
      <c r="K18" s="160">
        <f>+G18</f>
        <v>1</v>
      </c>
      <c r="L18" s="160">
        <f>K18*J18</f>
        <v>5.1308</v>
      </c>
      <c r="M18" s="139"/>
      <c r="N18" s="139"/>
      <c r="O18" s="176"/>
      <c r="P18" s="281">
        <v>18.5</v>
      </c>
      <c r="Q18" s="176">
        <f t="shared" ref="Q18:Q38" si="7">E18/100</f>
        <v>1.63</v>
      </c>
      <c r="R18" s="160">
        <f t="shared" ref="R18:R38" si="8">G18</f>
        <v>1</v>
      </c>
      <c r="S18" s="160">
        <f t="shared" ref="S18:S38" si="9">R18*Q18</f>
        <v>1.63</v>
      </c>
      <c r="T18" s="282">
        <f t="shared" ref="T18:T37" si="10">P18*C18/100*D18/100*E18/100</f>
        <v>48.73048</v>
      </c>
      <c r="U18" s="176">
        <f t="shared" ref="U18:V18" si="4">C18/100</f>
        <v>0.8</v>
      </c>
      <c r="V18" s="176">
        <f t="shared" si="4"/>
        <v>2.02</v>
      </c>
      <c r="W18" s="176">
        <f t="shared" ref="W18:W38" si="12">S18</f>
        <v>1.63</v>
      </c>
      <c r="X18" s="283">
        <f t="shared" ref="X18:X38" si="13">U18*V18*W18</f>
        <v>2.63408</v>
      </c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</row>
    <row r="19" ht="27.0" customHeight="1">
      <c r="A19" s="160">
        <v>2.0</v>
      </c>
      <c r="B19" s="191" t="s">
        <v>111</v>
      </c>
      <c r="C19" s="191">
        <v>75.0</v>
      </c>
      <c r="D19" s="191">
        <v>202.0</v>
      </c>
      <c r="E19" s="191">
        <v>72.0</v>
      </c>
      <c r="F19" s="192">
        <f t="shared" si="5"/>
        <v>20.1798</v>
      </c>
      <c r="G19" s="191">
        <v>1.0</v>
      </c>
      <c r="H19" s="310">
        <f t="shared" si="6"/>
        <v>20.1798</v>
      </c>
      <c r="I19" s="139"/>
      <c r="J19" s="176"/>
      <c r="K19" s="160"/>
      <c r="L19" s="160"/>
      <c r="M19" s="139"/>
      <c r="N19" s="139"/>
      <c r="O19" s="176"/>
      <c r="P19" s="281">
        <v>18.5</v>
      </c>
      <c r="Q19" s="176">
        <f t="shared" si="7"/>
        <v>0.72</v>
      </c>
      <c r="R19" s="160">
        <f t="shared" si="8"/>
        <v>1</v>
      </c>
      <c r="S19" s="160">
        <f t="shared" si="9"/>
        <v>0.72</v>
      </c>
      <c r="T19" s="282">
        <f t="shared" si="10"/>
        <v>20.1798</v>
      </c>
      <c r="U19" s="176">
        <f t="shared" ref="U19:V19" si="11">C19/100</f>
        <v>0.75</v>
      </c>
      <c r="V19" s="176">
        <f t="shared" si="11"/>
        <v>2.02</v>
      </c>
      <c r="W19" s="176">
        <f t="shared" si="12"/>
        <v>0.72</v>
      </c>
      <c r="X19" s="283">
        <f t="shared" si="13"/>
        <v>1.0908</v>
      </c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</row>
    <row r="20" ht="27.0" customHeight="1">
      <c r="A20" s="160">
        <v>3.0</v>
      </c>
      <c r="B20" s="182" t="s">
        <v>55</v>
      </c>
      <c r="C20" s="191">
        <v>94.0</v>
      </c>
      <c r="D20" s="191">
        <v>215.0</v>
      </c>
      <c r="E20" s="191">
        <v>2840.0</v>
      </c>
      <c r="F20" s="192">
        <f t="shared" si="5"/>
        <v>1693.1938</v>
      </c>
      <c r="G20" s="191">
        <v>3.0</v>
      </c>
      <c r="H20" s="194">
        <f t="shared" si="6"/>
        <v>5079.5814</v>
      </c>
      <c r="I20" s="139"/>
      <c r="J20" s="176">
        <f t="shared" ref="J20:J37" si="15">D20*25.4/1000</f>
        <v>5.461</v>
      </c>
      <c r="K20" s="160">
        <f t="shared" ref="K20:K37" si="16">+G20</f>
        <v>3</v>
      </c>
      <c r="L20" s="160">
        <f t="shared" ref="L20:L37" si="17">K20*J20</f>
        <v>16.383</v>
      </c>
      <c r="M20" s="139"/>
      <c r="N20" s="139"/>
      <c r="O20" s="176"/>
      <c r="P20" s="281">
        <v>29.5</v>
      </c>
      <c r="Q20" s="176">
        <f t="shared" si="7"/>
        <v>28.4</v>
      </c>
      <c r="R20" s="160">
        <f t="shared" si="8"/>
        <v>3</v>
      </c>
      <c r="S20" s="160">
        <f t="shared" si="9"/>
        <v>85.2</v>
      </c>
      <c r="T20" s="282">
        <f t="shared" si="10"/>
        <v>1693.1938</v>
      </c>
      <c r="U20" s="176">
        <f t="shared" ref="U20:V20" si="14">C20/100</f>
        <v>0.94</v>
      </c>
      <c r="V20" s="176">
        <f t="shared" si="14"/>
        <v>2.15</v>
      </c>
      <c r="W20" s="176">
        <f t="shared" si="12"/>
        <v>85.2</v>
      </c>
      <c r="X20" s="283">
        <f t="shared" si="13"/>
        <v>172.1892</v>
      </c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</row>
    <row r="21" ht="27.0" customHeight="1">
      <c r="A21" s="160">
        <v>4.0</v>
      </c>
      <c r="B21" s="191" t="s">
        <v>55</v>
      </c>
      <c r="C21" s="191">
        <v>94.0</v>
      </c>
      <c r="D21" s="191">
        <v>215.0</v>
      </c>
      <c r="E21" s="191">
        <v>2250.0</v>
      </c>
      <c r="F21" s="192">
        <f t="shared" si="5"/>
        <v>1341.43875</v>
      </c>
      <c r="G21" s="191">
        <v>1.0</v>
      </c>
      <c r="H21" s="194">
        <f t="shared" si="6"/>
        <v>1341.43875</v>
      </c>
      <c r="I21" s="139"/>
      <c r="J21" s="176">
        <f t="shared" si="15"/>
        <v>5.461</v>
      </c>
      <c r="K21" s="160">
        <f t="shared" si="16"/>
        <v>1</v>
      </c>
      <c r="L21" s="160">
        <f t="shared" si="17"/>
        <v>5.461</v>
      </c>
      <c r="M21" s="139"/>
      <c r="N21" s="139"/>
      <c r="O21" s="176"/>
      <c r="P21" s="281">
        <v>29.5</v>
      </c>
      <c r="Q21" s="176">
        <f t="shared" si="7"/>
        <v>22.5</v>
      </c>
      <c r="R21" s="160">
        <f t="shared" si="8"/>
        <v>1</v>
      </c>
      <c r="S21" s="160">
        <f t="shared" si="9"/>
        <v>22.5</v>
      </c>
      <c r="T21" s="282">
        <f t="shared" si="10"/>
        <v>1341.43875</v>
      </c>
      <c r="U21" s="176">
        <f t="shared" ref="U21:V21" si="18">C21/100</f>
        <v>0.94</v>
      </c>
      <c r="V21" s="176">
        <f t="shared" si="18"/>
        <v>2.15</v>
      </c>
      <c r="W21" s="176">
        <f t="shared" si="12"/>
        <v>22.5</v>
      </c>
      <c r="X21" s="283">
        <f t="shared" si="13"/>
        <v>45.4725</v>
      </c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</row>
    <row r="22" ht="27.0" customHeight="1">
      <c r="A22" s="160">
        <v>5.0</v>
      </c>
      <c r="B22" s="191" t="s">
        <v>55</v>
      </c>
      <c r="C22" s="191">
        <v>93.0</v>
      </c>
      <c r="D22" s="191">
        <v>215.0</v>
      </c>
      <c r="E22" s="191">
        <v>232.0</v>
      </c>
      <c r="F22" s="192">
        <f t="shared" si="5"/>
        <v>136.84578</v>
      </c>
      <c r="G22" s="191">
        <v>2.0</v>
      </c>
      <c r="H22" s="194">
        <f t="shared" si="6"/>
        <v>273.69156</v>
      </c>
      <c r="I22" s="139"/>
      <c r="J22" s="176">
        <f t="shared" si="15"/>
        <v>5.461</v>
      </c>
      <c r="K22" s="160">
        <f t="shared" si="16"/>
        <v>2</v>
      </c>
      <c r="L22" s="160">
        <f t="shared" si="17"/>
        <v>10.922</v>
      </c>
      <c r="M22" s="139"/>
      <c r="N22" s="139"/>
      <c r="O22" s="176"/>
      <c r="P22" s="281">
        <v>29.5</v>
      </c>
      <c r="Q22" s="176">
        <f t="shared" si="7"/>
        <v>2.32</v>
      </c>
      <c r="R22" s="160">
        <f t="shared" si="8"/>
        <v>2</v>
      </c>
      <c r="S22" s="160">
        <f t="shared" si="9"/>
        <v>4.64</v>
      </c>
      <c r="T22" s="282">
        <f t="shared" si="10"/>
        <v>136.84578</v>
      </c>
      <c r="U22" s="176">
        <f t="shared" ref="U22:V22" si="19">C22/100</f>
        <v>0.93</v>
      </c>
      <c r="V22" s="176">
        <f t="shared" si="19"/>
        <v>2.15</v>
      </c>
      <c r="W22" s="176">
        <f t="shared" si="12"/>
        <v>4.64</v>
      </c>
      <c r="X22" s="283">
        <f t="shared" si="13"/>
        <v>9.27768</v>
      </c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</row>
    <row r="23" ht="27.0" customHeight="1">
      <c r="A23" s="160">
        <v>6.0</v>
      </c>
      <c r="B23" s="191" t="s">
        <v>55</v>
      </c>
      <c r="C23" s="191">
        <v>80.0</v>
      </c>
      <c r="D23" s="191">
        <v>215.0</v>
      </c>
      <c r="E23" s="191">
        <v>138.0</v>
      </c>
      <c r="F23" s="192">
        <f t="shared" si="5"/>
        <v>70.0212</v>
      </c>
      <c r="G23" s="191">
        <v>1.0</v>
      </c>
      <c r="H23" s="194">
        <f t="shared" si="6"/>
        <v>70.0212</v>
      </c>
      <c r="I23" s="139"/>
      <c r="J23" s="176">
        <f t="shared" si="15"/>
        <v>5.461</v>
      </c>
      <c r="K23" s="160">
        <f t="shared" si="16"/>
        <v>1</v>
      </c>
      <c r="L23" s="160">
        <f t="shared" si="17"/>
        <v>5.461</v>
      </c>
      <c r="M23" s="139"/>
      <c r="N23" s="139"/>
      <c r="O23" s="176"/>
      <c r="P23" s="281">
        <v>29.5</v>
      </c>
      <c r="Q23" s="176">
        <f t="shared" si="7"/>
        <v>1.38</v>
      </c>
      <c r="R23" s="160">
        <f t="shared" si="8"/>
        <v>1</v>
      </c>
      <c r="S23" s="160">
        <f t="shared" si="9"/>
        <v>1.38</v>
      </c>
      <c r="T23" s="282">
        <f t="shared" si="10"/>
        <v>70.0212</v>
      </c>
      <c r="U23" s="176">
        <f t="shared" ref="U23:V23" si="20">C23/100</f>
        <v>0.8</v>
      </c>
      <c r="V23" s="176">
        <f t="shared" si="20"/>
        <v>2.15</v>
      </c>
      <c r="W23" s="176">
        <f t="shared" si="12"/>
        <v>1.38</v>
      </c>
      <c r="X23" s="283">
        <f t="shared" si="13"/>
        <v>2.3736</v>
      </c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</row>
    <row r="24" ht="27.0" customHeight="1">
      <c r="A24" s="160">
        <v>7.0</v>
      </c>
      <c r="B24" s="191" t="s">
        <v>55</v>
      </c>
      <c r="C24" s="191">
        <v>94.0</v>
      </c>
      <c r="D24" s="191">
        <v>215.0</v>
      </c>
      <c r="E24" s="191">
        <v>232.0</v>
      </c>
      <c r="F24" s="192">
        <f t="shared" si="5"/>
        <v>138.31724</v>
      </c>
      <c r="G24" s="191">
        <v>2.0</v>
      </c>
      <c r="H24" s="194">
        <f t="shared" si="6"/>
        <v>276.63448</v>
      </c>
      <c r="I24" s="139"/>
      <c r="J24" s="176">
        <f t="shared" si="15"/>
        <v>5.461</v>
      </c>
      <c r="K24" s="160">
        <f t="shared" si="16"/>
        <v>2</v>
      </c>
      <c r="L24" s="160">
        <f t="shared" si="17"/>
        <v>10.922</v>
      </c>
      <c r="M24" s="139"/>
      <c r="N24" s="139"/>
      <c r="O24" s="176"/>
      <c r="P24" s="281">
        <v>29.5</v>
      </c>
      <c r="Q24" s="176">
        <f t="shared" si="7"/>
        <v>2.32</v>
      </c>
      <c r="R24" s="160">
        <f t="shared" si="8"/>
        <v>2</v>
      </c>
      <c r="S24" s="160">
        <f t="shared" si="9"/>
        <v>4.64</v>
      </c>
      <c r="T24" s="282">
        <f t="shared" si="10"/>
        <v>138.31724</v>
      </c>
      <c r="U24" s="176">
        <f t="shared" ref="U24:V24" si="21">C24/100</f>
        <v>0.94</v>
      </c>
      <c r="V24" s="176">
        <f t="shared" si="21"/>
        <v>2.15</v>
      </c>
      <c r="W24" s="176">
        <f t="shared" si="12"/>
        <v>4.64</v>
      </c>
      <c r="X24" s="283">
        <f t="shared" si="13"/>
        <v>9.37744</v>
      </c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</row>
    <row r="25" ht="27.0" customHeight="1">
      <c r="A25" s="160">
        <v>8.0</v>
      </c>
      <c r="B25" s="191" t="s">
        <v>55</v>
      </c>
      <c r="C25" s="191">
        <v>94.0</v>
      </c>
      <c r="D25" s="191">
        <v>215.0</v>
      </c>
      <c r="E25" s="191">
        <v>240.0</v>
      </c>
      <c r="F25" s="192">
        <f t="shared" si="5"/>
        <v>143.0868</v>
      </c>
      <c r="G25" s="191">
        <v>1.0</v>
      </c>
      <c r="H25" s="194">
        <f t="shared" si="6"/>
        <v>143.0868</v>
      </c>
      <c r="I25" s="139"/>
      <c r="J25" s="176">
        <f t="shared" si="15"/>
        <v>5.461</v>
      </c>
      <c r="K25" s="160">
        <f t="shared" si="16"/>
        <v>1</v>
      </c>
      <c r="L25" s="160">
        <f t="shared" si="17"/>
        <v>5.461</v>
      </c>
      <c r="M25" s="139"/>
      <c r="N25" s="139"/>
      <c r="O25" s="176"/>
      <c r="P25" s="281">
        <v>29.5</v>
      </c>
      <c r="Q25" s="176">
        <f t="shared" si="7"/>
        <v>2.4</v>
      </c>
      <c r="R25" s="160">
        <f t="shared" si="8"/>
        <v>1</v>
      </c>
      <c r="S25" s="160">
        <f t="shared" si="9"/>
        <v>2.4</v>
      </c>
      <c r="T25" s="282">
        <f t="shared" si="10"/>
        <v>143.0868</v>
      </c>
      <c r="U25" s="176">
        <f t="shared" ref="U25:V25" si="22">C25/100</f>
        <v>0.94</v>
      </c>
      <c r="V25" s="176">
        <f t="shared" si="22"/>
        <v>2.15</v>
      </c>
      <c r="W25" s="176">
        <f t="shared" si="12"/>
        <v>2.4</v>
      </c>
      <c r="X25" s="283">
        <f t="shared" si="13"/>
        <v>4.8504</v>
      </c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</row>
    <row r="26" ht="27.0" customHeight="1">
      <c r="A26" s="160">
        <v>9.0</v>
      </c>
      <c r="B26" s="191" t="s">
        <v>55</v>
      </c>
      <c r="C26" s="191">
        <v>93.0</v>
      </c>
      <c r="D26" s="191">
        <v>215.0</v>
      </c>
      <c r="E26" s="191">
        <v>233.0</v>
      </c>
      <c r="F26" s="192">
        <f t="shared" si="5"/>
        <v>137.4356325</v>
      </c>
      <c r="G26" s="191">
        <v>1.0</v>
      </c>
      <c r="H26" s="194">
        <f t="shared" si="6"/>
        <v>137.4356325</v>
      </c>
      <c r="I26" s="139"/>
      <c r="J26" s="176">
        <f t="shared" si="15"/>
        <v>5.461</v>
      </c>
      <c r="K26" s="160">
        <f t="shared" si="16"/>
        <v>1</v>
      </c>
      <c r="L26" s="160">
        <f t="shared" si="17"/>
        <v>5.461</v>
      </c>
      <c r="M26" s="139"/>
      <c r="N26" s="139"/>
      <c r="O26" s="176"/>
      <c r="P26" s="281">
        <v>29.5</v>
      </c>
      <c r="Q26" s="176">
        <f t="shared" si="7"/>
        <v>2.33</v>
      </c>
      <c r="R26" s="160">
        <f t="shared" si="8"/>
        <v>1</v>
      </c>
      <c r="S26" s="160">
        <f t="shared" si="9"/>
        <v>2.33</v>
      </c>
      <c r="T26" s="282">
        <f t="shared" si="10"/>
        <v>137.4356325</v>
      </c>
      <c r="U26" s="176">
        <f t="shared" ref="U26:V26" si="23">C26/100</f>
        <v>0.93</v>
      </c>
      <c r="V26" s="176">
        <f t="shared" si="23"/>
        <v>2.15</v>
      </c>
      <c r="W26" s="176">
        <f t="shared" si="12"/>
        <v>2.33</v>
      </c>
      <c r="X26" s="283">
        <f t="shared" si="13"/>
        <v>4.658835</v>
      </c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</row>
    <row r="27" ht="27.0" customHeight="1">
      <c r="A27" s="160">
        <v>10.0</v>
      </c>
      <c r="B27" s="191" t="s">
        <v>55</v>
      </c>
      <c r="C27" s="191">
        <v>94.0</v>
      </c>
      <c r="D27" s="191">
        <v>215.0</v>
      </c>
      <c r="E27" s="191">
        <v>235.0</v>
      </c>
      <c r="F27" s="192">
        <f t="shared" si="5"/>
        <v>140.105825</v>
      </c>
      <c r="G27" s="191">
        <v>1.0</v>
      </c>
      <c r="H27" s="194">
        <f t="shared" si="6"/>
        <v>140.105825</v>
      </c>
      <c r="I27" s="139"/>
      <c r="J27" s="176">
        <f t="shared" si="15"/>
        <v>5.461</v>
      </c>
      <c r="K27" s="160">
        <f t="shared" si="16"/>
        <v>1</v>
      </c>
      <c r="L27" s="160">
        <f t="shared" si="17"/>
        <v>5.461</v>
      </c>
      <c r="M27" s="139"/>
      <c r="N27" s="139"/>
      <c r="O27" s="176"/>
      <c r="P27" s="281">
        <v>29.5</v>
      </c>
      <c r="Q27" s="176">
        <f t="shared" si="7"/>
        <v>2.35</v>
      </c>
      <c r="R27" s="160">
        <f t="shared" si="8"/>
        <v>1</v>
      </c>
      <c r="S27" s="160">
        <f t="shared" si="9"/>
        <v>2.35</v>
      </c>
      <c r="T27" s="282">
        <f t="shared" si="10"/>
        <v>140.105825</v>
      </c>
      <c r="U27" s="176">
        <f t="shared" ref="U27:V27" si="24">C27/100</f>
        <v>0.94</v>
      </c>
      <c r="V27" s="176">
        <f t="shared" si="24"/>
        <v>2.15</v>
      </c>
      <c r="W27" s="176">
        <f t="shared" si="12"/>
        <v>2.35</v>
      </c>
      <c r="X27" s="283">
        <f t="shared" si="13"/>
        <v>4.74935</v>
      </c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</row>
    <row r="28" ht="27.0" customHeight="1">
      <c r="A28" s="160">
        <v>11.0</v>
      </c>
      <c r="B28" s="191" t="s">
        <v>55</v>
      </c>
      <c r="C28" s="191">
        <v>89.0</v>
      </c>
      <c r="D28" s="191">
        <v>215.0</v>
      </c>
      <c r="E28" s="191">
        <v>237.0</v>
      </c>
      <c r="F28" s="192">
        <f t="shared" si="5"/>
        <v>133.7823525</v>
      </c>
      <c r="G28" s="191">
        <v>1.0</v>
      </c>
      <c r="H28" s="194">
        <f t="shared" si="6"/>
        <v>133.7823525</v>
      </c>
      <c r="I28" s="139"/>
      <c r="J28" s="176">
        <f t="shared" si="15"/>
        <v>5.461</v>
      </c>
      <c r="K28" s="160">
        <f t="shared" si="16"/>
        <v>1</v>
      </c>
      <c r="L28" s="160">
        <f t="shared" si="17"/>
        <v>5.461</v>
      </c>
      <c r="M28" s="139"/>
      <c r="N28" s="139"/>
      <c r="O28" s="176"/>
      <c r="P28" s="281">
        <v>29.5</v>
      </c>
      <c r="Q28" s="176">
        <f t="shared" si="7"/>
        <v>2.37</v>
      </c>
      <c r="R28" s="160">
        <f t="shared" si="8"/>
        <v>1</v>
      </c>
      <c r="S28" s="160">
        <f t="shared" si="9"/>
        <v>2.37</v>
      </c>
      <c r="T28" s="282">
        <f t="shared" si="10"/>
        <v>133.7823525</v>
      </c>
      <c r="U28" s="176">
        <f t="shared" ref="U28:V28" si="25">C28/100</f>
        <v>0.89</v>
      </c>
      <c r="V28" s="176">
        <f t="shared" si="25"/>
        <v>2.15</v>
      </c>
      <c r="W28" s="176">
        <f t="shared" si="12"/>
        <v>2.37</v>
      </c>
      <c r="X28" s="283">
        <f t="shared" si="13"/>
        <v>4.534995</v>
      </c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</row>
    <row r="29" ht="27.0" customHeight="1">
      <c r="A29" s="160">
        <v>12.0</v>
      </c>
      <c r="B29" s="191" t="s">
        <v>55</v>
      </c>
      <c r="C29" s="191">
        <v>94.0</v>
      </c>
      <c r="D29" s="191">
        <v>215.0</v>
      </c>
      <c r="E29" s="191">
        <v>246.0</v>
      </c>
      <c r="F29" s="192">
        <f t="shared" si="5"/>
        <v>146.66397</v>
      </c>
      <c r="G29" s="191">
        <v>1.0</v>
      </c>
      <c r="H29" s="194">
        <f t="shared" si="6"/>
        <v>146.66397</v>
      </c>
      <c r="I29" s="139"/>
      <c r="J29" s="176">
        <f t="shared" si="15"/>
        <v>5.461</v>
      </c>
      <c r="K29" s="160">
        <f t="shared" si="16"/>
        <v>1</v>
      </c>
      <c r="L29" s="160">
        <f t="shared" si="17"/>
        <v>5.461</v>
      </c>
      <c r="M29" s="139"/>
      <c r="N29" s="139"/>
      <c r="O29" s="176"/>
      <c r="P29" s="281">
        <v>29.5</v>
      </c>
      <c r="Q29" s="176">
        <f t="shared" si="7"/>
        <v>2.46</v>
      </c>
      <c r="R29" s="160">
        <f t="shared" si="8"/>
        <v>1</v>
      </c>
      <c r="S29" s="160">
        <f t="shared" si="9"/>
        <v>2.46</v>
      </c>
      <c r="T29" s="282">
        <f t="shared" si="10"/>
        <v>146.66397</v>
      </c>
      <c r="U29" s="176">
        <f t="shared" ref="U29:V29" si="26">C29/100</f>
        <v>0.94</v>
      </c>
      <c r="V29" s="176">
        <f t="shared" si="26"/>
        <v>2.15</v>
      </c>
      <c r="W29" s="176">
        <f t="shared" si="12"/>
        <v>2.46</v>
      </c>
      <c r="X29" s="283">
        <f t="shared" si="13"/>
        <v>4.97166</v>
      </c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</row>
    <row r="30" ht="27.0" customHeight="1">
      <c r="A30" s="160">
        <v>13.0</v>
      </c>
      <c r="B30" s="182" t="s">
        <v>98</v>
      </c>
      <c r="C30" s="183">
        <v>86.0</v>
      </c>
      <c r="D30" s="183">
        <v>202.0</v>
      </c>
      <c r="E30" s="183">
        <v>157.0</v>
      </c>
      <c r="F30" s="184">
        <f t="shared" si="5"/>
        <v>50.456974</v>
      </c>
      <c r="G30" s="183">
        <v>1.0</v>
      </c>
      <c r="H30" s="194">
        <f t="shared" si="6"/>
        <v>50.456974</v>
      </c>
      <c r="I30" s="139"/>
      <c r="J30" s="176">
        <f t="shared" si="15"/>
        <v>5.1308</v>
      </c>
      <c r="K30" s="160">
        <f t="shared" si="16"/>
        <v>1</v>
      </c>
      <c r="L30" s="160">
        <f t="shared" si="17"/>
        <v>5.1308</v>
      </c>
      <c r="M30" s="139"/>
      <c r="N30" s="139"/>
      <c r="O30" s="176"/>
      <c r="P30" s="281">
        <v>18.5</v>
      </c>
      <c r="Q30" s="176">
        <f t="shared" si="7"/>
        <v>1.57</v>
      </c>
      <c r="R30" s="160">
        <f t="shared" si="8"/>
        <v>1</v>
      </c>
      <c r="S30" s="160">
        <f t="shared" si="9"/>
        <v>1.57</v>
      </c>
      <c r="T30" s="282">
        <f t="shared" si="10"/>
        <v>50.456974</v>
      </c>
      <c r="U30" s="176">
        <f t="shared" ref="U30:V30" si="27">C30/100</f>
        <v>0.86</v>
      </c>
      <c r="V30" s="176">
        <f t="shared" si="27"/>
        <v>2.02</v>
      </c>
      <c r="W30" s="176">
        <f t="shared" si="12"/>
        <v>1.57</v>
      </c>
      <c r="X30" s="283">
        <f t="shared" si="13"/>
        <v>2.727404</v>
      </c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</row>
    <row r="31" ht="27.0" customHeight="1">
      <c r="A31" s="160">
        <v>14.0</v>
      </c>
      <c r="B31" s="191" t="s">
        <v>98</v>
      </c>
      <c r="C31" s="191">
        <v>100.0</v>
      </c>
      <c r="D31" s="191">
        <v>202.0</v>
      </c>
      <c r="E31" s="191">
        <v>156.0</v>
      </c>
      <c r="F31" s="192">
        <f t="shared" si="5"/>
        <v>58.2972</v>
      </c>
      <c r="G31" s="191">
        <v>25.0</v>
      </c>
      <c r="H31" s="194">
        <f t="shared" si="6"/>
        <v>1457.43</v>
      </c>
      <c r="I31" s="139"/>
      <c r="J31" s="176">
        <f t="shared" si="15"/>
        <v>5.1308</v>
      </c>
      <c r="K31" s="160">
        <f t="shared" si="16"/>
        <v>25</v>
      </c>
      <c r="L31" s="160">
        <f t="shared" si="17"/>
        <v>128.27</v>
      </c>
      <c r="M31" s="139"/>
      <c r="N31" s="139"/>
      <c r="O31" s="176"/>
      <c r="P31" s="281">
        <v>18.5</v>
      </c>
      <c r="Q31" s="176">
        <f t="shared" si="7"/>
        <v>1.56</v>
      </c>
      <c r="R31" s="160">
        <f t="shared" si="8"/>
        <v>25</v>
      </c>
      <c r="S31" s="160">
        <f t="shared" si="9"/>
        <v>39</v>
      </c>
      <c r="T31" s="282">
        <f t="shared" si="10"/>
        <v>58.2972</v>
      </c>
      <c r="U31" s="176">
        <f t="shared" ref="U31:V31" si="28">C31/100</f>
        <v>1</v>
      </c>
      <c r="V31" s="176">
        <f t="shared" si="28"/>
        <v>2.02</v>
      </c>
      <c r="W31" s="176">
        <f t="shared" si="12"/>
        <v>39</v>
      </c>
      <c r="X31" s="283">
        <f t="shared" si="13"/>
        <v>78.78</v>
      </c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</row>
    <row r="32" ht="27.0" customHeight="1">
      <c r="A32" s="160">
        <v>15.0</v>
      </c>
      <c r="B32" s="191" t="s">
        <v>98</v>
      </c>
      <c r="C32" s="191">
        <v>100.0</v>
      </c>
      <c r="D32" s="191">
        <v>202.0</v>
      </c>
      <c r="E32" s="191">
        <v>157.0</v>
      </c>
      <c r="F32" s="192">
        <f t="shared" si="5"/>
        <v>58.6709</v>
      </c>
      <c r="G32" s="191">
        <v>8.0</v>
      </c>
      <c r="H32" s="194">
        <f t="shared" si="6"/>
        <v>469.3672</v>
      </c>
      <c r="I32" s="139"/>
      <c r="J32" s="176">
        <f t="shared" si="15"/>
        <v>5.1308</v>
      </c>
      <c r="K32" s="160">
        <f t="shared" si="16"/>
        <v>8</v>
      </c>
      <c r="L32" s="160">
        <f t="shared" si="17"/>
        <v>41.0464</v>
      </c>
      <c r="M32" s="139"/>
      <c r="N32" s="139"/>
      <c r="O32" s="176"/>
      <c r="P32" s="281">
        <v>18.5</v>
      </c>
      <c r="Q32" s="176">
        <f t="shared" si="7"/>
        <v>1.57</v>
      </c>
      <c r="R32" s="160">
        <f t="shared" si="8"/>
        <v>8</v>
      </c>
      <c r="S32" s="160">
        <f t="shared" si="9"/>
        <v>12.56</v>
      </c>
      <c r="T32" s="282">
        <f t="shared" si="10"/>
        <v>58.6709</v>
      </c>
      <c r="U32" s="176">
        <f t="shared" ref="U32:V32" si="29">C32/100</f>
        <v>1</v>
      </c>
      <c r="V32" s="176">
        <f t="shared" si="29"/>
        <v>2.02</v>
      </c>
      <c r="W32" s="176">
        <f t="shared" si="12"/>
        <v>12.56</v>
      </c>
      <c r="X32" s="283">
        <f t="shared" si="13"/>
        <v>25.3712</v>
      </c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</row>
    <row r="33" ht="27.0" customHeight="1">
      <c r="A33" s="160">
        <v>16.0</v>
      </c>
      <c r="B33" s="191" t="s">
        <v>98</v>
      </c>
      <c r="C33" s="191">
        <v>99.0</v>
      </c>
      <c r="D33" s="191">
        <v>202.0</v>
      </c>
      <c r="E33" s="191">
        <v>156.0</v>
      </c>
      <c r="F33" s="192">
        <f t="shared" si="5"/>
        <v>57.714228</v>
      </c>
      <c r="G33" s="191">
        <v>1.0</v>
      </c>
      <c r="H33" s="194">
        <f t="shared" si="6"/>
        <v>57.714228</v>
      </c>
      <c r="I33" s="139"/>
      <c r="J33" s="176">
        <f t="shared" si="15"/>
        <v>5.1308</v>
      </c>
      <c r="K33" s="160">
        <f t="shared" si="16"/>
        <v>1</v>
      </c>
      <c r="L33" s="160">
        <f t="shared" si="17"/>
        <v>5.1308</v>
      </c>
      <c r="M33" s="139"/>
      <c r="N33" s="139"/>
      <c r="O33" s="176"/>
      <c r="P33" s="281">
        <v>18.5</v>
      </c>
      <c r="Q33" s="176">
        <f t="shared" si="7"/>
        <v>1.56</v>
      </c>
      <c r="R33" s="160">
        <f t="shared" si="8"/>
        <v>1</v>
      </c>
      <c r="S33" s="160">
        <f t="shared" si="9"/>
        <v>1.56</v>
      </c>
      <c r="T33" s="282">
        <f t="shared" si="10"/>
        <v>57.714228</v>
      </c>
      <c r="U33" s="176">
        <f t="shared" ref="U33:V33" si="30">C33/100</f>
        <v>0.99</v>
      </c>
      <c r="V33" s="176">
        <f t="shared" si="30"/>
        <v>2.02</v>
      </c>
      <c r="W33" s="176">
        <f t="shared" si="12"/>
        <v>1.56</v>
      </c>
      <c r="X33" s="283">
        <f t="shared" si="13"/>
        <v>3.119688</v>
      </c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</row>
    <row r="34" ht="27.0" customHeight="1">
      <c r="A34" s="160">
        <v>17.0</v>
      </c>
      <c r="B34" s="191" t="s">
        <v>98</v>
      </c>
      <c r="C34" s="191">
        <v>97.0</v>
      </c>
      <c r="D34" s="191">
        <v>202.0</v>
      </c>
      <c r="E34" s="191">
        <v>157.0</v>
      </c>
      <c r="F34" s="192">
        <f t="shared" si="5"/>
        <v>56.910773</v>
      </c>
      <c r="G34" s="191">
        <v>1.0</v>
      </c>
      <c r="H34" s="194">
        <f t="shared" si="6"/>
        <v>56.910773</v>
      </c>
      <c r="I34" s="139"/>
      <c r="J34" s="176">
        <f t="shared" si="15"/>
        <v>5.1308</v>
      </c>
      <c r="K34" s="160">
        <f t="shared" si="16"/>
        <v>1</v>
      </c>
      <c r="L34" s="160">
        <f t="shared" si="17"/>
        <v>5.1308</v>
      </c>
      <c r="M34" s="139"/>
      <c r="N34" s="139"/>
      <c r="O34" s="176"/>
      <c r="P34" s="281">
        <v>18.5</v>
      </c>
      <c r="Q34" s="176">
        <f t="shared" si="7"/>
        <v>1.57</v>
      </c>
      <c r="R34" s="160">
        <f t="shared" si="8"/>
        <v>1</v>
      </c>
      <c r="S34" s="160">
        <f t="shared" si="9"/>
        <v>1.57</v>
      </c>
      <c r="T34" s="282">
        <f t="shared" si="10"/>
        <v>56.910773</v>
      </c>
      <c r="U34" s="176">
        <f t="shared" ref="U34:V34" si="31">C34/100</f>
        <v>0.97</v>
      </c>
      <c r="V34" s="176">
        <f t="shared" si="31"/>
        <v>2.02</v>
      </c>
      <c r="W34" s="176">
        <f t="shared" si="12"/>
        <v>1.57</v>
      </c>
      <c r="X34" s="283">
        <f t="shared" si="13"/>
        <v>3.076258</v>
      </c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</row>
    <row r="35" ht="27.0" customHeight="1">
      <c r="A35" s="160">
        <v>18.0</v>
      </c>
      <c r="B35" s="191" t="s">
        <v>98</v>
      </c>
      <c r="C35" s="191">
        <v>100.0</v>
      </c>
      <c r="D35" s="191">
        <v>202.0</v>
      </c>
      <c r="E35" s="191">
        <v>82.0</v>
      </c>
      <c r="F35" s="192">
        <f t="shared" si="5"/>
        <v>30.6434</v>
      </c>
      <c r="G35" s="191">
        <v>1.0</v>
      </c>
      <c r="H35" s="194">
        <f t="shared" si="6"/>
        <v>30.6434</v>
      </c>
      <c r="I35" s="139"/>
      <c r="J35" s="176">
        <f t="shared" si="15"/>
        <v>5.1308</v>
      </c>
      <c r="K35" s="160">
        <f t="shared" si="16"/>
        <v>1</v>
      </c>
      <c r="L35" s="160">
        <f t="shared" si="17"/>
        <v>5.1308</v>
      </c>
      <c r="M35" s="139"/>
      <c r="N35" s="139"/>
      <c r="O35" s="176"/>
      <c r="P35" s="281">
        <v>18.5</v>
      </c>
      <c r="Q35" s="176">
        <f t="shared" si="7"/>
        <v>0.82</v>
      </c>
      <c r="R35" s="160">
        <f t="shared" si="8"/>
        <v>1</v>
      </c>
      <c r="S35" s="160">
        <f t="shared" si="9"/>
        <v>0.82</v>
      </c>
      <c r="T35" s="282">
        <f t="shared" si="10"/>
        <v>30.6434</v>
      </c>
      <c r="U35" s="176">
        <f t="shared" ref="U35:V35" si="32">C35/100</f>
        <v>1</v>
      </c>
      <c r="V35" s="176">
        <f t="shared" si="32"/>
        <v>2.02</v>
      </c>
      <c r="W35" s="176">
        <f t="shared" si="12"/>
        <v>0.82</v>
      </c>
      <c r="X35" s="283">
        <f t="shared" si="13"/>
        <v>1.6564</v>
      </c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</row>
    <row r="36" ht="27.0" customHeight="1">
      <c r="A36" s="160">
        <v>19.0</v>
      </c>
      <c r="B36" s="191" t="s">
        <v>98</v>
      </c>
      <c r="C36" s="191">
        <v>100.0</v>
      </c>
      <c r="D36" s="191">
        <v>202.0</v>
      </c>
      <c r="E36" s="191">
        <v>160.0</v>
      </c>
      <c r="F36" s="192">
        <f t="shared" si="5"/>
        <v>59.792</v>
      </c>
      <c r="G36" s="191">
        <v>1.0</v>
      </c>
      <c r="H36" s="194">
        <f t="shared" si="6"/>
        <v>59.792</v>
      </c>
      <c r="I36" s="139"/>
      <c r="J36" s="176">
        <f t="shared" si="15"/>
        <v>5.1308</v>
      </c>
      <c r="K36" s="160">
        <f t="shared" si="16"/>
        <v>1</v>
      </c>
      <c r="L36" s="160">
        <f t="shared" si="17"/>
        <v>5.1308</v>
      </c>
      <c r="M36" s="139"/>
      <c r="N36" s="139"/>
      <c r="O36" s="176"/>
      <c r="P36" s="281">
        <v>18.5</v>
      </c>
      <c r="Q36" s="176">
        <f t="shared" si="7"/>
        <v>1.6</v>
      </c>
      <c r="R36" s="160">
        <f t="shared" si="8"/>
        <v>1</v>
      </c>
      <c r="S36" s="160">
        <f t="shared" si="9"/>
        <v>1.6</v>
      </c>
      <c r="T36" s="282">
        <f t="shared" si="10"/>
        <v>59.792</v>
      </c>
      <c r="U36" s="176">
        <f t="shared" ref="U36:V36" si="33">C36/100</f>
        <v>1</v>
      </c>
      <c r="V36" s="176">
        <f t="shared" si="33"/>
        <v>2.02</v>
      </c>
      <c r="W36" s="176">
        <f t="shared" si="12"/>
        <v>1.6</v>
      </c>
      <c r="X36" s="283">
        <f t="shared" si="13"/>
        <v>3.232</v>
      </c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</row>
    <row r="37" ht="27.0" customHeight="1">
      <c r="A37" s="160">
        <v>20.0</v>
      </c>
      <c r="B37" s="191" t="s">
        <v>98</v>
      </c>
      <c r="C37" s="191">
        <v>97.0</v>
      </c>
      <c r="D37" s="191">
        <v>202.0</v>
      </c>
      <c r="E37" s="191">
        <v>71.0</v>
      </c>
      <c r="F37" s="192">
        <f t="shared" si="5"/>
        <v>25.736719</v>
      </c>
      <c r="G37" s="191">
        <v>1.0</v>
      </c>
      <c r="H37" s="194">
        <f t="shared" si="6"/>
        <v>25.736719</v>
      </c>
      <c r="I37" s="139"/>
      <c r="J37" s="176">
        <f t="shared" si="15"/>
        <v>5.1308</v>
      </c>
      <c r="K37" s="160">
        <f t="shared" si="16"/>
        <v>1</v>
      </c>
      <c r="L37" s="160">
        <f t="shared" si="17"/>
        <v>5.1308</v>
      </c>
      <c r="M37" s="139"/>
      <c r="N37" s="139"/>
      <c r="O37" s="176"/>
      <c r="P37" s="281">
        <v>18.5</v>
      </c>
      <c r="Q37" s="176">
        <f t="shared" si="7"/>
        <v>0.71</v>
      </c>
      <c r="R37" s="160">
        <f t="shared" si="8"/>
        <v>1</v>
      </c>
      <c r="S37" s="160">
        <f t="shared" si="9"/>
        <v>0.71</v>
      </c>
      <c r="T37" s="282">
        <f t="shared" si="10"/>
        <v>25.736719</v>
      </c>
      <c r="U37" s="176">
        <f t="shared" ref="U37:V37" si="34">C37/100</f>
        <v>0.97</v>
      </c>
      <c r="V37" s="176">
        <f t="shared" si="34"/>
        <v>2.02</v>
      </c>
      <c r="W37" s="176">
        <f t="shared" si="12"/>
        <v>0.71</v>
      </c>
      <c r="X37" s="283">
        <f t="shared" si="13"/>
        <v>1.391174</v>
      </c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</row>
    <row r="38" ht="27.0" customHeight="1">
      <c r="A38" s="160"/>
      <c r="B38" s="176"/>
      <c r="C38" s="176"/>
      <c r="D38" s="176"/>
      <c r="E38" s="176"/>
      <c r="F38" s="179"/>
      <c r="G38" s="160"/>
      <c r="H38" s="203">
        <f>+O61</f>
        <v>86.8</v>
      </c>
      <c r="I38" s="139"/>
      <c r="J38" s="139"/>
      <c r="K38" s="139"/>
      <c r="L38" s="139"/>
      <c r="M38" s="139"/>
      <c r="N38" s="139"/>
      <c r="O38" s="139"/>
      <c r="P38" s="204"/>
      <c r="Q38" s="187">
        <f t="shared" si="7"/>
        <v>0</v>
      </c>
      <c r="R38" s="181" t="str">
        <f t="shared" si="8"/>
        <v/>
      </c>
      <c r="S38" s="181">
        <f t="shared" si="9"/>
        <v>0</v>
      </c>
      <c r="T38" s="186"/>
      <c r="U38" s="187">
        <f t="shared" ref="U38:V38" si="35">C38/100</f>
        <v>0</v>
      </c>
      <c r="V38" s="187">
        <f t="shared" si="35"/>
        <v>0</v>
      </c>
      <c r="W38" s="187">
        <f t="shared" si="12"/>
        <v>0</v>
      </c>
      <c r="X38" s="189">
        <f t="shared" si="13"/>
        <v>0</v>
      </c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</row>
    <row r="39" ht="27.0" customHeight="1">
      <c r="A39" s="160"/>
      <c r="B39" s="205"/>
      <c r="C39" s="205"/>
      <c r="D39" s="205"/>
      <c r="E39" s="205"/>
      <c r="F39" s="206"/>
      <c r="G39" s="207">
        <f>SUM(G18:G37)</f>
        <v>55</v>
      </c>
      <c r="H39" s="208">
        <f>SUM(H18:H38)</f>
        <v>10106.20354</v>
      </c>
      <c r="I39" s="209"/>
      <c r="J39" s="209"/>
      <c r="K39" s="209"/>
      <c r="L39" s="209"/>
      <c r="M39" s="209"/>
      <c r="N39" s="209"/>
      <c r="O39" s="209"/>
      <c r="P39" s="141"/>
      <c r="Q39" s="209">
        <f>+SUM(Q18:Q38)</f>
        <v>82.14</v>
      </c>
      <c r="R39" s="209">
        <f t="shared" ref="R39:S39" si="36">SUM(R18:R38)</f>
        <v>55</v>
      </c>
      <c r="S39" s="209">
        <f t="shared" si="36"/>
        <v>192.01</v>
      </c>
      <c r="T39" s="209"/>
      <c r="U39" s="209"/>
      <c r="V39" s="209"/>
      <c r="W39" s="209"/>
      <c r="X39" s="210">
        <f>SUM(X18:X38)</f>
        <v>385.534664</v>
      </c>
      <c r="Y39" s="209"/>
      <c r="Z39" s="209"/>
      <c r="AA39" s="209"/>
      <c r="AB39" s="209"/>
      <c r="AC39" s="209"/>
      <c r="AD39" s="209"/>
      <c r="AE39" s="209"/>
      <c r="AF39" s="209"/>
      <c r="AG39" s="209"/>
      <c r="AH39" s="209"/>
      <c r="AI39" s="209"/>
      <c r="AJ39" s="209"/>
      <c r="AK39" s="209"/>
      <c r="AL39" s="209"/>
      <c r="AM39" s="209"/>
      <c r="AN39" s="209"/>
      <c r="AO39" s="209"/>
      <c r="AP39" s="209"/>
      <c r="AQ39" s="209"/>
      <c r="AR39" s="209"/>
    </row>
    <row r="40" ht="29.25" customHeight="1">
      <c r="A40" s="139"/>
      <c r="B40" s="139"/>
      <c r="C40" s="139"/>
      <c r="D40" s="139"/>
      <c r="E40" s="139"/>
      <c r="F40" s="140"/>
      <c r="G40" s="139"/>
      <c r="H40" s="139"/>
      <c r="I40" s="139"/>
      <c r="J40" s="139"/>
      <c r="K40" s="139"/>
      <c r="L40" s="139"/>
      <c r="M40" s="139"/>
      <c r="N40" s="139"/>
      <c r="O40" s="139"/>
      <c r="P40" s="141"/>
      <c r="Q40" s="186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</row>
    <row r="41" ht="29.25" customHeight="1">
      <c r="A41" s="139"/>
      <c r="B41" s="139"/>
      <c r="C41" s="139"/>
      <c r="D41" s="139"/>
      <c r="E41" s="139"/>
      <c r="F41" s="140"/>
      <c r="G41" s="139"/>
      <c r="H41" s="139"/>
      <c r="I41" s="139"/>
      <c r="J41" s="139"/>
      <c r="K41" s="139"/>
      <c r="L41" s="139"/>
      <c r="M41" s="139"/>
      <c r="N41" s="139"/>
      <c r="O41" s="139"/>
      <c r="P41" s="204"/>
      <c r="Q41" s="139"/>
      <c r="R41" s="139" t="s">
        <v>48</v>
      </c>
      <c r="S41" s="139" t="s">
        <v>72</v>
      </c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</row>
    <row r="42" ht="29.25" customHeight="1">
      <c r="A42" s="139"/>
      <c r="B42" s="139"/>
      <c r="C42" s="139"/>
      <c r="D42" s="139"/>
      <c r="E42" s="139"/>
      <c r="F42" s="140"/>
      <c r="G42" s="139"/>
      <c r="H42" s="139"/>
      <c r="I42" s="139"/>
      <c r="J42" s="139"/>
      <c r="K42" s="139"/>
      <c r="L42" s="139"/>
      <c r="M42" s="139"/>
      <c r="N42" s="139"/>
      <c r="O42" s="139"/>
      <c r="P42" s="141"/>
      <c r="Q42" s="139"/>
      <c r="R42" s="211"/>
      <c r="S42" s="212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</row>
    <row r="43" ht="29.25" customHeight="1">
      <c r="A43" s="139" t="s">
        <v>32</v>
      </c>
      <c r="B43" s="139"/>
      <c r="C43" s="139"/>
      <c r="D43" s="139" t="s">
        <v>33</v>
      </c>
      <c r="E43" s="139"/>
      <c r="F43" s="140"/>
      <c r="G43" s="139"/>
      <c r="H43" s="139"/>
      <c r="I43" s="139"/>
      <c r="J43" s="139"/>
      <c r="K43" s="139"/>
      <c r="L43" s="139"/>
      <c r="M43" s="139"/>
      <c r="N43" s="139"/>
      <c r="O43" s="139"/>
      <c r="P43" s="141"/>
      <c r="Q43" s="139" t="s">
        <v>34</v>
      </c>
      <c r="R43" s="213">
        <f>+H39</f>
        <v>10106.20354</v>
      </c>
      <c r="S43" s="212">
        <f>+S39</f>
        <v>192.01</v>
      </c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</row>
    <row r="44" ht="29.25" customHeight="1">
      <c r="A44" s="139"/>
      <c r="B44" s="139"/>
      <c r="C44" s="139"/>
      <c r="D44" s="139"/>
      <c r="E44" s="139"/>
      <c r="F44" s="140"/>
      <c r="G44" s="139"/>
      <c r="H44" s="139"/>
      <c r="I44" s="139"/>
      <c r="J44" s="139"/>
      <c r="K44" s="139"/>
      <c r="L44" s="139"/>
      <c r="M44" s="139"/>
      <c r="N44" s="139"/>
      <c r="O44" s="139"/>
      <c r="P44" s="204"/>
      <c r="Q44" s="139"/>
      <c r="R44" s="214">
        <f>+G39</f>
        <v>55</v>
      </c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</row>
    <row r="45" ht="39.0" customHeight="1">
      <c r="A45" s="176"/>
      <c r="B45" s="160" t="s">
        <v>12</v>
      </c>
      <c r="C45" s="177" t="s">
        <v>73</v>
      </c>
      <c r="D45" s="52"/>
      <c r="E45" s="53"/>
      <c r="F45" s="179" t="s">
        <v>14</v>
      </c>
      <c r="G45" s="160" t="s">
        <v>15</v>
      </c>
      <c r="H45" s="160" t="s">
        <v>16</v>
      </c>
      <c r="I45" s="139"/>
      <c r="J45" s="139"/>
      <c r="K45" s="139"/>
      <c r="L45" s="139"/>
      <c r="M45" s="139"/>
      <c r="N45" s="139"/>
      <c r="O45" s="139"/>
      <c r="P45" s="141"/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</row>
    <row r="46" ht="27.0" customHeight="1">
      <c r="A46" s="154">
        <v>1.0</v>
      </c>
      <c r="B46" s="215" t="s">
        <v>98</v>
      </c>
      <c r="C46" s="215">
        <v>86.0</v>
      </c>
      <c r="D46" s="215">
        <v>202.0</v>
      </c>
      <c r="E46" s="215">
        <v>157.0</v>
      </c>
      <c r="F46" s="216">
        <v>50.45697400000001</v>
      </c>
      <c r="G46" s="215">
        <v>1.0</v>
      </c>
      <c r="H46" s="217">
        <f>+F46</f>
        <v>50.456974</v>
      </c>
      <c r="I46" s="139"/>
      <c r="J46" s="176">
        <f>D46*25.4/1000</f>
        <v>5.1308</v>
      </c>
      <c r="K46" s="160">
        <f>+G46</f>
        <v>1</v>
      </c>
      <c r="L46" s="160">
        <f>K46*J46</f>
        <v>5.1308</v>
      </c>
      <c r="M46" s="139"/>
      <c r="N46" s="139"/>
      <c r="O46" s="139"/>
      <c r="P46" s="141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</row>
    <row r="47" ht="24.75" customHeight="1">
      <c r="A47" s="160"/>
      <c r="B47" s="197"/>
      <c r="C47" s="197"/>
      <c r="D47" s="197"/>
      <c r="E47" s="197"/>
      <c r="F47" s="269" t="s">
        <v>38</v>
      </c>
      <c r="G47" s="197"/>
      <c r="H47" s="226">
        <f>SUM(H46)</f>
        <v>50.456974</v>
      </c>
      <c r="I47" s="139"/>
      <c r="J47" s="139"/>
      <c r="K47" s="139"/>
      <c r="L47" s="139"/>
      <c r="M47" s="139"/>
      <c r="N47" s="139"/>
      <c r="O47" s="139"/>
      <c r="P47" s="141"/>
      <c r="Q47" s="227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</row>
    <row r="48" ht="18.75" customHeight="1">
      <c r="A48" s="174"/>
      <c r="B48" s="144"/>
      <c r="C48" s="144"/>
      <c r="D48" s="144"/>
      <c r="E48" s="144"/>
      <c r="F48" s="145"/>
      <c r="G48" s="144"/>
      <c r="H48" s="175"/>
      <c r="I48" s="139"/>
      <c r="J48" s="139"/>
      <c r="K48" s="139"/>
      <c r="L48" s="139"/>
      <c r="M48" s="139"/>
      <c r="N48" s="139"/>
      <c r="O48" s="139"/>
      <c r="P48" s="141"/>
      <c r="Q48" s="227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</row>
    <row r="49" ht="18.75" customHeight="1">
      <c r="A49" s="139"/>
      <c r="B49" s="139"/>
      <c r="C49" s="139"/>
      <c r="D49" s="139"/>
      <c r="E49" s="139"/>
      <c r="F49" s="140"/>
      <c r="G49" s="139"/>
      <c r="H49" s="139"/>
      <c r="I49" s="139"/>
      <c r="J49" s="139"/>
      <c r="K49" s="139"/>
      <c r="L49" s="139"/>
      <c r="M49" s="139"/>
      <c r="N49" s="139"/>
      <c r="O49" s="139"/>
      <c r="P49" s="141"/>
      <c r="Q49" s="227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</row>
    <row r="50" ht="18.75" customHeight="1">
      <c r="A50" s="139"/>
      <c r="B50" s="139"/>
      <c r="C50" s="139"/>
      <c r="D50" s="139"/>
      <c r="E50" s="139"/>
      <c r="F50" s="140"/>
      <c r="G50" s="139"/>
      <c r="H50" s="139"/>
      <c r="I50" s="139"/>
      <c r="J50" s="139"/>
      <c r="K50" s="139"/>
      <c r="L50" s="139"/>
      <c r="M50" s="139"/>
      <c r="N50" s="139"/>
      <c r="O50" s="139"/>
      <c r="P50" s="227"/>
      <c r="Q50" s="227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</row>
    <row r="51" ht="18.75" customHeight="1">
      <c r="A51" s="139" t="s">
        <v>39</v>
      </c>
      <c r="B51" s="139"/>
      <c r="C51" s="139"/>
      <c r="D51" s="139"/>
      <c r="E51" s="139"/>
      <c r="F51" s="140"/>
      <c r="G51" s="139"/>
      <c r="H51" s="139"/>
      <c r="I51" s="139"/>
      <c r="J51" s="139"/>
      <c r="K51" s="139"/>
      <c r="L51" s="139"/>
      <c r="M51" s="139"/>
      <c r="N51" s="139"/>
      <c r="O51" s="139"/>
      <c r="P51" s="227"/>
      <c r="Q51" s="227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</row>
    <row r="52" ht="18.75" customHeight="1">
      <c r="A52" s="139"/>
      <c r="B52" s="139"/>
      <c r="C52" s="139"/>
      <c r="D52" s="139"/>
      <c r="E52" s="139"/>
      <c r="F52" s="140"/>
      <c r="G52" s="139"/>
      <c r="H52" s="139"/>
      <c r="I52" s="139"/>
      <c r="J52" s="139"/>
      <c r="K52" s="139"/>
      <c r="L52" s="139"/>
      <c r="M52" s="139"/>
      <c r="N52" s="139"/>
      <c r="O52" s="139"/>
      <c r="P52" s="227"/>
      <c r="Q52" s="227"/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</row>
    <row r="53" ht="42.0" customHeight="1">
      <c r="A53" s="176"/>
      <c r="B53" s="160" t="s">
        <v>12</v>
      </c>
      <c r="C53" s="177" t="s">
        <v>74</v>
      </c>
      <c r="D53" s="52"/>
      <c r="E53" s="53"/>
      <c r="F53" s="179" t="s">
        <v>14</v>
      </c>
      <c r="G53" s="224" t="s">
        <v>15</v>
      </c>
      <c r="H53" s="160" t="s">
        <v>16</v>
      </c>
      <c r="I53" s="139"/>
      <c r="J53" s="139"/>
      <c r="K53" s="139"/>
      <c r="L53" s="139"/>
      <c r="M53" s="139"/>
      <c r="N53" s="139"/>
      <c r="O53" s="139"/>
      <c r="P53" s="227"/>
      <c r="Q53" s="227"/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</row>
    <row r="54" ht="24.75" customHeight="1">
      <c r="A54" s="160">
        <v>1.0</v>
      </c>
      <c r="B54" s="229" t="s">
        <v>98</v>
      </c>
      <c r="C54" s="181"/>
      <c r="D54" s="181"/>
      <c r="E54" s="181"/>
      <c r="F54" s="232">
        <v>44.0</v>
      </c>
      <c r="G54" s="181">
        <v>1.0</v>
      </c>
      <c r="H54" s="194">
        <f t="shared" ref="H54:H59" si="37">+G54*F54</f>
        <v>44</v>
      </c>
      <c r="I54" s="176"/>
      <c r="J54" s="176"/>
      <c r="K54" s="176"/>
      <c r="L54" s="176"/>
      <c r="M54" s="176"/>
      <c r="N54" s="176"/>
      <c r="O54" s="284"/>
      <c r="P54" s="227"/>
      <c r="Q54" s="227"/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</row>
    <row r="55" ht="24.75" customHeight="1">
      <c r="A55" s="160">
        <v>2.0</v>
      </c>
      <c r="B55" s="215" t="s">
        <v>98</v>
      </c>
      <c r="C55" s="181"/>
      <c r="D55" s="181"/>
      <c r="E55" s="181"/>
      <c r="F55" s="232">
        <v>29.0</v>
      </c>
      <c r="G55" s="181">
        <v>1.0</v>
      </c>
      <c r="H55" s="194">
        <f t="shared" si="37"/>
        <v>29</v>
      </c>
      <c r="I55" s="176"/>
      <c r="J55" s="176"/>
      <c r="K55" s="176"/>
      <c r="L55" s="176"/>
      <c r="M55" s="176"/>
      <c r="N55" s="176"/>
      <c r="O55" s="284"/>
      <c r="P55" s="227"/>
      <c r="Q55" s="139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</row>
    <row r="56" ht="24.75" customHeight="1">
      <c r="A56" s="160">
        <v>3.0</v>
      </c>
      <c r="B56" s="229" t="s">
        <v>98</v>
      </c>
      <c r="C56" s="181"/>
      <c r="D56" s="181"/>
      <c r="E56" s="181"/>
      <c r="F56" s="232">
        <v>42.0</v>
      </c>
      <c r="G56" s="181">
        <v>1.0</v>
      </c>
      <c r="H56" s="194">
        <f t="shared" si="37"/>
        <v>42</v>
      </c>
      <c r="I56" s="176"/>
      <c r="J56" s="176"/>
      <c r="K56" s="176"/>
      <c r="L56" s="176"/>
      <c r="M56" s="176"/>
      <c r="N56" s="176"/>
      <c r="O56" s="284"/>
      <c r="P56" s="227"/>
      <c r="Q56" s="139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</row>
    <row r="57" ht="24.75" customHeight="1">
      <c r="A57" s="160">
        <v>4.0</v>
      </c>
      <c r="B57" s="215" t="s">
        <v>98</v>
      </c>
      <c r="C57" s="181"/>
      <c r="D57" s="181"/>
      <c r="E57" s="181"/>
      <c r="F57" s="232">
        <v>10.0</v>
      </c>
      <c r="G57" s="181">
        <v>1.0</v>
      </c>
      <c r="H57" s="194">
        <f t="shared" si="37"/>
        <v>10</v>
      </c>
      <c r="I57" s="176"/>
      <c r="J57" s="176"/>
      <c r="K57" s="176"/>
      <c r="L57" s="176"/>
      <c r="M57" s="176"/>
      <c r="N57" s="176"/>
      <c r="O57" s="284"/>
      <c r="P57" s="227"/>
      <c r="Q57" s="139"/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</row>
    <row r="58" ht="24.75" customHeight="1">
      <c r="A58" s="160">
        <v>5.0</v>
      </c>
      <c r="B58" s="233" t="s">
        <v>55</v>
      </c>
      <c r="C58" s="181"/>
      <c r="D58" s="181"/>
      <c r="E58" s="181"/>
      <c r="F58" s="232">
        <v>64.0</v>
      </c>
      <c r="G58" s="181">
        <v>1.0</v>
      </c>
      <c r="H58" s="194">
        <f t="shared" si="37"/>
        <v>64</v>
      </c>
      <c r="I58" s="176"/>
      <c r="J58" s="176"/>
      <c r="K58" s="176"/>
      <c r="L58" s="176"/>
      <c r="M58" s="176"/>
      <c r="N58" s="176"/>
      <c r="O58" s="284"/>
      <c r="P58" s="227"/>
      <c r="Q58" s="139"/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</row>
    <row r="59" ht="24.75" customHeight="1">
      <c r="A59" s="160">
        <v>6.0</v>
      </c>
      <c r="B59" s="234" t="s">
        <v>55</v>
      </c>
      <c r="C59" s="181"/>
      <c r="D59" s="181"/>
      <c r="E59" s="181"/>
      <c r="F59" s="232">
        <v>28.0</v>
      </c>
      <c r="G59" s="181">
        <v>1.0</v>
      </c>
      <c r="H59" s="194">
        <f t="shared" si="37"/>
        <v>28</v>
      </c>
      <c r="I59" s="176"/>
      <c r="J59" s="176"/>
      <c r="K59" s="176"/>
      <c r="L59" s="176"/>
      <c r="M59" s="176"/>
      <c r="N59" s="176"/>
      <c r="O59" s="284"/>
      <c r="P59" s="227"/>
      <c r="Q59" s="139"/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</row>
    <row r="60" ht="18.75" customHeight="1">
      <c r="A60" s="139"/>
      <c r="B60" s="139"/>
      <c r="C60" s="139"/>
      <c r="D60" s="139"/>
      <c r="E60" s="139"/>
      <c r="F60" s="140" t="s">
        <v>38</v>
      </c>
      <c r="G60" s="139"/>
      <c r="H60" s="235">
        <f>SUM(H54:H59)</f>
        <v>217</v>
      </c>
      <c r="I60" s="236"/>
      <c r="J60" s="236"/>
      <c r="K60" s="236"/>
      <c r="L60" s="236"/>
      <c r="M60" s="236"/>
      <c r="N60" s="236"/>
      <c r="O60" s="236"/>
      <c r="P60" s="139"/>
      <c r="Q60" s="227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</row>
    <row r="61" ht="18.75" customHeight="1">
      <c r="A61" s="144"/>
      <c r="B61" s="144"/>
      <c r="C61" s="144"/>
      <c r="D61" s="144"/>
      <c r="E61" s="144"/>
      <c r="F61" s="145"/>
      <c r="G61" s="173"/>
      <c r="H61" s="205">
        <f>+H60*60%</f>
        <v>130.2</v>
      </c>
      <c r="I61" s="205"/>
      <c r="J61" s="205"/>
      <c r="K61" s="205"/>
      <c r="L61" s="205"/>
      <c r="M61" s="205"/>
      <c r="N61" s="205"/>
      <c r="O61" s="205">
        <f>+H60*40%</f>
        <v>86.8</v>
      </c>
      <c r="P61" s="139"/>
      <c r="Q61" s="227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</row>
    <row r="62" ht="18.75" customHeight="1">
      <c r="A62" s="139"/>
      <c r="B62" s="139"/>
      <c r="C62" s="139"/>
      <c r="D62" s="139"/>
      <c r="E62" s="139"/>
      <c r="F62" s="140"/>
      <c r="G62" s="139"/>
      <c r="H62" s="139"/>
      <c r="I62" s="139"/>
      <c r="J62" s="139"/>
      <c r="K62" s="139"/>
      <c r="L62" s="139"/>
      <c r="M62" s="139"/>
      <c r="N62" s="139"/>
      <c r="O62" s="139"/>
      <c r="P62" s="139"/>
      <c r="Q62" s="227"/>
      <c r="R62" s="139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</row>
    <row r="63" ht="18.75" customHeight="1">
      <c r="A63" s="139"/>
      <c r="B63" s="139"/>
      <c r="C63" s="139"/>
      <c r="D63" s="139"/>
      <c r="E63" s="139"/>
      <c r="F63" s="140"/>
      <c r="G63" s="139"/>
      <c r="H63" s="139"/>
      <c r="I63" s="139"/>
      <c r="J63" s="139"/>
      <c r="K63" s="139"/>
      <c r="L63" s="139"/>
      <c r="M63" s="139"/>
      <c r="N63" s="139"/>
      <c r="O63" s="139"/>
      <c r="P63" s="139"/>
      <c r="Q63" s="227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</row>
    <row r="64" ht="19.5" customHeight="1">
      <c r="A64" s="238" t="s">
        <v>41</v>
      </c>
      <c r="B64" s="139"/>
      <c r="C64" s="139"/>
      <c r="D64" s="139"/>
      <c r="E64" s="139"/>
      <c r="F64" s="140"/>
      <c r="G64" s="139"/>
      <c r="H64" s="139"/>
      <c r="I64" s="139"/>
      <c r="J64" s="139"/>
      <c r="K64" s="139"/>
      <c r="L64" s="139"/>
      <c r="M64" s="139"/>
      <c r="N64" s="139"/>
      <c r="O64" s="139"/>
      <c r="P64" s="139"/>
      <c r="Q64" s="227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</row>
    <row r="65" ht="57.0" customHeight="1">
      <c r="A65" s="239"/>
      <c r="B65" s="240" t="s">
        <v>42</v>
      </c>
      <c r="C65" s="240" t="s">
        <v>43</v>
      </c>
      <c r="D65" s="240" t="s">
        <v>44</v>
      </c>
      <c r="E65" s="240" t="s">
        <v>45</v>
      </c>
      <c r="F65" s="241" t="s">
        <v>46</v>
      </c>
      <c r="G65" s="242" t="s">
        <v>47</v>
      </c>
      <c r="H65" s="139"/>
      <c r="I65" s="139"/>
      <c r="J65" s="139"/>
      <c r="K65" s="139"/>
      <c r="L65" s="139"/>
      <c r="M65" s="139"/>
      <c r="N65" s="139"/>
      <c r="O65" s="139"/>
      <c r="P65" s="141"/>
      <c r="Q65" s="227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</row>
    <row r="66" ht="18.75" customHeight="1">
      <c r="A66" s="243" t="s">
        <v>48</v>
      </c>
      <c r="B66" s="244">
        <f>+E11</f>
        <v>11417.0055</v>
      </c>
      <c r="C66" s="245">
        <f>+H39</f>
        <v>10106.20354</v>
      </c>
      <c r="D66" s="245">
        <f>+H47</f>
        <v>50.456974</v>
      </c>
      <c r="E66" s="246">
        <f>H61</f>
        <v>130.2</v>
      </c>
      <c r="F66" s="247">
        <f>+G11</f>
        <v>445.7031318</v>
      </c>
      <c r="G66" s="248">
        <f>+B66-C66-D66-E66-F66</f>
        <v>684.4418502</v>
      </c>
      <c r="H66" s="139"/>
      <c r="I66" s="139"/>
      <c r="J66" s="139"/>
      <c r="K66" s="139"/>
      <c r="L66" s="139"/>
      <c r="M66" s="139"/>
      <c r="N66" s="139"/>
      <c r="O66" s="139"/>
      <c r="P66" s="141"/>
      <c r="Q66" s="227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</row>
    <row r="67" ht="19.5" customHeight="1">
      <c r="A67" s="249" t="s">
        <v>49</v>
      </c>
      <c r="B67" s="250"/>
      <c r="C67" s="251">
        <f>+C66/B66</f>
        <v>0.8851886376</v>
      </c>
      <c r="D67" s="251">
        <f>+D66/B66</f>
        <v>0.004419457799</v>
      </c>
      <c r="E67" s="251">
        <f>+E66/B66</f>
        <v>0.0114040411</v>
      </c>
      <c r="F67" s="252">
        <f>+F66/B66</f>
        <v>0.03903853175</v>
      </c>
      <c r="G67" s="253">
        <f>+G66/B66</f>
        <v>0.05994933174</v>
      </c>
      <c r="H67" s="139"/>
      <c r="I67" s="139"/>
      <c r="J67" s="139"/>
      <c r="K67" s="139"/>
      <c r="L67" s="139"/>
      <c r="M67" s="139"/>
      <c r="N67" s="139"/>
      <c r="O67" s="139"/>
      <c r="P67" s="141"/>
      <c r="Q67" s="227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</row>
    <row r="68" ht="19.5" customHeight="1">
      <c r="A68" s="163"/>
      <c r="B68" s="221"/>
      <c r="C68" s="254"/>
      <c r="D68" s="254"/>
      <c r="E68" s="254"/>
      <c r="F68" s="255"/>
      <c r="G68" s="256"/>
      <c r="H68" s="139"/>
      <c r="I68" s="139"/>
      <c r="J68" s="139"/>
      <c r="K68" s="139"/>
      <c r="L68" s="139"/>
      <c r="M68" s="139"/>
      <c r="N68" s="139"/>
      <c r="O68" s="139"/>
      <c r="P68" s="141"/>
      <c r="Q68" s="227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</row>
    <row r="69" ht="18.75" customHeight="1">
      <c r="A69" s="257"/>
      <c r="B69" s="258"/>
      <c r="C69" s="258"/>
      <c r="D69" s="258" t="s">
        <v>50</v>
      </c>
      <c r="E69" s="258" t="s">
        <v>48</v>
      </c>
      <c r="F69" s="259">
        <f>+D66+E66+F66+G66</f>
        <v>1310.801956</v>
      </c>
      <c r="G69" s="260"/>
      <c r="H69" s="139"/>
      <c r="I69" s="139"/>
      <c r="J69" s="139"/>
      <c r="K69" s="139"/>
      <c r="L69" s="139"/>
      <c r="M69" s="139"/>
      <c r="N69" s="139"/>
      <c r="O69" s="139"/>
      <c r="P69" s="141"/>
      <c r="Q69" s="140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</row>
    <row r="70" ht="18.75" customHeight="1">
      <c r="A70" s="261"/>
      <c r="B70" s="139"/>
      <c r="C70" s="139"/>
      <c r="D70" s="139"/>
      <c r="E70" s="139" t="s">
        <v>49</v>
      </c>
      <c r="F70" s="255">
        <f>+F69/B66</f>
        <v>0.1148113624</v>
      </c>
      <c r="G70" s="262"/>
      <c r="H70" s="139"/>
      <c r="I70" s="139"/>
      <c r="J70" s="139"/>
      <c r="K70" s="139"/>
      <c r="L70" s="139"/>
      <c r="M70" s="139"/>
      <c r="N70" s="139"/>
      <c r="O70" s="139"/>
      <c r="P70" s="141"/>
      <c r="Q70" s="140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</row>
    <row r="71" ht="18.75" customHeight="1">
      <c r="A71" s="261"/>
      <c r="B71" s="139"/>
      <c r="C71" s="139" t="s">
        <v>51</v>
      </c>
      <c r="D71" s="139"/>
      <c r="E71" s="139"/>
      <c r="F71" s="140"/>
      <c r="G71" s="262"/>
      <c r="H71" s="139"/>
      <c r="I71" s="139"/>
      <c r="J71" s="139"/>
      <c r="K71" s="139"/>
      <c r="L71" s="139"/>
      <c r="M71" s="139"/>
      <c r="N71" s="139"/>
      <c r="O71" s="139"/>
      <c r="P71" s="141"/>
      <c r="Q71" s="140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</row>
    <row r="72" ht="18.75" customHeight="1">
      <c r="A72" s="261"/>
      <c r="B72" s="139"/>
      <c r="C72" s="139"/>
      <c r="D72" s="139" t="s">
        <v>52</v>
      </c>
      <c r="E72" s="139"/>
      <c r="F72" s="140">
        <f>+F71*(F69-F66)</f>
        <v>0</v>
      </c>
      <c r="G72" s="262"/>
      <c r="H72" s="139"/>
      <c r="I72" s="139"/>
      <c r="J72" s="139"/>
      <c r="K72" s="139"/>
      <c r="L72" s="139"/>
      <c r="M72" s="139"/>
      <c r="N72" s="139"/>
      <c r="O72" s="139"/>
      <c r="P72" s="141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</row>
    <row r="73" ht="19.5" customHeight="1">
      <c r="A73" s="263"/>
      <c r="B73" s="264"/>
      <c r="C73" s="264"/>
      <c r="D73" s="264"/>
      <c r="E73" s="264"/>
      <c r="F73" s="265"/>
      <c r="G73" s="266"/>
      <c r="H73" s="139"/>
      <c r="I73" s="139"/>
      <c r="J73" s="139"/>
      <c r="K73" s="139"/>
      <c r="L73" s="139"/>
      <c r="M73" s="139"/>
      <c r="N73" s="139"/>
      <c r="O73" s="139"/>
      <c r="P73" s="141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</row>
    <row r="74" ht="18.75" customHeight="1">
      <c r="A74" s="139"/>
      <c r="B74" s="139"/>
      <c r="C74" s="139"/>
      <c r="D74" s="139"/>
      <c r="E74" s="139"/>
      <c r="F74" s="140"/>
      <c r="G74" s="139"/>
      <c r="H74" s="139"/>
      <c r="I74" s="139"/>
      <c r="J74" s="139"/>
      <c r="K74" s="139"/>
      <c r="L74" s="139"/>
      <c r="M74" s="139"/>
      <c r="N74" s="139"/>
      <c r="O74" s="139"/>
      <c r="P74" s="141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</row>
    <row r="75" ht="18.75" customHeight="1">
      <c r="A75" s="139"/>
      <c r="B75" s="139"/>
      <c r="C75" s="139"/>
      <c r="D75" s="139"/>
      <c r="E75" s="139"/>
      <c r="F75" s="140"/>
      <c r="G75" s="139"/>
      <c r="H75" s="139"/>
      <c r="I75" s="139"/>
      <c r="J75" s="139"/>
      <c r="K75" s="139"/>
      <c r="L75" s="139"/>
      <c r="M75" s="139"/>
      <c r="N75" s="139"/>
      <c r="O75" s="139"/>
      <c r="P75" s="141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</row>
    <row r="76" ht="18.75" customHeight="1">
      <c r="A76" s="139"/>
      <c r="B76" s="139"/>
      <c r="C76" s="139"/>
      <c r="D76" s="139"/>
      <c r="E76" s="139"/>
      <c r="F76" s="140"/>
      <c r="G76" s="139"/>
      <c r="H76" s="139"/>
      <c r="I76" s="139"/>
      <c r="J76" s="139"/>
      <c r="K76" s="139"/>
      <c r="L76" s="139"/>
      <c r="M76" s="139"/>
      <c r="N76" s="139"/>
      <c r="O76" s="139"/>
      <c r="P76" s="141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</row>
    <row r="77" ht="18.0" customHeight="1">
      <c r="A77" s="7"/>
      <c r="B77" s="7"/>
      <c r="C77" s="7"/>
      <c r="D77" s="7"/>
      <c r="E77" s="7"/>
      <c r="F77" s="267"/>
      <c r="G77" s="7"/>
      <c r="H77" s="7"/>
      <c r="I77" s="7"/>
      <c r="J77" s="7"/>
      <c r="K77" s="7"/>
      <c r="L77" s="7"/>
      <c r="M77" s="7"/>
      <c r="N77" s="7"/>
      <c r="O77" s="7"/>
      <c r="P77" s="268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</row>
    <row r="78" ht="18.0" customHeight="1">
      <c r="A78" s="7"/>
      <c r="B78" s="7"/>
      <c r="C78" s="7"/>
      <c r="D78" s="7"/>
      <c r="E78" s="7"/>
      <c r="F78" s="267"/>
      <c r="G78" s="7"/>
      <c r="H78" s="7"/>
      <c r="I78" s="7"/>
      <c r="J78" s="7"/>
      <c r="K78" s="7"/>
      <c r="L78" s="7"/>
      <c r="M78" s="7"/>
      <c r="N78" s="7"/>
      <c r="O78" s="7"/>
      <c r="P78" s="268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ht="18.0" customHeight="1">
      <c r="A79" s="7"/>
      <c r="B79" s="7"/>
      <c r="C79" s="7"/>
      <c r="D79" s="7"/>
      <c r="E79" s="7"/>
      <c r="F79" s="267"/>
      <c r="G79" s="7"/>
      <c r="H79" s="7"/>
      <c r="I79" s="7"/>
      <c r="J79" s="7"/>
      <c r="K79" s="7"/>
      <c r="L79" s="7"/>
      <c r="M79" s="7"/>
      <c r="N79" s="7"/>
      <c r="O79" s="7"/>
      <c r="P79" s="268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ht="18.0" customHeight="1">
      <c r="A80" s="7"/>
      <c r="B80" s="7"/>
      <c r="C80" s="7"/>
      <c r="D80" s="7"/>
      <c r="E80" s="7"/>
      <c r="F80" s="267"/>
      <c r="G80" s="7"/>
      <c r="H80" s="7"/>
      <c r="I80" s="7"/>
      <c r="J80" s="7"/>
      <c r="K80" s="7"/>
      <c r="L80" s="7"/>
      <c r="M80" s="7"/>
      <c r="N80" s="7"/>
      <c r="O80" s="7"/>
      <c r="P80" s="268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ht="18.0" customHeight="1">
      <c r="A81" s="7"/>
      <c r="B81" s="7"/>
      <c r="C81" s="7"/>
      <c r="D81" s="7"/>
      <c r="E81" s="7"/>
      <c r="F81" s="267"/>
      <c r="G81" s="7"/>
      <c r="H81" s="7"/>
      <c r="I81" s="7"/>
      <c r="J81" s="7"/>
      <c r="K81" s="7"/>
      <c r="L81" s="7"/>
      <c r="M81" s="7"/>
      <c r="N81" s="7"/>
      <c r="O81" s="7"/>
      <c r="P81" s="268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</row>
    <row r="82" ht="18.0" customHeight="1">
      <c r="A82" s="7"/>
      <c r="B82" s="7"/>
      <c r="C82" s="7"/>
      <c r="D82" s="7"/>
      <c r="E82" s="7"/>
      <c r="F82" s="267"/>
      <c r="G82" s="7"/>
      <c r="H82" s="7"/>
      <c r="I82" s="7"/>
      <c r="J82" s="7"/>
      <c r="K82" s="7"/>
      <c r="L82" s="7"/>
      <c r="M82" s="7"/>
      <c r="N82" s="7"/>
      <c r="O82" s="7"/>
      <c r="P82" s="268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</row>
    <row r="83" ht="18.0" customHeight="1">
      <c r="A83" s="7"/>
      <c r="B83" s="7"/>
      <c r="C83" s="7"/>
      <c r="D83" s="7"/>
      <c r="E83" s="7"/>
      <c r="F83" s="267"/>
      <c r="G83" s="7"/>
      <c r="H83" s="7"/>
      <c r="I83" s="7"/>
      <c r="J83" s="7"/>
      <c r="K83" s="7"/>
      <c r="L83" s="7"/>
      <c r="M83" s="7"/>
      <c r="N83" s="7"/>
      <c r="O83" s="7"/>
      <c r="P83" s="268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</row>
    <row r="84" ht="18.0" customHeight="1">
      <c r="A84" s="7"/>
      <c r="B84" s="7"/>
      <c r="C84" s="7"/>
      <c r="D84" s="7"/>
      <c r="E84" s="7"/>
      <c r="F84" s="267"/>
      <c r="G84" s="7"/>
      <c r="H84" s="7"/>
      <c r="I84" s="7"/>
      <c r="J84" s="7"/>
      <c r="K84" s="7"/>
      <c r="L84" s="7"/>
      <c r="M84" s="7"/>
      <c r="N84" s="7"/>
      <c r="O84" s="7"/>
      <c r="P84" s="268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ht="18.0" customHeight="1">
      <c r="A85" s="7"/>
      <c r="B85" s="7"/>
      <c r="C85" s="7"/>
      <c r="D85" s="7"/>
      <c r="E85" s="7"/>
      <c r="F85" s="267"/>
      <c r="G85" s="7"/>
      <c r="H85" s="7"/>
      <c r="I85" s="7"/>
      <c r="J85" s="7"/>
      <c r="K85" s="7"/>
      <c r="L85" s="7"/>
      <c r="M85" s="7"/>
      <c r="N85" s="7"/>
      <c r="O85" s="7"/>
      <c r="P85" s="268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ht="18.0" customHeight="1">
      <c r="A86" s="7"/>
      <c r="B86" s="7"/>
      <c r="C86" s="7"/>
      <c r="D86" s="7"/>
      <c r="E86" s="7"/>
      <c r="F86" s="267"/>
      <c r="G86" s="7"/>
      <c r="H86" s="7"/>
      <c r="I86" s="7"/>
      <c r="J86" s="7"/>
      <c r="K86" s="7"/>
      <c r="L86" s="7"/>
      <c r="M86" s="7"/>
      <c r="N86" s="7"/>
      <c r="O86" s="7"/>
      <c r="P86" s="268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</row>
    <row r="87" ht="18.0" customHeight="1">
      <c r="A87" s="7"/>
      <c r="B87" s="7"/>
      <c r="C87" s="7"/>
      <c r="D87" s="7"/>
      <c r="E87" s="7"/>
      <c r="F87" s="267"/>
      <c r="G87" s="7"/>
      <c r="H87" s="7"/>
      <c r="I87" s="7"/>
      <c r="J87" s="7"/>
      <c r="K87" s="7"/>
      <c r="L87" s="7"/>
      <c r="M87" s="7"/>
      <c r="N87" s="7"/>
      <c r="O87" s="7"/>
      <c r="P87" s="268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</row>
    <row r="88" ht="18.0" customHeight="1">
      <c r="A88" s="7"/>
      <c r="B88" s="7"/>
      <c r="C88" s="7"/>
      <c r="D88" s="7"/>
      <c r="E88" s="7"/>
      <c r="F88" s="267"/>
      <c r="G88" s="7"/>
      <c r="H88" s="7"/>
      <c r="I88" s="7"/>
      <c r="J88" s="7"/>
      <c r="K88" s="7"/>
      <c r="L88" s="7"/>
      <c r="M88" s="7"/>
      <c r="N88" s="7"/>
      <c r="O88" s="7"/>
      <c r="P88" s="268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</row>
    <row r="89" ht="18.0" customHeight="1">
      <c r="A89" s="7"/>
      <c r="B89" s="7"/>
      <c r="C89" s="7"/>
      <c r="D89" s="7"/>
      <c r="E89" s="7"/>
      <c r="F89" s="267"/>
      <c r="G89" s="7"/>
      <c r="H89" s="7"/>
      <c r="I89" s="7"/>
      <c r="J89" s="7"/>
      <c r="K89" s="7"/>
      <c r="L89" s="7"/>
      <c r="M89" s="7"/>
      <c r="N89" s="7"/>
      <c r="O89" s="7"/>
      <c r="P89" s="268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</row>
    <row r="90" ht="18.0" customHeight="1">
      <c r="A90" s="7"/>
      <c r="B90" s="7"/>
      <c r="C90" s="7"/>
      <c r="D90" s="7"/>
      <c r="E90" s="7"/>
      <c r="F90" s="267"/>
      <c r="G90" s="7"/>
      <c r="H90" s="7"/>
      <c r="I90" s="7"/>
      <c r="J90" s="7"/>
      <c r="K90" s="7"/>
      <c r="L90" s="7"/>
      <c r="M90" s="7"/>
      <c r="N90" s="7"/>
      <c r="O90" s="7"/>
      <c r="P90" s="268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</row>
    <row r="91" ht="18.0" customHeight="1">
      <c r="A91" s="7"/>
      <c r="B91" s="7"/>
      <c r="C91" s="7"/>
      <c r="D91" s="7"/>
      <c r="E91" s="7"/>
      <c r="F91" s="267"/>
      <c r="G91" s="7"/>
      <c r="H91" s="7"/>
      <c r="I91" s="7"/>
      <c r="J91" s="7"/>
      <c r="K91" s="7"/>
      <c r="L91" s="7"/>
      <c r="M91" s="7"/>
      <c r="N91" s="7"/>
      <c r="O91" s="7"/>
      <c r="P91" s="268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</row>
    <row r="92" ht="18.0" customHeight="1">
      <c r="A92" s="7"/>
      <c r="B92" s="7"/>
      <c r="C92" s="7"/>
      <c r="D92" s="7"/>
      <c r="E92" s="7"/>
      <c r="F92" s="267"/>
      <c r="G92" s="7"/>
      <c r="H92" s="7"/>
      <c r="I92" s="7"/>
      <c r="J92" s="7"/>
      <c r="K92" s="7"/>
      <c r="L92" s="7"/>
      <c r="M92" s="7"/>
      <c r="N92" s="7"/>
      <c r="O92" s="7"/>
      <c r="P92" s="268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</row>
    <row r="93" ht="18.0" customHeight="1">
      <c r="A93" s="7"/>
      <c r="B93" s="7"/>
      <c r="C93" s="7"/>
      <c r="D93" s="7"/>
      <c r="E93" s="7"/>
      <c r="F93" s="267"/>
      <c r="G93" s="7"/>
      <c r="H93" s="7"/>
      <c r="I93" s="7"/>
      <c r="J93" s="7"/>
      <c r="K93" s="7"/>
      <c r="L93" s="7"/>
      <c r="M93" s="7"/>
      <c r="N93" s="7"/>
      <c r="O93" s="7"/>
      <c r="P93" s="268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</row>
    <row r="94" ht="18.0" customHeight="1">
      <c r="A94" s="7"/>
      <c r="B94" s="7"/>
      <c r="C94" s="7"/>
      <c r="D94" s="7"/>
      <c r="E94" s="7"/>
      <c r="F94" s="267"/>
      <c r="G94" s="7"/>
      <c r="H94" s="7"/>
      <c r="I94" s="7"/>
      <c r="J94" s="7"/>
      <c r="K94" s="7"/>
      <c r="L94" s="7"/>
      <c r="M94" s="7"/>
      <c r="N94" s="7"/>
      <c r="O94" s="7"/>
      <c r="P94" s="268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</row>
    <row r="95" ht="18.0" customHeight="1">
      <c r="A95" s="7"/>
      <c r="B95" s="7"/>
      <c r="C95" s="7"/>
      <c r="D95" s="7"/>
      <c r="E95" s="7"/>
      <c r="F95" s="267"/>
      <c r="G95" s="7"/>
      <c r="H95" s="7"/>
      <c r="I95" s="7"/>
      <c r="J95" s="7"/>
      <c r="K95" s="7"/>
      <c r="L95" s="7"/>
      <c r="M95" s="7"/>
      <c r="N95" s="7"/>
      <c r="O95" s="7"/>
      <c r="P95" s="268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</row>
    <row r="96" ht="18.0" customHeight="1">
      <c r="A96" s="7"/>
      <c r="B96" s="7"/>
      <c r="C96" s="7"/>
      <c r="D96" s="7"/>
      <c r="E96" s="7"/>
      <c r="F96" s="267"/>
      <c r="G96" s="7"/>
      <c r="H96" s="7"/>
      <c r="I96" s="7"/>
      <c r="J96" s="7"/>
      <c r="K96" s="7"/>
      <c r="L96" s="7"/>
      <c r="M96" s="7"/>
      <c r="N96" s="7"/>
      <c r="O96" s="7"/>
      <c r="P96" s="268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</row>
    <row r="97" ht="18.0" customHeight="1">
      <c r="A97" s="7"/>
      <c r="B97" s="7"/>
      <c r="C97" s="7"/>
      <c r="D97" s="7"/>
      <c r="E97" s="7"/>
      <c r="F97" s="267"/>
      <c r="G97" s="7"/>
      <c r="H97" s="7"/>
      <c r="I97" s="7"/>
      <c r="J97" s="7"/>
      <c r="K97" s="7"/>
      <c r="L97" s="7"/>
      <c r="M97" s="7"/>
      <c r="N97" s="7"/>
      <c r="O97" s="7"/>
      <c r="P97" s="268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</row>
    <row r="98" ht="18.0" customHeight="1">
      <c r="A98" s="7"/>
      <c r="B98" s="7"/>
      <c r="C98" s="7"/>
      <c r="D98" s="7"/>
      <c r="E98" s="7"/>
      <c r="F98" s="267"/>
      <c r="G98" s="7"/>
      <c r="H98" s="7"/>
      <c r="I98" s="7"/>
      <c r="J98" s="7"/>
      <c r="K98" s="7"/>
      <c r="L98" s="7"/>
      <c r="M98" s="7"/>
      <c r="N98" s="7"/>
      <c r="O98" s="7"/>
      <c r="P98" s="268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</row>
    <row r="99" ht="18.0" customHeight="1">
      <c r="A99" s="7"/>
      <c r="B99" s="7"/>
      <c r="C99" s="7"/>
      <c r="D99" s="7"/>
      <c r="E99" s="7"/>
      <c r="F99" s="267"/>
      <c r="G99" s="7"/>
      <c r="H99" s="7"/>
      <c r="I99" s="7"/>
      <c r="J99" s="7"/>
      <c r="K99" s="7"/>
      <c r="L99" s="7"/>
      <c r="M99" s="7"/>
      <c r="N99" s="7"/>
      <c r="O99" s="7"/>
      <c r="P99" s="268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</row>
    <row r="100" ht="18.0" customHeight="1">
      <c r="A100" s="7"/>
      <c r="B100" s="7"/>
      <c r="C100" s="7"/>
      <c r="D100" s="7"/>
      <c r="E100" s="7"/>
      <c r="F100" s="267"/>
      <c r="G100" s="7"/>
      <c r="H100" s="7"/>
      <c r="I100" s="7"/>
      <c r="J100" s="7"/>
      <c r="K100" s="7"/>
      <c r="L100" s="7"/>
      <c r="M100" s="7"/>
      <c r="N100" s="7"/>
      <c r="O100" s="7"/>
      <c r="P100" s="268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</row>
    <row r="101" ht="18.0" customHeight="1">
      <c r="A101" s="7"/>
      <c r="B101" s="7"/>
      <c r="C101" s="7"/>
      <c r="D101" s="7"/>
      <c r="E101" s="7"/>
      <c r="F101" s="267"/>
      <c r="G101" s="7"/>
      <c r="H101" s="7"/>
      <c r="I101" s="7"/>
      <c r="J101" s="7"/>
      <c r="K101" s="7"/>
      <c r="L101" s="7"/>
      <c r="M101" s="7"/>
      <c r="N101" s="7"/>
      <c r="O101" s="7"/>
      <c r="P101" s="268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</row>
    <row r="102" ht="18.0" customHeight="1">
      <c r="A102" s="7"/>
      <c r="B102" s="7"/>
      <c r="C102" s="7"/>
      <c r="D102" s="7"/>
      <c r="E102" s="7"/>
      <c r="F102" s="267"/>
      <c r="G102" s="7"/>
      <c r="H102" s="7"/>
      <c r="I102" s="7"/>
      <c r="J102" s="7"/>
      <c r="K102" s="7"/>
      <c r="L102" s="7"/>
      <c r="M102" s="7"/>
      <c r="N102" s="7"/>
      <c r="O102" s="7"/>
      <c r="P102" s="268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</row>
    <row r="103" ht="18.0" customHeight="1">
      <c r="A103" s="7"/>
      <c r="B103" s="7"/>
      <c r="C103" s="7"/>
      <c r="D103" s="7"/>
      <c r="E103" s="7"/>
      <c r="F103" s="267"/>
      <c r="G103" s="7"/>
      <c r="H103" s="7"/>
      <c r="I103" s="7"/>
      <c r="J103" s="7"/>
      <c r="K103" s="7"/>
      <c r="L103" s="7"/>
      <c r="M103" s="7"/>
      <c r="N103" s="7"/>
      <c r="O103" s="7"/>
      <c r="P103" s="268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</row>
    <row r="104" ht="18.0" customHeight="1">
      <c r="A104" s="7"/>
      <c r="B104" s="7"/>
      <c r="C104" s="7"/>
      <c r="D104" s="7"/>
      <c r="E104" s="7"/>
      <c r="F104" s="267"/>
      <c r="G104" s="7"/>
      <c r="H104" s="7"/>
      <c r="I104" s="7"/>
      <c r="J104" s="7"/>
      <c r="K104" s="7"/>
      <c r="L104" s="7"/>
      <c r="M104" s="7"/>
      <c r="N104" s="7"/>
      <c r="O104" s="7"/>
      <c r="P104" s="268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</row>
    <row r="105" ht="18.0" customHeight="1">
      <c r="A105" s="7"/>
      <c r="B105" s="7"/>
      <c r="C105" s="7"/>
      <c r="D105" s="7"/>
      <c r="E105" s="7"/>
      <c r="F105" s="267"/>
      <c r="G105" s="7"/>
      <c r="H105" s="7"/>
      <c r="I105" s="7"/>
      <c r="J105" s="7"/>
      <c r="K105" s="7"/>
      <c r="L105" s="7"/>
      <c r="M105" s="7"/>
      <c r="N105" s="7"/>
      <c r="O105" s="7"/>
      <c r="P105" s="268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</row>
    <row r="106" ht="18.0" customHeight="1">
      <c r="A106" s="7"/>
      <c r="B106" s="7"/>
      <c r="C106" s="7"/>
      <c r="D106" s="7"/>
      <c r="E106" s="7"/>
      <c r="F106" s="267"/>
      <c r="G106" s="7"/>
      <c r="H106" s="7"/>
      <c r="I106" s="7"/>
      <c r="J106" s="7"/>
      <c r="K106" s="7"/>
      <c r="L106" s="7"/>
      <c r="M106" s="7"/>
      <c r="N106" s="7"/>
      <c r="O106" s="7"/>
      <c r="P106" s="268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</row>
    <row r="107" ht="18.0" customHeight="1">
      <c r="A107" s="7"/>
      <c r="B107" s="7"/>
      <c r="C107" s="7"/>
      <c r="D107" s="7"/>
      <c r="E107" s="7"/>
      <c r="F107" s="267"/>
      <c r="G107" s="7"/>
      <c r="H107" s="7"/>
      <c r="I107" s="7"/>
      <c r="J107" s="7"/>
      <c r="K107" s="7"/>
      <c r="L107" s="7"/>
      <c r="M107" s="7"/>
      <c r="N107" s="7"/>
      <c r="O107" s="7"/>
      <c r="P107" s="268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</row>
    <row r="108" ht="18.0" customHeight="1">
      <c r="A108" s="7"/>
      <c r="B108" s="7"/>
      <c r="C108" s="7"/>
      <c r="D108" s="7"/>
      <c r="E108" s="7"/>
      <c r="F108" s="267"/>
      <c r="G108" s="7"/>
      <c r="H108" s="7"/>
      <c r="I108" s="7"/>
      <c r="J108" s="7"/>
      <c r="K108" s="7"/>
      <c r="L108" s="7"/>
      <c r="M108" s="7"/>
      <c r="N108" s="7"/>
      <c r="O108" s="7"/>
      <c r="P108" s="268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</row>
    <row r="109" ht="18.0" customHeight="1">
      <c r="A109" s="7"/>
      <c r="B109" s="7"/>
      <c r="C109" s="7"/>
      <c r="D109" s="7"/>
      <c r="E109" s="7"/>
      <c r="F109" s="267"/>
      <c r="G109" s="7"/>
      <c r="H109" s="7"/>
      <c r="I109" s="7"/>
      <c r="J109" s="7"/>
      <c r="K109" s="7"/>
      <c r="L109" s="7"/>
      <c r="M109" s="7"/>
      <c r="N109" s="7"/>
      <c r="O109" s="7"/>
      <c r="P109" s="268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</row>
    <row r="110" ht="18.0" customHeight="1">
      <c r="A110" s="7"/>
      <c r="B110" s="7"/>
      <c r="C110" s="7"/>
      <c r="D110" s="7"/>
      <c r="E110" s="7"/>
      <c r="F110" s="267"/>
      <c r="G110" s="7"/>
      <c r="H110" s="7"/>
      <c r="I110" s="7"/>
      <c r="J110" s="7"/>
      <c r="K110" s="7"/>
      <c r="L110" s="7"/>
      <c r="M110" s="7"/>
      <c r="N110" s="7"/>
      <c r="O110" s="7"/>
      <c r="P110" s="268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</row>
    <row r="111" ht="18.0" customHeight="1">
      <c r="A111" s="7"/>
      <c r="B111" s="7"/>
      <c r="C111" s="7"/>
      <c r="D111" s="7"/>
      <c r="E111" s="7"/>
      <c r="F111" s="267"/>
      <c r="G111" s="7"/>
      <c r="H111" s="7"/>
      <c r="I111" s="7"/>
      <c r="J111" s="7"/>
      <c r="K111" s="7"/>
      <c r="L111" s="7"/>
      <c r="M111" s="7"/>
      <c r="N111" s="7"/>
      <c r="O111" s="7"/>
      <c r="P111" s="268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</row>
    <row r="112" ht="18.0" customHeight="1">
      <c r="A112" s="7"/>
      <c r="B112" s="7"/>
      <c r="C112" s="7"/>
      <c r="D112" s="7"/>
      <c r="E112" s="7"/>
      <c r="F112" s="267"/>
      <c r="G112" s="7"/>
      <c r="H112" s="7"/>
      <c r="I112" s="7"/>
      <c r="J112" s="7"/>
      <c r="K112" s="7"/>
      <c r="L112" s="7"/>
      <c r="M112" s="7"/>
      <c r="N112" s="7"/>
      <c r="O112" s="7"/>
      <c r="P112" s="268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</row>
    <row r="113" ht="18.0" customHeight="1">
      <c r="A113" s="7"/>
      <c r="B113" s="7"/>
      <c r="C113" s="7"/>
      <c r="D113" s="7"/>
      <c r="E113" s="7"/>
      <c r="F113" s="267"/>
      <c r="G113" s="7"/>
      <c r="H113" s="7"/>
      <c r="I113" s="7"/>
      <c r="J113" s="7"/>
      <c r="K113" s="7"/>
      <c r="L113" s="7"/>
      <c r="M113" s="7"/>
      <c r="N113" s="7"/>
      <c r="O113" s="7"/>
      <c r="P113" s="268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</row>
    <row r="114" ht="18.0" customHeight="1">
      <c r="A114" s="7"/>
      <c r="B114" s="7"/>
      <c r="C114" s="7"/>
      <c r="D114" s="7"/>
      <c r="E114" s="7"/>
      <c r="F114" s="267"/>
      <c r="G114" s="7"/>
      <c r="H114" s="7"/>
      <c r="I114" s="7"/>
      <c r="J114" s="7"/>
      <c r="K114" s="7"/>
      <c r="L114" s="7"/>
      <c r="M114" s="7"/>
      <c r="N114" s="7"/>
      <c r="O114" s="7"/>
      <c r="P114" s="268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</row>
    <row r="115" ht="18.0" customHeight="1">
      <c r="A115" s="7"/>
      <c r="B115" s="7"/>
      <c r="C115" s="7"/>
      <c r="D115" s="7"/>
      <c r="E115" s="7"/>
      <c r="F115" s="267"/>
      <c r="G115" s="7"/>
      <c r="H115" s="7"/>
      <c r="I115" s="7"/>
      <c r="J115" s="7"/>
      <c r="K115" s="7"/>
      <c r="L115" s="7"/>
      <c r="M115" s="7"/>
      <c r="N115" s="7"/>
      <c r="O115" s="7"/>
      <c r="P115" s="268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</row>
    <row r="116" ht="18.0" customHeight="1">
      <c r="A116" s="7"/>
      <c r="B116" s="7"/>
      <c r="C116" s="7"/>
      <c r="D116" s="7"/>
      <c r="E116" s="7"/>
      <c r="F116" s="267"/>
      <c r="G116" s="7"/>
      <c r="H116" s="7"/>
      <c r="I116" s="7"/>
      <c r="J116" s="7"/>
      <c r="K116" s="7"/>
      <c r="L116" s="7"/>
      <c r="M116" s="7"/>
      <c r="N116" s="7"/>
      <c r="O116" s="7"/>
      <c r="P116" s="268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</row>
    <row r="117" ht="18.0" customHeight="1">
      <c r="A117" s="7"/>
      <c r="B117" s="7"/>
      <c r="C117" s="7"/>
      <c r="D117" s="7"/>
      <c r="E117" s="7"/>
      <c r="F117" s="267"/>
      <c r="G117" s="7"/>
      <c r="H117" s="7"/>
      <c r="I117" s="7"/>
      <c r="J117" s="7"/>
      <c r="K117" s="7"/>
      <c r="L117" s="7"/>
      <c r="M117" s="7"/>
      <c r="N117" s="7"/>
      <c r="O117" s="7"/>
      <c r="P117" s="268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</row>
    <row r="118" ht="18.0" customHeight="1">
      <c r="A118" s="7"/>
      <c r="B118" s="7"/>
      <c r="C118" s="7"/>
      <c r="D118" s="7"/>
      <c r="E118" s="7"/>
      <c r="F118" s="267"/>
      <c r="G118" s="7"/>
      <c r="H118" s="7"/>
      <c r="I118" s="7"/>
      <c r="J118" s="7"/>
      <c r="K118" s="7"/>
      <c r="L118" s="7"/>
      <c r="M118" s="7"/>
      <c r="N118" s="7"/>
      <c r="O118" s="7"/>
      <c r="P118" s="268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</row>
    <row r="119" ht="18.0" customHeight="1">
      <c r="A119" s="7"/>
      <c r="B119" s="7"/>
      <c r="C119" s="7"/>
      <c r="D119" s="7"/>
      <c r="E119" s="7"/>
      <c r="F119" s="267"/>
      <c r="G119" s="7"/>
      <c r="H119" s="7"/>
      <c r="I119" s="7"/>
      <c r="J119" s="7"/>
      <c r="K119" s="7"/>
      <c r="L119" s="7"/>
      <c r="M119" s="7"/>
      <c r="N119" s="7"/>
      <c r="O119" s="7"/>
      <c r="P119" s="268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</row>
    <row r="120" ht="18.0" customHeight="1">
      <c r="A120" s="7"/>
      <c r="B120" s="7"/>
      <c r="C120" s="7"/>
      <c r="D120" s="7"/>
      <c r="E120" s="7"/>
      <c r="F120" s="267"/>
      <c r="G120" s="7"/>
      <c r="H120" s="7"/>
      <c r="I120" s="7"/>
      <c r="J120" s="7"/>
      <c r="K120" s="7"/>
      <c r="L120" s="7"/>
      <c r="M120" s="7"/>
      <c r="N120" s="7"/>
      <c r="O120" s="7"/>
      <c r="P120" s="268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</row>
    <row r="121" ht="18.0" customHeight="1">
      <c r="A121" s="7"/>
      <c r="B121" s="7"/>
      <c r="C121" s="7"/>
      <c r="D121" s="7"/>
      <c r="E121" s="7"/>
      <c r="F121" s="267"/>
      <c r="G121" s="7"/>
      <c r="H121" s="7"/>
      <c r="I121" s="7"/>
      <c r="J121" s="7"/>
      <c r="K121" s="7"/>
      <c r="L121" s="7"/>
      <c r="M121" s="7"/>
      <c r="N121" s="7"/>
      <c r="O121" s="7"/>
      <c r="P121" s="268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</row>
    <row r="122" ht="18.0" customHeight="1">
      <c r="A122" s="7"/>
      <c r="B122" s="7"/>
      <c r="C122" s="7"/>
      <c r="D122" s="7"/>
      <c r="E122" s="7"/>
      <c r="F122" s="267"/>
      <c r="G122" s="7"/>
      <c r="H122" s="7"/>
      <c r="I122" s="7"/>
      <c r="J122" s="7"/>
      <c r="K122" s="7"/>
      <c r="L122" s="7"/>
      <c r="M122" s="7"/>
      <c r="N122" s="7"/>
      <c r="O122" s="7"/>
      <c r="P122" s="268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</row>
    <row r="123" ht="18.0" customHeight="1">
      <c r="A123" s="7"/>
      <c r="B123" s="7"/>
      <c r="C123" s="7"/>
      <c r="D123" s="7"/>
      <c r="E123" s="7"/>
      <c r="F123" s="267"/>
      <c r="G123" s="7"/>
      <c r="H123" s="7"/>
      <c r="I123" s="7"/>
      <c r="J123" s="7"/>
      <c r="K123" s="7"/>
      <c r="L123" s="7"/>
      <c r="M123" s="7"/>
      <c r="N123" s="7"/>
      <c r="O123" s="7"/>
      <c r="P123" s="268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</row>
    <row r="124" ht="18.0" customHeight="1">
      <c r="A124" s="7"/>
      <c r="B124" s="7"/>
      <c r="C124" s="7"/>
      <c r="D124" s="7"/>
      <c r="E124" s="7"/>
      <c r="F124" s="267"/>
      <c r="G124" s="7"/>
      <c r="H124" s="7"/>
      <c r="I124" s="7"/>
      <c r="J124" s="7"/>
      <c r="K124" s="7"/>
      <c r="L124" s="7"/>
      <c r="M124" s="7"/>
      <c r="N124" s="7"/>
      <c r="O124" s="7"/>
      <c r="P124" s="268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</row>
    <row r="125" ht="18.0" customHeight="1">
      <c r="A125" s="7"/>
      <c r="B125" s="7"/>
      <c r="C125" s="7"/>
      <c r="D125" s="7"/>
      <c r="E125" s="7"/>
      <c r="F125" s="267"/>
      <c r="G125" s="7"/>
      <c r="H125" s="7"/>
      <c r="I125" s="7"/>
      <c r="J125" s="7"/>
      <c r="K125" s="7"/>
      <c r="L125" s="7"/>
      <c r="M125" s="7"/>
      <c r="N125" s="7"/>
      <c r="O125" s="7"/>
      <c r="P125" s="268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</row>
    <row r="126" ht="18.0" customHeight="1">
      <c r="A126" s="7"/>
      <c r="B126" s="7"/>
      <c r="C126" s="7"/>
      <c r="D126" s="7"/>
      <c r="E126" s="7"/>
      <c r="F126" s="267"/>
      <c r="G126" s="7"/>
      <c r="H126" s="7"/>
      <c r="I126" s="7"/>
      <c r="J126" s="7"/>
      <c r="K126" s="7"/>
      <c r="L126" s="7"/>
      <c r="M126" s="7"/>
      <c r="N126" s="7"/>
      <c r="O126" s="7"/>
      <c r="P126" s="268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</row>
    <row r="127" ht="18.0" customHeight="1">
      <c r="A127" s="7"/>
      <c r="B127" s="7"/>
      <c r="C127" s="7"/>
      <c r="D127" s="7"/>
      <c r="E127" s="7"/>
      <c r="F127" s="267"/>
      <c r="G127" s="7"/>
      <c r="H127" s="7"/>
      <c r="I127" s="7"/>
      <c r="J127" s="7"/>
      <c r="K127" s="7"/>
      <c r="L127" s="7"/>
      <c r="M127" s="7"/>
      <c r="N127" s="7"/>
      <c r="O127" s="7"/>
      <c r="P127" s="268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</row>
    <row r="128" ht="18.0" customHeight="1">
      <c r="A128" s="7"/>
      <c r="B128" s="7"/>
      <c r="C128" s="7"/>
      <c r="D128" s="7"/>
      <c r="E128" s="7"/>
      <c r="F128" s="267"/>
      <c r="G128" s="7"/>
      <c r="H128" s="7"/>
      <c r="I128" s="7"/>
      <c r="J128" s="7"/>
      <c r="K128" s="7"/>
      <c r="L128" s="7"/>
      <c r="M128" s="7"/>
      <c r="N128" s="7"/>
      <c r="O128" s="7"/>
      <c r="P128" s="268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</row>
    <row r="129" ht="18.0" customHeight="1">
      <c r="A129" s="7"/>
      <c r="B129" s="7"/>
      <c r="C129" s="7"/>
      <c r="D129" s="7"/>
      <c r="E129" s="7"/>
      <c r="F129" s="267"/>
      <c r="G129" s="7"/>
      <c r="H129" s="7"/>
      <c r="I129" s="7"/>
      <c r="J129" s="7"/>
      <c r="K129" s="7"/>
      <c r="L129" s="7"/>
      <c r="M129" s="7"/>
      <c r="N129" s="7"/>
      <c r="O129" s="7"/>
      <c r="P129" s="268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</row>
    <row r="130" ht="18.0" customHeight="1">
      <c r="A130" s="7"/>
      <c r="B130" s="7"/>
      <c r="C130" s="7"/>
      <c r="D130" s="7"/>
      <c r="E130" s="7"/>
      <c r="F130" s="267"/>
      <c r="G130" s="7"/>
      <c r="H130" s="7"/>
      <c r="I130" s="7"/>
      <c r="J130" s="7"/>
      <c r="K130" s="7"/>
      <c r="L130" s="7"/>
      <c r="M130" s="7"/>
      <c r="N130" s="7"/>
      <c r="O130" s="7"/>
      <c r="P130" s="268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</row>
    <row r="131" ht="18.0" customHeight="1">
      <c r="A131" s="7"/>
      <c r="B131" s="7"/>
      <c r="C131" s="7"/>
      <c r="D131" s="7"/>
      <c r="E131" s="7"/>
      <c r="F131" s="267"/>
      <c r="G131" s="7"/>
      <c r="H131" s="7"/>
      <c r="I131" s="7"/>
      <c r="J131" s="7"/>
      <c r="K131" s="7"/>
      <c r="L131" s="7"/>
      <c r="M131" s="7"/>
      <c r="N131" s="7"/>
      <c r="O131" s="7"/>
      <c r="P131" s="268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</row>
    <row r="132" ht="18.0" customHeight="1">
      <c r="A132" s="7"/>
      <c r="B132" s="7"/>
      <c r="C132" s="7"/>
      <c r="D132" s="7"/>
      <c r="E132" s="7"/>
      <c r="F132" s="267"/>
      <c r="G132" s="7"/>
      <c r="H132" s="7"/>
      <c r="I132" s="7"/>
      <c r="J132" s="7"/>
      <c r="K132" s="7"/>
      <c r="L132" s="7"/>
      <c r="M132" s="7"/>
      <c r="N132" s="7"/>
      <c r="O132" s="7"/>
      <c r="P132" s="268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</row>
    <row r="133" ht="18.0" customHeight="1">
      <c r="A133" s="7"/>
      <c r="B133" s="7"/>
      <c r="C133" s="7"/>
      <c r="D133" s="7"/>
      <c r="E133" s="7"/>
      <c r="F133" s="267"/>
      <c r="G133" s="7"/>
      <c r="H133" s="7"/>
      <c r="I133" s="7"/>
      <c r="J133" s="7"/>
      <c r="K133" s="7"/>
      <c r="L133" s="7"/>
      <c r="M133" s="7"/>
      <c r="N133" s="7"/>
      <c r="O133" s="7"/>
      <c r="P133" s="268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</row>
    <row r="134" ht="18.0" customHeight="1">
      <c r="A134" s="7"/>
      <c r="B134" s="7"/>
      <c r="C134" s="7"/>
      <c r="D134" s="7"/>
      <c r="E134" s="7"/>
      <c r="F134" s="267"/>
      <c r="G134" s="7"/>
      <c r="H134" s="7"/>
      <c r="I134" s="7"/>
      <c r="J134" s="7"/>
      <c r="K134" s="7"/>
      <c r="L134" s="7"/>
      <c r="M134" s="7"/>
      <c r="N134" s="7"/>
      <c r="O134" s="7"/>
      <c r="P134" s="268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</row>
    <row r="135" ht="18.0" customHeight="1">
      <c r="A135" s="7"/>
      <c r="B135" s="7"/>
      <c r="C135" s="7"/>
      <c r="D135" s="7"/>
      <c r="E135" s="7"/>
      <c r="F135" s="267"/>
      <c r="G135" s="7"/>
      <c r="H135" s="7"/>
      <c r="I135" s="7"/>
      <c r="J135" s="7"/>
      <c r="K135" s="7"/>
      <c r="L135" s="7"/>
      <c r="M135" s="7"/>
      <c r="N135" s="7"/>
      <c r="O135" s="7"/>
      <c r="P135" s="268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</row>
    <row r="136" ht="18.0" customHeight="1">
      <c r="A136" s="7"/>
      <c r="B136" s="7"/>
      <c r="C136" s="7"/>
      <c r="D136" s="7"/>
      <c r="E136" s="7"/>
      <c r="F136" s="267"/>
      <c r="G136" s="7"/>
      <c r="H136" s="7"/>
      <c r="I136" s="7"/>
      <c r="J136" s="7"/>
      <c r="K136" s="7"/>
      <c r="L136" s="7"/>
      <c r="M136" s="7"/>
      <c r="N136" s="7"/>
      <c r="O136" s="7"/>
      <c r="P136" s="268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</row>
    <row r="137" ht="18.0" customHeight="1">
      <c r="A137" s="7"/>
      <c r="B137" s="7"/>
      <c r="C137" s="7"/>
      <c r="D137" s="7"/>
      <c r="E137" s="7"/>
      <c r="F137" s="267"/>
      <c r="G137" s="7"/>
      <c r="H137" s="7"/>
      <c r="I137" s="7"/>
      <c r="J137" s="7"/>
      <c r="K137" s="7"/>
      <c r="L137" s="7"/>
      <c r="M137" s="7"/>
      <c r="N137" s="7"/>
      <c r="O137" s="7"/>
      <c r="P137" s="268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</row>
    <row r="138" ht="18.0" customHeight="1">
      <c r="A138" s="7"/>
      <c r="B138" s="7"/>
      <c r="C138" s="7"/>
      <c r="D138" s="7"/>
      <c r="E138" s="7"/>
      <c r="F138" s="267"/>
      <c r="G138" s="7"/>
      <c r="H138" s="7"/>
      <c r="I138" s="7"/>
      <c r="J138" s="7"/>
      <c r="K138" s="7"/>
      <c r="L138" s="7"/>
      <c r="M138" s="7"/>
      <c r="N138" s="7"/>
      <c r="O138" s="7"/>
      <c r="P138" s="268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</row>
    <row r="139" ht="18.0" customHeight="1">
      <c r="A139" s="7"/>
      <c r="B139" s="7"/>
      <c r="C139" s="7"/>
      <c r="D139" s="7"/>
      <c r="E139" s="7"/>
      <c r="F139" s="267"/>
      <c r="G139" s="7"/>
      <c r="H139" s="7"/>
      <c r="I139" s="7"/>
      <c r="J139" s="7"/>
      <c r="K139" s="7"/>
      <c r="L139" s="7"/>
      <c r="M139" s="7"/>
      <c r="N139" s="7"/>
      <c r="O139" s="7"/>
      <c r="P139" s="268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</row>
    <row r="140" ht="18.0" customHeight="1">
      <c r="A140" s="7"/>
      <c r="B140" s="7"/>
      <c r="C140" s="7"/>
      <c r="D140" s="7"/>
      <c r="E140" s="7"/>
      <c r="F140" s="267"/>
      <c r="G140" s="7"/>
      <c r="H140" s="7"/>
      <c r="I140" s="7"/>
      <c r="J140" s="7"/>
      <c r="K140" s="7"/>
      <c r="L140" s="7"/>
      <c r="M140" s="7"/>
      <c r="N140" s="7"/>
      <c r="O140" s="7"/>
      <c r="P140" s="268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</row>
    <row r="141" ht="18.0" customHeight="1">
      <c r="A141" s="7"/>
      <c r="B141" s="7"/>
      <c r="C141" s="7"/>
      <c r="D141" s="7"/>
      <c r="E141" s="7"/>
      <c r="F141" s="267"/>
      <c r="G141" s="7"/>
      <c r="H141" s="7"/>
      <c r="I141" s="7"/>
      <c r="J141" s="7"/>
      <c r="K141" s="7"/>
      <c r="L141" s="7"/>
      <c r="M141" s="7"/>
      <c r="N141" s="7"/>
      <c r="O141" s="7"/>
      <c r="P141" s="268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</row>
    <row r="142" ht="18.0" customHeight="1">
      <c r="A142" s="7"/>
      <c r="B142" s="7"/>
      <c r="C142" s="7"/>
      <c r="D142" s="7"/>
      <c r="E142" s="7"/>
      <c r="F142" s="267"/>
      <c r="G142" s="7"/>
      <c r="H142" s="7"/>
      <c r="I142" s="7"/>
      <c r="J142" s="7"/>
      <c r="K142" s="7"/>
      <c r="L142" s="7"/>
      <c r="M142" s="7"/>
      <c r="N142" s="7"/>
      <c r="O142" s="7"/>
      <c r="P142" s="268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</row>
    <row r="143" ht="18.0" customHeight="1">
      <c r="A143" s="7"/>
      <c r="B143" s="7"/>
      <c r="C143" s="7"/>
      <c r="D143" s="7"/>
      <c r="E143" s="7"/>
      <c r="F143" s="267"/>
      <c r="G143" s="7"/>
      <c r="H143" s="7"/>
      <c r="I143" s="7"/>
      <c r="J143" s="7"/>
      <c r="K143" s="7"/>
      <c r="L143" s="7"/>
      <c r="M143" s="7"/>
      <c r="N143" s="7"/>
      <c r="O143" s="7"/>
      <c r="P143" s="268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</row>
    <row r="144" ht="18.0" customHeight="1">
      <c r="A144" s="7"/>
      <c r="B144" s="7"/>
      <c r="C144" s="7"/>
      <c r="D144" s="7"/>
      <c r="E144" s="7"/>
      <c r="F144" s="267"/>
      <c r="G144" s="7"/>
      <c r="H144" s="7"/>
      <c r="I144" s="7"/>
      <c r="J144" s="7"/>
      <c r="K144" s="7"/>
      <c r="L144" s="7"/>
      <c r="M144" s="7"/>
      <c r="N144" s="7"/>
      <c r="O144" s="7"/>
      <c r="P144" s="268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</row>
    <row r="145" ht="18.0" customHeight="1">
      <c r="A145" s="7"/>
      <c r="B145" s="7"/>
      <c r="C145" s="7"/>
      <c r="D145" s="7"/>
      <c r="E145" s="7"/>
      <c r="F145" s="267"/>
      <c r="G145" s="7"/>
      <c r="H145" s="7"/>
      <c r="I145" s="7"/>
      <c r="J145" s="7"/>
      <c r="K145" s="7"/>
      <c r="L145" s="7"/>
      <c r="M145" s="7"/>
      <c r="N145" s="7"/>
      <c r="O145" s="7"/>
      <c r="P145" s="268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</row>
    <row r="146" ht="18.0" customHeight="1">
      <c r="A146" s="7"/>
      <c r="B146" s="7"/>
      <c r="C146" s="7"/>
      <c r="D146" s="7"/>
      <c r="E146" s="7"/>
      <c r="F146" s="267"/>
      <c r="G146" s="7"/>
      <c r="H146" s="7"/>
      <c r="I146" s="7"/>
      <c r="J146" s="7"/>
      <c r="K146" s="7"/>
      <c r="L146" s="7"/>
      <c r="M146" s="7"/>
      <c r="N146" s="7"/>
      <c r="O146" s="7"/>
      <c r="P146" s="268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</row>
    <row r="147" ht="18.0" customHeight="1">
      <c r="A147" s="7"/>
      <c r="B147" s="7"/>
      <c r="C147" s="7"/>
      <c r="D147" s="7"/>
      <c r="E147" s="7"/>
      <c r="F147" s="267"/>
      <c r="G147" s="7"/>
      <c r="H147" s="7"/>
      <c r="I147" s="7"/>
      <c r="J147" s="7"/>
      <c r="K147" s="7"/>
      <c r="L147" s="7"/>
      <c r="M147" s="7"/>
      <c r="N147" s="7"/>
      <c r="O147" s="7"/>
      <c r="P147" s="268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</row>
    <row r="148" ht="18.0" customHeight="1">
      <c r="A148" s="7"/>
      <c r="B148" s="7"/>
      <c r="C148" s="7"/>
      <c r="D148" s="7"/>
      <c r="E148" s="7"/>
      <c r="F148" s="267"/>
      <c r="G148" s="7"/>
      <c r="H148" s="7"/>
      <c r="I148" s="7"/>
      <c r="J148" s="7"/>
      <c r="K148" s="7"/>
      <c r="L148" s="7"/>
      <c r="M148" s="7"/>
      <c r="N148" s="7"/>
      <c r="O148" s="7"/>
      <c r="P148" s="268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</row>
    <row r="149" ht="18.0" customHeight="1">
      <c r="A149" s="7"/>
      <c r="B149" s="7"/>
      <c r="C149" s="7"/>
      <c r="D149" s="7"/>
      <c r="E149" s="7"/>
      <c r="F149" s="267"/>
      <c r="G149" s="7"/>
      <c r="H149" s="7"/>
      <c r="I149" s="7"/>
      <c r="J149" s="7"/>
      <c r="K149" s="7"/>
      <c r="L149" s="7"/>
      <c r="M149" s="7"/>
      <c r="N149" s="7"/>
      <c r="O149" s="7"/>
      <c r="P149" s="268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</row>
    <row r="150" ht="18.0" customHeight="1">
      <c r="A150" s="7"/>
      <c r="B150" s="7"/>
      <c r="C150" s="7"/>
      <c r="D150" s="7"/>
      <c r="E150" s="7"/>
      <c r="F150" s="267"/>
      <c r="G150" s="7"/>
      <c r="H150" s="7"/>
      <c r="I150" s="7"/>
      <c r="J150" s="7"/>
      <c r="K150" s="7"/>
      <c r="L150" s="7"/>
      <c r="M150" s="7"/>
      <c r="N150" s="7"/>
      <c r="O150" s="7"/>
      <c r="P150" s="268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</row>
    <row r="151" ht="18.0" customHeight="1">
      <c r="A151" s="7"/>
      <c r="B151" s="7"/>
      <c r="C151" s="7"/>
      <c r="D151" s="7"/>
      <c r="E151" s="7"/>
      <c r="F151" s="267"/>
      <c r="G151" s="7"/>
      <c r="H151" s="7"/>
      <c r="I151" s="7"/>
      <c r="J151" s="7"/>
      <c r="K151" s="7"/>
      <c r="L151" s="7"/>
      <c r="M151" s="7"/>
      <c r="N151" s="7"/>
      <c r="O151" s="7"/>
      <c r="P151" s="268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ht="18.0" customHeight="1">
      <c r="A152" s="7"/>
      <c r="B152" s="7"/>
      <c r="C152" s="7"/>
      <c r="D152" s="7"/>
      <c r="E152" s="7"/>
      <c r="F152" s="267"/>
      <c r="G152" s="7"/>
      <c r="H152" s="7"/>
      <c r="I152" s="7"/>
      <c r="J152" s="7"/>
      <c r="K152" s="7"/>
      <c r="L152" s="7"/>
      <c r="M152" s="7"/>
      <c r="N152" s="7"/>
      <c r="O152" s="7"/>
      <c r="P152" s="268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ht="18.0" customHeight="1">
      <c r="A153" s="7"/>
      <c r="B153" s="7"/>
      <c r="C153" s="7"/>
      <c r="D153" s="7"/>
      <c r="E153" s="7"/>
      <c r="F153" s="267"/>
      <c r="G153" s="7"/>
      <c r="H153" s="7"/>
      <c r="I153" s="7"/>
      <c r="J153" s="7"/>
      <c r="K153" s="7"/>
      <c r="L153" s="7"/>
      <c r="M153" s="7"/>
      <c r="N153" s="7"/>
      <c r="O153" s="7"/>
      <c r="P153" s="268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</row>
    <row r="154" ht="18.0" customHeight="1">
      <c r="A154" s="7"/>
      <c r="B154" s="7"/>
      <c r="C154" s="7"/>
      <c r="D154" s="7"/>
      <c r="E154" s="7"/>
      <c r="F154" s="267"/>
      <c r="G154" s="7"/>
      <c r="H154" s="7"/>
      <c r="I154" s="7"/>
      <c r="J154" s="7"/>
      <c r="K154" s="7"/>
      <c r="L154" s="7"/>
      <c r="M154" s="7"/>
      <c r="N154" s="7"/>
      <c r="O154" s="7"/>
      <c r="P154" s="268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</row>
    <row r="155" ht="18.0" customHeight="1">
      <c r="A155" s="7"/>
      <c r="B155" s="7"/>
      <c r="C155" s="7"/>
      <c r="D155" s="7"/>
      <c r="E155" s="7"/>
      <c r="F155" s="267"/>
      <c r="G155" s="7"/>
      <c r="H155" s="7"/>
      <c r="I155" s="7"/>
      <c r="J155" s="7"/>
      <c r="K155" s="7"/>
      <c r="L155" s="7"/>
      <c r="M155" s="7"/>
      <c r="N155" s="7"/>
      <c r="O155" s="7"/>
      <c r="P155" s="268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</row>
    <row r="156" ht="18.0" customHeight="1">
      <c r="A156" s="7"/>
      <c r="B156" s="7"/>
      <c r="C156" s="7"/>
      <c r="D156" s="7"/>
      <c r="E156" s="7"/>
      <c r="F156" s="267"/>
      <c r="G156" s="7"/>
      <c r="H156" s="7"/>
      <c r="I156" s="7"/>
      <c r="J156" s="7"/>
      <c r="K156" s="7"/>
      <c r="L156" s="7"/>
      <c r="M156" s="7"/>
      <c r="N156" s="7"/>
      <c r="O156" s="7"/>
      <c r="P156" s="268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</row>
    <row r="157" ht="18.0" customHeight="1">
      <c r="A157" s="7"/>
      <c r="B157" s="7"/>
      <c r="C157" s="7"/>
      <c r="D157" s="7"/>
      <c r="E157" s="7"/>
      <c r="F157" s="267"/>
      <c r="G157" s="7"/>
      <c r="H157" s="7"/>
      <c r="I157" s="7"/>
      <c r="J157" s="7"/>
      <c r="K157" s="7"/>
      <c r="L157" s="7"/>
      <c r="M157" s="7"/>
      <c r="N157" s="7"/>
      <c r="O157" s="7"/>
      <c r="P157" s="268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</row>
    <row r="158" ht="18.0" customHeight="1">
      <c r="A158" s="7"/>
      <c r="B158" s="7"/>
      <c r="C158" s="7"/>
      <c r="D158" s="7"/>
      <c r="E158" s="7"/>
      <c r="F158" s="267"/>
      <c r="G158" s="7"/>
      <c r="H158" s="7"/>
      <c r="I158" s="7"/>
      <c r="J158" s="7"/>
      <c r="K158" s="7"/>
      <c r="L158" s="7"/>
      <c r="M158" s="7"/>
      <c r="N158" s="7"/>
      <c r="O158" s="7"/>
      <c r="P158" s="268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</row>
    <row r="159" ht="18.0" customHeight="1">
      <c r="A159" s="7"/>
      <c r="B159" s="7"/>
      <c r="C159" s="7"/>
      <c r="D159" s="7"/>
      <c r="E159" s="7"/>
      <c r="F159" s="267"/>
      <c r="G159" s="7"/>
      <c r="H159" s="7"/>
      <c r="I159" s="7"/>
      <c r="J159" s="7"/>
      <c r="K159" s="7"/>
      <c r="L159" s="7"/>
      <c r="M159" s="7"/>
      <c r="N159" s="7"/>
      <c r="O159" s="7"/>
      <c r="P159" s="268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</row>
    <row r="160" ht="18.0" customHeight="1">
      <c r="A160" s="7"/>
      <c r="B160" s="7"/>
      <c r="C160" s="7"/>
      <c r="D160" s="7"/>
      <c r="E160" s="7"/>
      <c r="F160" s="267"/>
      <c r="G160" s="7"/>
      <c r="H160" s="7"/>
      <c r="I160" s="7"/>
      <c r="J160" s="7"/>
      <c r="K160" s="7"/>
      <c r="L160" s="7"/>
      <c r="M160" s="7"/>
      <c r="N160" s="7"/>
      <c r="O160" s="7"/>
      <c r="P160" s="268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</row>
    <row r="161" ht="18.0" customHeight="1">
      <c r="A161" s="7"/>
      <c r="B161" s="7"/>
      <c r="C161" s="7"/>
      <c r="D161" s="7"/>
      <c r="E161" s="7"/>
      <c r="F161" s="267"/>
      <c r="G161" s="7"/>
      <c r="H161" s="7"/>
      <c r="I161" s="7"/>
      <c r="J161" s="7"/>
      <c r="K161" s="7"/>
      <c r="L161" s="7"/>
      <c r="M161" s="7"/>
      <c r="N161" s="7"/>
      <c r="O161" s="7"/>
      <c r="P161" s="268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ht="18.0" customHeight="1">
      <c r="A162" s="7"/>
      <c r="B162" s="7"/>
      <c r="C162" s="7"/>
      <c r="D162" s="7"/>
      <c r="E162" s="7"/>
      <c r="F162" s="267"/>
      <c r="G162" s="7"/>
      <c r="H162" s="7"/>
      <c r="I162" s="7"/>
      <c r="J162" s="7"/>
      <c r="K162" s="7"/>
      <c r="L162" s="7"/>
      <c r="M162" s="7"/>
      <c r="N162" s="7"/>
      <c r="O162" s="7"/>
      <c r="P162" s="268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ht="18.0" customHeight="1">
      <c r="A163" s="7"/>
      <c r="B163" s="7"/>
      <c r="C163" s="7"/>
      <c r="D163" s="7"/>
      <c r="E163" s="7"/>
      <c r="F163" s="267"/>
      <c r="G163" s="7"/>
      <c r="H163" s="7"/>
      <c r="I163" s="7"/>
      <c r="J163" s="7"/>
      <c r="K163" s="7"/>
      <c r="L163" s="7"/>
      <c r="M163" s="7"/>
      <c r="N163" s="7"/>
      <c r="O163" s="7"/>
      <c r="P163" s="268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</row>
    <row r="164" ht="18.0" customHeight="1">
      <c r="A164" s="7"/>
      <c r="B164" s="7"/>
      <c r="C164" s="7"/>
      <c r="D164" s="7"/>
      <c r="E164" s="7"/>
      <c r="F164" s="267"/>
      <c r="G164" s="7"/>
      <c r="H164" s="7"/>
      <c r="I164" s="7"/>
      <c r="J164" s="7"/>
      <c r="K164" s="7"/>
      <c r="L164" s="7"/>
      <c r="M164" s="7"/>
      <c r="N164" s="7"/>
      <c r="O164" s="7"/>
      <c r="P164" s="268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</row>
    <row r="165" ht="18.0" customHeight="1">
      <c r="A165" s="7"/>
      <c r="B165" s="7"/>
      <c r="C165" s="7"/>
      <c r="D165" s="7"/>
      <c r="E165" s="7"/>
      <c r="F165" s="267"/>
      <c r="G165" s="7"/>
      <c r="H165" s="7"/>
      <c r="I165" s="7"/>
      <c r="J165" s="7"/>
      <c r="K165" s="7"/>
      <c r="L165" s="7"/>
      <c r="M165" s="7"/>
      <c r="N165" s="7"/>
      <c r="O165" s="7"/>
      <c r="P165" s="268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</row>
    <row r="166" ht="18.0" customHeight="1">
      <c r="A166" s="7"/>
      <c r="B166" s="7"/>
      <c r="C166" s="7"/>
      <c r="D166" s="7"/>
      <c r="E166" s="7"/>
      <c r="F166" s="267"/>
      <c r="G166" s="7"/>
      <c r="H166" s="7"/>
      <c r="I166" s="7"/>
      <c r="J166" s="7"/>
      <c r="K166" s="7"/>
      <c r="L166" s="7"/>
      <c r="M166" s="7"/>
      <c r="N166" s="7"/>
      <c r="O166" s="7"/>
      <c r="P166" s="268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</row>
    <row r="167" ht="18.0" customHeight="1">
      <c r="A167" s="7"/>
      <c r="B167" s="7"/>
      <c r="C167" s="7"/>
      <c r="D167" s="7"/>
      <c r="E167" s="7"/>
      <c r="F167" s="267"/>
      <c r="G167" s="7"/>
      <c r="H167" s="7"/>
      <c r="I167" s="7"/>
      <c r="J167" s="7"/>
      <c r="K167" s="7"/>
      <c r="L167" s="7"/>
      <c r="M167" s="7"/>
      <c r="N167" s="7"/>
      <c r="O167" s="7"/>
      <c r="P167" s="268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</row>
    <row r="168" ht="18.0" customHeight="1">
      <c r="A168" s="7"/>
      <c r="B168" s="7"/>
      <c r="C168" s="7"/>
      <c r="D168" s="7"/>
      <c r="E168" s="7"/>
      <c r="F168" s="267"/>
      <c r="G168" s="7"/>
      <c r="H168" s="7"/>
      <c r="I168" s="7"/>
      <c r="J168" s="7"/>
      <c r="K168" s="7"/>
      <c r="L168" s="7"/>
      <c r="M168" s="7"/>
      <c r="N168" s="7"/>
      <c r="O168" s="7"/>
      <c r="P168" s="268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</row>
    <row r="169" ht="18.0" customHeight="1">
      <c r="A169" s="7"/>
      <c r="B169" s="7"/>
      <c r="C169" s="7"/>
      <c r="D169" s="7"/>
      <c r="E169" s="7"/>
      <c r="F169" s="267"/>
      <c r="G169" s="7"/>
      <c r="H169" s="7"/>
      <c r="I169" s="7"/>
      <c r="J169" s="7"/>
      <c r="K169" s="7"/>
      <c r="L169" s="7"/>
      <c r="M169" s="7"/>
      <c r="N169" s="7"/>
      <c r="O169" s="7"/>
      <c r="P169" s="268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</row>
    <row r="170" ht="18.0" customHeight="1">
      <c r="A170" s="7"/>
      <c r="B170" s="7"/>
      <c r="C170" s="7"/>
      <c r="D170" s="7"/>
      <c r="E170" s="7"/>
      <c r="F170" s="267"/>
      <c r="G170" s="7"/>
      <c r="H170" s="7"/>
      <c r="I170" s="7"/>
      <c r="J170" s="7"/>
      <c r="K170" s="7"/>
      <c r="L170" s="7"/>
      <c r="M170" s="7"/>
      <c r="N170" s="7"/>
      <c r="O170" s="7"/>
      <c r="P170" s="268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</row>
    <row r="171" ht="18.0" customHeight="1">
      <c r="A171" s="7"/>
      <c r="B171" s="7"/>
      <c r="C171" s="7"/>
      <c r="D171" s="7"/>
      <c r="E171" s="7"/>
      <c r="F171" s="267"/>
      <c r="G171" s="7"/>
      <c r="H171" s="7"/>
      <c r="I171" s="7"/>
      <c r="J171" s="7"/>
      <c r="K171" s="7"/>
      <c r="L171" s="7"/>
      <c r="M171" s="7"/>
      <c r="N171" s="7"/>
      <c r="O171" s="7"/>
      <c r="P171" s="268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</row>
    <row r="172" ht="18.0" customHeight="1">
      <c r="A172" s="7"/>
      <c r="B172" s="7"/>
      <c r="C172" s="7"/>
      <c r="D172" s="7"/>
      <c r="E172" s="7"/>
      <c r="F172" s="267"/>
      <c r="G172" s="7"/>
      <c r="H172" s="7"/>
      <c r="I172" s="7"/>
      <c r="J172" s="7"/>
      <c r="K172" s="7"/>
      <c r="L172" s="7"/>
      <c r="M172" s="7"/>
      <c r="N172" s="7"/>
      <c r="O172" s="7"/>
      <c r="P172" s="268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</row>
    <row r="173" ht="18.0" customHeight="1">
      <c r="A173" s="7"/>
      <c r="B173" s="7"/>
      <c r="C173" s="7"/>
      <c r="D173" s="7"/>
      <c r="E173" s="7"/>
      <c r="F173" s="267"/>
      <c r="G173" s="7"/>
      <c r="H173" s="7"/>
      <c r="I173" s="7"/>
      <c r="J173" s="7"/>
      <c r="K173" s="7"/>
      <c r="L173" s="7"/>
      <c r="M173" s="7"/>
      <c r="N173" s="7"/>
      <c r="O173" s="7"/>
      <c r="P173" s="268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</row>
    <row r="174" ht="18.0" customHeight="1">
      <c r="A174" s="7"/>
      <c r="B174" s="7"/>
      <c r="C174" s="7"/>
      <c r="D174" s="7"/>
      <c r="E174" s="7"/>
      <c r="F174" s="267"/>
      <c r="G174" s="7"/>
      <c r="H174" s="7"/>
      <c r="I174" s="7"/>
      <c r="J174" s="7"/>
      <c r="K174" s="7"/>
      <c r="L174" s="7"/>
      <c r="M174" s="7"/>
      <c r="N174" s="7"/>
      <c r="O174" s="7"/>
      <c r="P174" s="268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</row>
    <row r="175" ht="18.0" customHeight="1">
      <c r="A175" s="7"/>
      <c r="B175" s="7"/>
      <c r="C175" s="7"/>
      <c r="D175" s="7"/>
      <c r="E175" s="7"/>
      <c r="F175" s="267"/>
      <c r="G175" s="7"/>
      <c r="H175" s="7"/>
      <c r="I175" s="7"/>
      <c r="J175" s="7"/>
      <c r="K175" s="7"/>
      <c r="L175" s="7"/>
      <c r="M175" s="7"/>
      <c r="N175" s="7"/>
      <c r="O175" s="7"/>
      <c r="P175" s="268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</row>
    <row r="176" ht="18.0" customHeight="1">
      <c r="A176" s="7"/>
      <c r="B176" s="7"/>
      <c r="C176" s="7"/>
      <c r="D176" s="7"/>
      <c r="E176" s="7"/>
      <c r="F176" s="267"/>
      <c r="G176" s="7"/>
      <c r="H176" s="7"/>
      <c r="I176" s="7"/>
      <c r="J176" s="7"/>
      <c r="K176" s="7"/>
      <c r="L176" s="7"/>
      <c r="M176" s="7"/>
      <c r="N176" s="7"/>
      <c r="O176" s="7"/>
      <c r="P176" s="268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</row>
    <row r="177" ht="18.0" customHeight="1">
      <c r="A177" s="7"/>
      <c r="B177" s="7"/>
      <c r="C177" s="7"/>
      <c r="D177" s="7"/>
      <c r="E177" s="7"/>
      <c r="F177" s="267"/>
      <c r="G177" s="7"/>
      <c r="H177" s="7"/>
      <c r="I177" s="7"/>
      <c r="J177" s="7"/>
      <c r="K177" s="7"/>
      <c r="L177" s="7"/>
      <c r="M177" s="7"/>
      <c r="N177" s="7"/>
      <c r="O177" s="7"/>
      <c r="P177" s="268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</row>
    <row r="178" ht="18.0" customHeight="1">
      <c r="A178" s="7"/>
      <c r="B178" s="7"/>
      <c r="C178" s="7"/>
      <c r="D178" s="7"/>
      <c r="E178" s="7"/>
      <c r="F178" s="267"/>
      <c r="G178" s="7"/>
      <c r="H178" s="7"/>
      <c r="I178" s="7"/>
      <c r="J178" s="7"/>
      <c r="K178" s="7"/>
      <c r="L178" s="7"/>
      <c r="M178" s="7"/>
      <c r="N178" s="7"/>
      <c r="O178" s="7"/>
      <c r="P178" s="268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</row>
    <row r="179" ht="18.0" customHeight="1">
      <c r="A179" s="7"/>
      <c r="B179" s="7"/>
      <c r="C179" s="7"/>
      <c r="D179" s="7"/>
      <c r="E179" s="7"/>
      <c r="F179" s="267"/>
      <c r="G179" s="7"/>
      <c r="H179" s="7"/>
      <c r="I179" s="7"/>
      <c r="J179" s="7"/>
      <c r="K179" s="7"/>
      <c r="L179" s="7"/>
      <c r="M179" s="7"/>
      <c r="N179" s="7"/>
      <c r="O179" s="7"/>
      <c r="P179" s="268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</row>
    <row r="180" ht="18.0" customHeight="1">
      <c r="A180" s="7"/>
      <c r="B180" s="7"/>
      <c r="C180" s="7"/>
      <c r="D180" s="7"/>
      <c r="E180" s="7"/>
      <c r="F180" s="267"/>
      <c r="G180" s="7"/>
      <c r="H180" s="7"/>
      <c r="I180" s="7"/>
      <c r="J180" s="7"/>
      <c r="K180" s="7"/>
      <c r="L180" s="7"/>
      <c r="M180" s="7"/>
      <c r="N180" s="7"/>
      <c r="O180" s="7"/>
      <c r="P180" s="268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</row>
    <row r="181" ht="18.0" customHeight="1">
      <c r="A181" s="7"/>
      <c r="B181" s="7"/>
      <c r="C181" s="7"/>
      <c r="D181" s="7"/>
      <c r="E181" s="7"/>
      <c r="F181" s="267"/>
      <c r="G181" s="7"/>
      <c r="H181" s="7"/>
      <c r="I181" s="7"/>
      <c r="J181" s="7"/>
      <c r="K181" s="7"/>
      <c r="L181" s="7"/>
      <c r="M181" s="7"/>
      <c r="N181" s="7"/>
      <c r="O181" s="7"/>
      <c r="P181" s="268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</row>
    <row r="182" ht="18.0" customHeight="1">
      <c r="A182" s="7"/>
      <c r="B182" s="7"/>
      <c r="C182" s="7"/>
      <c r="D182" s="7"/>
      <c r="E182" s="7"/>
      <c r="F182" s="267"/>
      <c r="G182" s="7"/>
      <c r="H182" s="7"/>
      <c r="I182" s="7"/>
      <c r="J182" s="7"/>
      <c r="K182" s="7"/>
      <c r="L182" s="7"/>
      <c r="M182" s="7"/>
      <c r="N182" s="7"/>
      <c r="O182" s="7"/>
      <c r="P182" s="268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</row>
    <row r="183" ht="18.0" customHeight="1">
      <c r="A183" s="7"/>
      <c r="B183" s="7"/>
      <c r="C183" s="7"/>
      <c r="D183" s="7"/>
      <c r="E183" s="7"/>
      <c r="F183" s="267"/>
      <c r="G183" s="7"/>
      <c r="H183" s="7"/>
      <c r="I183" s="7"/>
      <c r="J183" s="7"/>
      <c r="K183" s="7"/>
      <c r="L183" s="7"/>
      <c r="M183" s="7"/>
      <c r="N183" s="7"/>
      <c r="O183" s="7"/>
      <c r="P183" s="268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</row>
    <row r="184" ht="18.0" customHeight="1">
      <c r="A184" s="7"/>
      <c r="B184" s="7"/>
      <c r="C184" s="7"/>
      <c r="D184" s="7"/>
      <c r="E184" s="7"/>
      <c r="F184" s="267"/>
      <c r="G184" s="7"/>
      <c r="H184" s="7"/>
      <c r="I184" s="7"/>
      <c r="J184" s="7"/>
      <c r="K184" s="7"/>
      <c r="L184" s="7"/>
      <c r="M184" s="7"/>
      <c r="N184" s="7"/>
      <c r="O184" s="7"/>
      <c r="P184" s="268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</row>
    <row r="185" ht="18.0" customHeight="1">
      <c r="A185" s="7"/>
      <c r="B185" s="7"/>
      <c r="C185" s="7"/>
      <c r="D185" s="7"/>
      <c r="E185" s="7"/>
      <c r="F185" s="267"/>
      <c r="G185" s="7"/>
      <c r="H185" s="7"/>
      <c r="I185" s="7"/>
      <c r="J185" s="7"/>
      <c r="K185" s="7"/>
      <c r="L185" s="7"/>
      <c r="M185" s="7"/>
      <c r="N185" s="7"/>
      <c r="O185" s="7"/>
      <c r="P185" s="268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</row>
    <row r="186" ht="18.0" customHeight="1">
      <c r="A186" s="7"/>
      <c r="B186" s="7"/>
      <c r="C186" s="7"/>
      <c r="D186" s="7"/>
      <c r="E186" s="7"/>
      <c r="F186" s="267"/>
      <c r="G186" s="7"/>
      <c r="H186" s="7"/>
      <c r="I186" s="7"/>
      <c r="J186" s="7"/>
      <c r="K186" s="7"/>
      <c r="L186" s="7"/>
      <c r="M186" s="7"/>
      <c r="N186" s="7"/>
      <c r="O186" s="7"/>
      <c r="P186" s="268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</row>
    <row r="187" ht="18.0" customHeight="1">
      <c r="A187" s="7"/>
      <c r="B187" s="7"/>
      <c r="C187" s="7"/>
      <c r="D187" s="7"/>
      <c r="E187" s="7"/>
      <c r="F187" s="267"/>
      <c r="G187" s="7"/>
      <c r="H187" s="7"/>
      <c r="I187" s="7"/>
      <c r="J187" s="7"/>
      <c r="K187" s="7"/>
      <c r="L187" s="7"/>
      <c r="M187" s="7"/>
      <c r="N187" s="7"/>
      <c r="O187" s="7"/>
      <c r="P187" s="268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</row>
    <row r="188" ht="18.0" customHeight="1">
      <c r="A188" s="7"/>
      <c r="B188" s="7"/>
      <c r="C188" s="7"/>
      <c r="D188" s="7"/>
      <c r="E188" s="7"/>
      <c r="F188" s="267"/>
      <c r="G188" s="7"/>
      <c r="H188" s="7"/>
      <c r="I188" s="7"/>
      <c r="J188" s="7"/>
      <c r="K188" s="7"/>
      <c r="L188" s="7"/>
      <c r="M188" s="7"/>
      <c r="N188" s="7"/>
      <c r="O188" s="7"/>
      <c r="P188" s="268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</row>
    <row r="189" ht="18.0" customHeight="1">
      <c r="A189" s="7"/>
      <c r="B189" s="7"/>
      <c r="C189" s="7"/>
      <c r="D189" s="7"/>
      <c r="E189" s="7"/>
      <c r="F189" s="267"/>
      <c r="G189" s="7"/>
      <c r="H189" s="7"/>
      <c r="I189" s="7"/>
      <c r="J189" s="7"/>
      <c r="K189" s="7"/>
      <c r="L189" s="7"/>
      <c r="M189" s="7"/>
      <c r="N189" s="7"/>
      <c r="O189" s="7"/>
      <c r="P189" s="268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</row>
    <row r="190" ht="18.0" customHeight="1">
      <c r="A190" s="7"/>
      <c r="B190" s="7"/>
      <c r="C190" s="7"/>
      <c r="D190" s="7"/>
      <c r="E190" s="7"/>
      <c r="F190" s="267"/>
      <c r="G190" s="7"/>
      <c r="H190" s="7"/>
      <c r="I190" s="7"/>
      <c r="J190" s="7"/>
      <c r="K190" s="7"/>
      <c r="L190" s="7"/>
      <c r="M190" s="7"/>
      <c r="N190" s="7"/>
      <c r="O190" s="7"/>
      <c r="P190" s="268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</row>
    <row r="191" ht="18.0" customHeight="1">
      <c r="A191" s="7"/>
      <c r="B191" s="7"/>
      <c r="C191" s="7"/>
      <c r="D191" s="7"/>
      <c r="E191" s="7"/>
      <c r="F191" s="267"/>
      <c r="G191" s="7"/>
      <c r="H191" s="7"/>
      <c r="I191" s="7"/>
      <c r="J191" s="7"/>
      <c r="K191" s="7"/>
      <c r="L191" s="7"/>
      <c r="M191" s="7"/>
      <c r="N191" s="7"/>
      <c r="O191" s="7"/>
      <c r="P191" s="268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</row>
    <row r="192" ht="18.0" customHeight="1">
      <c r="A192" s="7"/>
      <c r="B192" s="7"/>
      <c r="C192" s="7"/>
      <c r="D192" s="7"/>
      <c r="E192" s="7"/>
      <c r="F192" s="267"/>
      <c r="G192" s="7"/>
      <c r="H192" s="7"/>
      <c r="I192" s="7"/>
      <c r="J192" s="7"/>
      <c r="K192" s="7"/>
      <c r="L192" s="7"/>
      <c r="M192" s="7"/>
      <c r="N192" s="7"/>
      <c r="O192" s="7"/>
      <c r="P192" s="268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</row>
    <row r="193" ht="18.0" customHeight="1">
      <c r="A193" s="7"/>
      <c r="B193" s="7"/>
      <c r="C193" s="7"/>
      <c r="D193" s="7"/>
      <c r="E193" s="7"/>
      <c r="F193" s="267"/>
      <c r="G193" s="7"/>
      <c r="H193" s="7"/>
      <c r="I193" s="7"/>
      <c r="J193" s="7"/>
      <c r="K193" s="7"/>
      <c r="L193" s="7"/>
      <c r="M193" s="7"/>
      <c r="N193" s="7"/>
      <c r="O193" s="7"/>
      <c r="P193" s="268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</row>
    <row r="194" ht="18.0" customHeight="1">
      <c r="A194" s="7"/>
      <c r="B194" s="7"/>
      <c r="C194" s="7"/>
      <c r="D194" s="7"/>
      <c r="E194" s="7"/>
      <c r="F194" s="267"/>
      <c r="G194" s="7"/>
      <c r="H194" s="7"/>
      <c r="I194" s="7"/>
      <c r="J194" s="7"/>
      <c r="K194" s="7"/>
      <c r="L194" s="7"/>
      <c r="M194" s="7"/>
      <c r="N194" s="7"/>
      <c r="O194" s="7"/>
      <c r="P194" s="268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</row>
    <row r="195" ht="18.0" customHeight="1">
      <c r="A195" s="7"/>
      <c r="B195" s="7"/>
      <c r="C195" s="7"/>
      <c r="D195" s="7"/>
      <c r="E195" s="7"/>
      <c r="F195" s="267"/>
      <c r="G195" s="7"/>
      <c r="H195" s="7"/>
      <c r="I195" s="7"/>
      <c r="J195" s="7"/>
      <c r="K195" s="7"/>
      <c r="L195" s="7"/>
      <c r="M195" s="7"/>
      <c r="N195" s="7"/>
      <c r="O195" s="7"/>
      <c r="P195" s="268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</row>
    <row r="196" ht="18.0" customHeight="1">
      <c r="A196" s="7"/>
      <c r="B196" s="7"/>
      <c r="C196" s="7"/>
      <c r="D196" s="7"/>
      <c r="E196" s="7"/>
      <c r="F196" s="267"/>
      <c r="G196" s="7"/>
      <c r="H196" s="7"/>
      <c r="I196" s="7"/>
      <c r="J196" s="7"/>
      <c r="K196" s="7"/>
      <c r="L196" s="7"/>
      <c r="M196" s="7"/>
      <c r="N196" s="7"/>
      <c r="O196" s="7"/>
      <c r="P196" s="268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</row>
    <row r="197" ht="18.0" customHeight="1">
      <c r="A197" s="7"/>
      <c r="B197" s="7"/>
      <c r="C197" s="7"/>
      <c r="D197" s="7"/>
      <c r="E197" s="7"/>
      <c r="F197" s="267"/>
      <c r="G197" s="7"/>
      <c r="H197" s="7"/>
      <c r="I197" s="7"/>
      <c r="J197" s="7"/>
      <c r="K197" s="7"/>
      <c r="L197" s="7"/>
      <c r="M197" s="7"/>
      <c r="N197" s="7"/>
      <c r="O197" s="7"/>
      <c r="P197" s="268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</row>
    <row r="198" ht="18.0" customHeight="1">
      <c r="A198" s="7"/>
      <c r="B198" s="7"/>
      <c r="C198" s="7"/>
      <c r="D198" s="7"/>
      <c r="E198" s="7"/>
      <c r="F198" s="267"/>
      <c r="G198" s="7"/>
      <c r="H198" s="7"/>
      <c r="I198" s="7"/>
      <c r="J198" s="7"/>
      <c r="K198" s="7"/>
      <c r="L198" s="7"/>
      <c r="M198" s="7"/>
      <c r="N198" s="7"/>
      <c r="O198" s="7"/>
      <c r="P198" s="268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</row>
    <row r="199" ht="18.0" customHeight="1">
      <c r="A199" s="7"/>
      <c r="B199" s="7"/>
      <c r="C199" s="7"/>
      <c r="D199" s="7"/>
      <c r="E199" s="7"/>
      <c r="F199" s="267"/>
      <c r="G199" s="7"/>
      <c r="H199" s="7"/>
      <c r="I199" s="7"/>
      <c r="J199" s="7"/>
      <c r="K199" s="7"/>
      <c r="L199" s="7"/>
      <c r="M199" s="7"/>
      <c r="N199" s="7"/>
      <c r="O199" s="7"/>
      <c r="P199" s="268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</row>
    <row r="200" ht="18.0" customHeight="1">
      <c r="A200" s="7"/>
      <c r="B200" s="7"/>
      <c r="C200" s="7"/>
      <c r="D200" s="7"/>
      <c r="E200" s="7"/>
      <c r="F200" s="267"/>
      <c r="G200" s="7"/>
      <c r="H200" s="7"/>
      <c r="I200" s="7"/>
      <c r="J200" s="7"/>
      <c r="K200" s="7"/>
      <c r="L200" s="7"/>
      <c r="M200" s="7"/>
      <c r="N200" s="7"/>
      <c r="O200" s="7"/>
      <c r="P200" s="268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</row>
    <row r="201" ht="18.0" customHeight="1">
      <c r="A201" s="7"/>
      <c r="B201" s="7"/>
      <c r="C201" s="7"/>
      <c r="D201" s="7"/>
      <c r="E201" s="7"/>
      <c r="F201" s="267"/>
      <c r="G201" s="7"/>
      <c r="H201" s="7"/>
      <c r="I201" s="7"/>
      <c r="J201" s="7"/>
      <c r="K201" s="7"/>
      <c r="L201" s="7"/>
      <c r="M201" s="7"/>
      <c r="N201" s="7"/>
      <c r="O201" s="7"/>
      <c r="P201" s="268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</row>
    <row r="202" ht="18.0" customHeight="1">
      <c r="A202" s="7"/>
      <c r="B202" s="7"/>
      <c r="C202" s="7"/>
      <c r="D202" s="7"/>
      <c r="E202" s="7"/>
      <c r="F202" s="267"/>
      <c r="G202" s="7"/>
      <c r="H202" s="7"/>
      <c r="I202" s="7"/>
      <c r="J202" s="7"/>
      <c r="K202" s="7"/>
      <c r="L202" s="7"/>
      <c r="M202" s="7"/>
      <c r="N202" s="7"/>
      <c r="O202" s="7"/>
      <c r="P202" s="268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</row>
    <row r="203" ht="18.0" customHeight="1">
      <c r="A203" s="7"/>
      <c r="B203" s="7"/>
      <c r="C203" s="7"/>
      <c r="D203" s="7"/>
      <c r="E203" s="7"/>
      <c r="F203" s="267"/>
      <c r="G203" s="7"/>
      <c r="H203" s="7"/>
      <c r="I203" s="7"/>
      <c r="J203" s="7"/>
      <c r="K203" s="7"/>
      <c r="L203" s="7"/>
      <c r="M203" s="7"/>
      <c r="N203" s="7"/>
      <c r="O203" s="7"/>
      <c r="P203" s="268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</row>
    <row r="204" ht="18.0" customHeight="1">
      <c r="A204" s="7"/>
      <c r="B204" s="7"/>
      <c r="C204" s="7"/>
      <c r="D204" s="7"/>
      <c r="E204" s="7"/>
      <c r="F204" s="267"/>
      <c r="G204" s="7"/>
      <c r="H204" s="7"/>
      <c r="I204" s="7"/>
      <c r="J204" s="7"/>
      <c r="K204" s="7"/>
      <c r="L204" s="7"/>
      <c r="M204" s="7"/>
      <c r="N204" s="7"/>
      <c r="O204" s="7"/>
      <c r="P204" s="268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</row>
    <row r="205" ht="18.0" customHeight="1">
      <c r="A205" s="7"/>
      <c r="B205" s="7"/>
      <c r="C205" s="7"/>
      <c r="D205" s="7"/>
      <c r="E205" s="7"/>
      <c r="F205" s="267"/>
      <c r="G205" s="7"/>
      <c r="H205" s="7"/>
      <c r="I205" s="7"/>
      <c r="J205" s="7"/>
      <c r="K205" s="7"/>
      <c r="L205" s="7"/>
      <c r="M205" s="7"/>
      <c r="N205" s="7"/>
      <c r="O205" s="7"/>
      <c r="P205" s="268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</row>
    <row r="206" ht="18.0" customHeight="1">
      <c r="A206" s="7"/>
      <c r="B206" s="7"/>
      <c r="C206" s="7"/>
      <c r="D206" s="7"/>
      <c r="E206" s="7"/>
      <c r="F206" s="267"/>
      <c r="G206" s="7"/>
      <c r="H206" s="7"/>
      <c r="I206" s="7"/>
      <c r="J206" s="7"/>
      <c r="K206" s="7"/>
      <c r="L206" s="7"/>
      <c r="M206" s="7"/>
      <c r="N206" s="7"/>
      <c r="O206" s="7"/>
      <c r="P206" s="268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</row>
    <row r="207" ht="18.0" customHeight="1">
      <c r="A207" s="7"/>
      <c r="B207" s="7"/>
      <c r="C207" s="7"/>
      <c r="D207" s="7"/>
      <c r="E207" s="7"/>
      <c r="F207" s="267"/>
      <c r="G207" s="7"/>
      <c r="H207" s="7"/>
      <c r="I207" s="7"/>
      <c r="J207" s="7"/>
      <c r="K207" s="7"/>
      <c r="L207" s="7"/>
      <c r="M207" s="7"/>
      <c r="N207" s="7"/>
      <c r="O207" s="7"/>
      <c r="P207" s="268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</row>
    <row r="208" ht="18.0" customHeight="1">
      <c r="A208" s="7"/>
      <c r="B208" s="7"/>
      <c r="C208" s="7"/>
      <c r="D208" s="7"/>
      <c r="E208" s="7"/>
      <c r="F208" s="267"/>
      <c r="G208" s="7"/>
      <c r="H208" s="7"/>
      <c r="I208" s="7"/>
      <c r="J208" s="7"/>
      <c r="K208" s="7"/>
      <c r="L208" s="7"/>
      <c r="M208" s="7"/>
      <c r="N208" s="7"/>
      <c r="O208" s="7"/>
      <c r="P208" s="268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</row>
    <row r="209" ht="18.0" customHeight="1">
      <c r="A209" s="7"/>
      <c r="B209" s="7"/>
      <c r="C209" s="7"/>
      <c r="D209" s="7"/>
      <c r="E209" s="7"/>
      <c r="F209" s="267"/>
      <c r="G209" s="7"/>
      <c r="H209" s="7"/>
      <c r="I209" s="7"/>
      <c r="J209" s="7"/>
      <c r="K209" s="7"/>
      <c r="L209" s="7"/>
      <c r="M209" s="7"/>
      <c r="N209" s="7"/>
      <c r="O209" s="7"/>
      <c r="P209" s="268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</row>
    <row r="210" ht="18.0" customHeight="1">
      <c r="A210" s="7"/>
      <c r="B210" s="7"/>
      <c r="C210" s="7"/>
      <c r="D210" s="7"/>
      <c r="E210" s="7"/>
      <c r="F210" s="267"/>
      <c r="G210" s="7"/>
      <c r="H210" s="7"/>
      <c r="I210" s="7"/>
      <c r="J210" s="7"/>
      <c r="K210" s="7"/>
      <c r="L210" s="7"/>
      <c r="M210" s="7"/>
      <c r="N210" s="7"/>
      <c r="O210" s="7"/>
      <c r="P210" s="268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</row>
    <row r="211" ht="18.0" customHeight="1">
      <c r="A211" s="7"/>
      <c r="B211" s="7"/>
      <c r="C211" s="7"/>
      <c r="D211" s="7"/>
      <c r="E211" s="7"/>
      <c r="F211" s="267"/>
      <c r="G211" s="7"/>
      <c r="H211" s="7"/>
      <c r="I211" s="7"/>
      <c r="J211" s="7"/>
      <c r="K211" s="7"/>
      <c r="L211" s="7"/>
      <c r="M211" s="7"/>
      <c r="N211" s="7"/>
      <c r="O211" s="7"/>
      <c r="P211" s="268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</row>
    <row r="212" ht="18.0" customHeight="1">
      <c r="A212" s="7"/>
      <c r="B212" s="7"/>
      <c r="C212" s="7"/>
      <c r="D212" s="7"/>
      <c r="E212" s="7"/>
      <c r="F212" s="267"/>
      <c r="G212" s="7"/>
      <c r="H212" s="7"/>
      <c r="I212" s="7"/>
      <c r="J212" s="7"/>
      <c r="K212" s="7"/>
      <c r="L212" s="7"/>
      <c r="M212" s="7"/>
      <c r="N212" s="7"/>
      <c r="O212" s="7"/>
      <c r="P212" s="268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</row>
    <row r="213" ht="18.0" customHeight="1">
      <c r="A213" s="7"/>
      <c r="B213" s="7"/>
      <c r="C213" s="7"/>
      <c r="D213" s="7"/>
      <c r="E213" s="7"/>
      <c r="F213" s="267"/>
      <c r="G213" s="7"/>
      <c r="H213" s="7"/>
      <c r="I213" s="7"/>
      <c r="J213" s="7"/>
      <c r="K213" s="7"/>
      <c r="L213" s="7"/>
      <c r="M213" s="7"/>
      <c r="N213" s="7"/>
      <c r="O213" s="7"/>
      <c r="P213" s="268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</row>
    <row r="214" ht="18.0" customHeight="1">
      <c r="A214" s="7"/>
      <c r="B214" s="7"/>
      <c r="C214" s="7"/>
      <c r="D214" s="7"/>
      <c r="E214" s="7"/>
      <c r="F214" s="267"/>
      <c r="G214" s="7"/>
      <c r="H214" s="7"/>
      <c r="I214" s="7"/>
      <c r="J214" s="7"/>
      <c r="K214" s="7"/>
      <c r="L214" s="7"/>
      <c r="M214" s="7"/>
      <c r="N214" s="7"/>
      <c r="O214" s="7"/>
      <c r="P214" s="268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</row>
    <row r="215" ht="18.0" customHeight="1">
      <c r="A215" s="7"/>
      <c r="B215" s="7"/>
      <c r="C215" s="7"/>
      <c r="D215" s="7"/>
      <c r="E215" s="7"/>
      <c r="F215" s="267"/>
      <c r="G215" s="7"/>
      <c r="H215" s="7"/>
      <c r="I215" s="7"/>
      <c r="J215" s="7"/>
      <c r="K215" s="7"/>
      <c r="L215" s="7"/>
      <c r="M215" s="7"/>
      <c r="N215" s="7"/>
      <c r="O215" s="7"/>
      <c r="P215" s="268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</row>
    <row r="216" ht="18.0" customHeight="1">
      <c r="A216" s="7"/>
      <c r="B216" s="7"/>
      <c r="C216" s="7"/>
      <c r="D216" s="7"/>
      <c r="E216" s="7"/>
      <c r="F216" s="267"/>
      <c r="G216" s="7"/>
      <c r="H216" s="7"/>
      <c r="I216" s="7"/>
      <c r="J216" s="7"/>
      <c r="K216" s="7"/>
      <c r="L216" s="7"/>
      <c r="M216" s="7"/>
      <c r="N216" s="7"/>
      <c r="O216" s="7"/>
      <c r="P216" s="268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</row>
    <row r="217" ht="18.0" customHeight="1">
      <c r="A217" s="7"/>
      <c r="B217" s="7"/>
      <c r="C217" s="7"/>
      <c r="D217" s="7"/>
      <c r="E217" s="7"/>
      <c r="F217" s="267"/>
      <c r="G217" s="7"/>
      <c r="H217" s="7"/>
      <c r="I217" s="7"/>
      <c r="J217" s="7"/>
      <c r="K217" s="7"/>
      <c r="L217" s="7"/>
      <c r="M217" s="7"/>
      <c r="N217" s="7"/>
      <c r="O217" s="7"/>
      <c r="P217" s="268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</row>
    <row r="218" ht="18.0" customHeight="1">
      <c r="A218" s="7"/>
      <c r="B218" s="7"/>
      <c r="C218" s="7"/>
      <c r="D218" s="7"/>
      <c r="E218" s="7"/>
      <c r="F218" s="267"/>
      <c r="G218" s="7"/>
      <c r="H218" s="7"/>
      <c r="I218" s="7"/>
      <c r="J218" s="7"/>
      <c r="K218" s="7"/>
      <c r="L218" s="7"/>
      <c r="M218" s="7"/>
      <c r="N218" s="7"/>
      <c r="O218" s="7"/>
      <c r="P218" s="268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</row>
    <row r="219" ht="18.0" customHeight="1">
      <c r="A219" s="7"/>
      <c r="B219" s="7"/>
      <c r="C219" s="7"/>
      <c r="D219" s="7"/>
      <c r="E219" s="7"/>
      <c r="F219" s="267"/>
      <c r="G219" s="7"/>
      <c r="H219" s="7"/>
      <c r="I219" s="7"/>
      <c r="J219" s="7"/>
      <c r="K219" s="7"/>
      <c r="L219" s="7"/>
      <c r="M219" s="7"/>
      <c r="N219" s="7"/>
      <c r="O219" s="7"/>
      <c r="P219" s="268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</row>
    <row r="220" ht="18.0" customHeight="1">
      <c r="A220" s="7"/>
      <c r="B220" s="7"/>
      <c r="C220" s="7"/>
      <c r="D220" s="7"/>
      <c r="E220" s="7"/>
      <c r="F220" s="267"/>
      <c r="G220" s="7"/>
      <c r="H220" s="7"/>
      <c r="I220" s="7"/>
      <c r="J220" s="7"/>
      <c r="K220" s="7"/>
      <c r="L220" s="7"/>
      <c r="M220" s="7"/>
      <c r="N220" s="7"/>
      <c r="O220" s="7"/>
      <c r="P220" s="268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</row>
    <row r="221" ht="18.0" customHeight="1">
      <c r="A221" s="7"/>
      <c r="B221" s="7"/>
      <c r="C221" s="7"/>
      <c r="D221" s="7"/>
      <c r="E221" s="7"/>
      <c r="F221" s="267"/>
      <c r="G221" s="7"/>
      <c r="H221" s="7"/>
      <c r="I221" s="7"/>
      <c r="J221" s="7"/>
      <c r="K221" s="7"/>
      <c r="L221" s="7"/>
      <c r="M221" s="7"/>
      <c r="N221" s="7"/>
      <c r="O221" s="7"/>
      <c r="P221" s="268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</row>
    <row r="222" ht="18.0" customHeight="1">
      <c r="A222" s="7"/>
      <c r="B222" s="7"/>
      <c r="C222" s="7"/>
      <c r="D222" s="7"/>
      <c r="E222" s="7"/>
      <c r="F222" s="267"/>
      <c r="G222" s="7"/>
      <c r="H222" s="7"/>
      <c r="I222" s="7"/>
      <c r="J222" s="7"/>
      <c r="K222" s="7"/>
      <c r="L222" s="7"/>
      <c r="M222" s="7"/>
      <c r="N222" s="7"/>
      <c r="O222" s="7"/>
      <c r="P222" s="268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</row>
    <row r="223" ht="18.0" customHeight="1">
      <c r="A223" s="7"/>
      <c r="B223" s="7"/>
      <c r="C223" s="7"/>
      <c r="D223" s="7"/>
      <c r="E223" s="7"/>
      <c r="F223" s="267"/>
      <c r="G223" s="7"/>
      <c r="H223" s="7"/>
      <c r="I223" s="7"/>
      <c r="J223" s="7"/>
      <c r="K223" s="7"/>
      <c r="L223" s="7"/>
      <c r="M223" s="7"/>
      <c r="N223" s="7"/>
      <c r="O223" s="7"/>
      <c r="P223" s="268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</row>
    <row r="224" ht="18.0" customHeight="1">
      <c r="A224" s="7"/>
      <c r="B224" s="7"/>
      <c r="C224" s="7"/>
      <c r="D224" s="7"/>
      <c r="E224" s="7"/>
      <c r="F224" s="267"/>
      <c r="G224" s="7"/>
      <c r="H224" s="7"/>
      <c r="I224" s="7"/>
      <c r="J224" s="7"/>
      <c r="K224" s="7"/>
      <c r="L224" s="7"/>
      <c r="M224" s="7"/>
      <c r="N224" s="7"/>
      <c r="O224" s="7"/>
      <c r="P224" s="268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</row>
    <row r="225" ht="18.0" customHeight="1">
      <c r="A225" s="7"/>
      <c r="B225" s="7"/>
      <c r="C225" s="7"/>
      <c r="D225" s="7"/>
      <c r="E225" s="7"/>
      <c r="F225" s="267"/>
      <c r="G225" s="7"/>
      <c r="H225" s="7"/>
      <c r="I225" s="7"/>
      <c r="J225" s="7"/>
      <c r="K225" s="7"/>
      <c r="L225" s="7"/>
      <c r="M225" s="7"/>
      <c r="N225" s="7"/>
      <c r="O225" s="7"/>
      <c r="P225" s="268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</row>
    <row r="226" ht="18.0" customHeight="1">
      <c r="A226" s="7"/>
      <c r="B226" s="7"/>
      <c r="C226" s="7"/>
      <c r="D226" s="7"/>
      <c r="E226" s="7"/>
      <c r="F226" s="267"/>
      <c r="G226" s="7"/>
      <c r="H226" s="7"/>
      <c r="I226" s="7"/>
      <c r="J226" s="7"/>
      <c r="K226" s="7"/>
      <c r="L226" s="7"/>
      <c r="M226" s="7"/>
      <c r="N226" s="7"/>
      <c r="O226" s="7"/>
      <c r="P226" s="268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</row>
    <row r="227" ht="18.0" customHeight="1">
      <c r="A227" s="7"/>
      <c r="B227" s="7"/>
      <c r="C227" s="7"/>
      <c r="D227" s="7"/>
      <c r="E227" s="7"/>
      <c r="F227" s="267"/>
      <c r="G227" s="7"/>
      <c r="H227" s="7"/>
      <c r="I227" s="7"/>
      <c r="J227" s="7"/>
      <c r="K227" s="7"/>
      <c r="L227" s="7"/>
      <c r="M227" s="7"/>
      <c r="N227" s="7"/>
      <c r="O227" s="7"/>
      <c r="P227" s="268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</row>
    <row r="228" ht="18.0" customHeight="1">
      <c r="A228" s="7"/>
      <c r="B228" s="7"/>
      <c r="C228" s="7"/>
      <c r="D228" s="7"/>
      <c r="E228" s="7"/>
      <c r="F228" s="267"/>
      <c r="G228" s="7"/>
      <c r="H228" s="7"/>
      <c r="I228" s="7"/>
      <c r="J228" s="7"/>
      <c r="K228" s="7"/>
      <c r="L228" s="7"/>
      <c r="M228" s="7"/>
      <c r="N228" s="7"/>
      <c r="O228" s="7"/>
      <c r="P228" s="268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</row>
    <row r="229" ht="18.0" customHeight="1">
      <c r="A229" s="7"/>
      <c r="B229" s="7"/>
      <c r="C229" s="7"/>
      <c r="D229" s="7"/>
      <c r="E229" s="7"/>
      <c r="F229" s="267"/>
      <c r="G229" s="7"/>
      <c r="H229" s="7"/>
      <c r="I229" s="7"/>
      <c r="J229" s="7"/>
      <c r="K229" s="7"/>
      <c r="L229" s="7"/>
      <c r="M229" s="7"/>
      <c r="N229" s="7"/>
      <c r="O229" s="7"/>
      <c r="P229" s="268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</row>
    <row r="230" ht="18.0" customHeight="1">
      <c r="A230" s="7"/>
      <c r="B230" s="7"/>
      <c r="C230" s="7"/>
      <c r="D230" s="7"/>
      <c r="E230" s="7"/>
      <c r="F230" s="267"/>
      <c r="G230" s="7"/>
      <c r="H230" s="7"/>
      <c r="I230" s="7"/>
      <c r="J230" s="7"/>
      <c r="K230" s="7"/>
      <c r="L230" s="7"/>
      <c r="M230" s="7"/>
      <c r="N230" s="7"/>
      <c r="O230" s="7"/>
      <c r="P230" s="268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</row>
    <row r="231" ht="18.0" customHeight="1">
      <c r="A231" s="7"/>
      <c r="B231" s="7"/>
      <c r="C231" s="7"/>
      <c r="D231" s="7"/>
      <c r="E231" s="7"/>
      <c r="F231" s="267"/>
      <c r="G231" s="7"/>
      <c r="H231" s="7"/>
      <c r="I231" s="7"/>
      <c r="J231" s="7"/>
      <c r="K231" s="7"/>
      <c r="L231" s="7"/>
      <c r="M231" s="7"/>
      <c r="N231" s="7"/>
      <c r="O231" s="7"/>
      <c r="P231" s="268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</row>
    <row r="232" ht="18.0" customHeight="1">
      <c r="A232" s="7"/>
      <c r="B232" s="7"/>
      <c r="C232" s="7"/>
      <c r="D232" s="7"/>
      <c r="E232" s="7"/>
      <c r="F232" s="267"/>
      <c r="G232" s="7"/>
      <c r="H232" s="7"/>
      <c r="I232" s="7"/>
      <c r="J232" s="7"/>
      <c r="K232" s="7"/>
      <c r="L232" s="7"/>
      <c r="M232" s="7"/>
      <c r="N232" s="7"/>
      <c r="O232" s="7"/>
      <c r="P232" s="268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</row>
    <row r="233" ht="18.0" customHeight="1">
      <c r="A233" s="7"/>
      <c r="B233" s="7"/>
      <c r="C233" s="7"/>
      <c r="D233" s="7"/>
      <c r="E233" s="7"/>
      <c r="F233" s="267"/>
      <c r="G233" s="7"/>
      <c r="H233" s="7"/>
      <c r="I233" s="7"/>
      <c r="J233" s="7"/>
      <c r="K233" s="7"/>
      <c r="L233" s="7"/>
      <c r="M233" s="7"/>
      <c r="N233" s="7"/>
      <c r="O233" s="7"/>
      <c r="P233" s="268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</row>
    <row r="234" ht="18.0" customHeight="1">
      <c r="A234" s="7"/>
      <c r="B234" s="7"/>
      <c r="C234" s="7"/>
      <c r="D234" s="7"/>
      <c r="E234" s="7"/>
      <c r="F234" s="267"/>
      <c r="G234" s="7"/>
      <c r="H234" s="7"/>
      <c r="I234" s="7"/>
      <c r="J234" s="7"/>
      <c r="K234" s="7"/>
      <c r="L234" s="7"/>
      <c r="M234" s="7"/>
      <c r="N234" s="7"/>
      <c r="O234" s="7"/>
      <c r="P234" s="268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</row>
    <row r="235" ht="18.0" customHeight="1">
      <c r="A235" s="7"/>
      <c r="B235" s="7"/>
      <c r="C235" s="7"/>
      <c r="D235" s="7"/>
      <c r="E235" s="7"/>
      <c r="F235" s="267"/>
      <c r="G235" s="7"/>
      <c r="H235" s="7"/>
      <c r="I235" s="7"/>
      <c r="J235" s="7"/>
      <c r="K235" s="7"/>
      <c r="L235" s="7"/>
      <c r="M235" s="7"/>
      <c r="N235" s="7"/>
      <c r="O235" s="7"/>
      <c r="P235" s="268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</row>
    <row r="236" ht="18.0" customHeight="1">
      <c r="A236" s="7"/>
      <c r="B236" s="7"/>
      <c r="C236" s="7"/>
      <c r="D236" s="7"/>
      <c r="E236" s="7"/>
      <c r="F236" s="267"/>
      <c r="G236" s="7"/>
      <c r="H236" s="7"/>
      <c r="I236" s="7"/>
      <c r="J236" s="7"/>
      <c r="K236" s="7"/>
      <c r="L236" s="7"/>
      <c r="M236" s="7"/>
      <c r="N236" s="7"/>
      <c r="O236" s="7"/>
      <c r="P236" s="268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</row>
    <row r="237" ht="18.0" customHeight="1">
      <c r="A237" s="7"/>
      <c r="B237" s="7"/>
      <c r="C237" s="7"/>
      <c r="D237" s="7"/>
      <c r="E237" s="7"/>
      <c r="F237" s="267"/>
      <c r="G237" s="7"/>
      <c r="H237" s="7"/>
      <c r="I237" s="7"/>
      <c r="J237" s="7"/>
      <c r="K237" s="7"/>
      <c r="L237" s="7"/>
      <c r="M237" s="7"/>
      <c r="N237" s="7"/>
      <c r="O237" s="7"/>
      <c r="P237" s="268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</row>
    <row r="238" ht="18.0" customHeight="1">
      <c r="A238" s="7"/>
      <c r="B238" s="7"/>
      <c r="C238" s="7"/>
      <c r="D238" s="7"/>
      <c r="E238" s="7"/>
      <c r="F238" s="267"/>
      <c r="G238" s="7"/>
      <c r="H238" s="7"/>
      <c r="I238" s="7"/>
      <c r="J238" s="7"/>
      <c r="K238" s="7"/>
      <c r="L238" s="7"/>
      <c r="M238" s="7"/>
      <c r="N238" s="7"/>
      <c r="O238" s="7"/>
      <c r="P238" s="268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</row>
    <row r="239" ht="18.0" customHeight="1">
      <c r="A239" s="7"/>
      <c r="B239" s="7"/>
      <c r="C239" s="7"/>
      <c r="D239" s="7"/>
      <c r="E239" s="7"/>
      <c r="F239" s="267"/>
      <c r="G239" s="7"/>
      <c r="H239" s="7"/>
      <c r="I239" s="7"/>
      <c r="J239" s="7"/>
      <c r="K239" s="7"/>
      <c r="L239" s="7"/>
      <c r="M239" s="7"/>
      <c r="N239" s="7"/>
      <c r="O239" s="7"/>
      <c r="P239" s="268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</row>
    <row r="240" ht="18.0" customHeight="1">
      <c r="A240" s="7"/>
      <c r="B240" s="7"/>
      <c r="C240" s="7"/>
      <c r="D240" s="7"/>
      <c r="E240" s="7"/>
      <c r="F240" s="267"/>
      <c r="G240" s="7"/>
      <c r="H240" s="7"/>
      <c r="I240" s="7"/>
      <c r="J240" s="7"/>
      <c r="K240" s="7"/>
      <c r="L240" s="7"/>
      <c r="M240" s="7"/>
      <c r="N240" s="7"/>
      <c r="O240" s="7"/>
      <c r="P240" s="268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</row>
    <row r="241" ht="18.0" customHeight="1">
      <c r="A241" s="7"/>
      <c r="B241" s="7"/>
      <c r="C241" s="7"/>
      <c r="D241" s="7"/>
      <c r="E241" s="7"/>
      <c r="F241" s="267"/>
      <c r="G241" s="7"/>
      <c r="H241" s="7"/>
      <c r="I241" s="7"/>
      <c r="J241" s="7"/>
      <c r="K241" s="7"/>
      <c r="L241" s="7"/>
      <c r="M241" s="7"/>
      <c r="N241" s="7"/>
      <c r="O241" s="7"/>
      <c r="P241" s="268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</row>
    <row r="242" ht="18.0" customHeight="1">
      <c r="A242" s="7"/>
      <c r="B242" s="7"/>
      <c r="C242" s="7"/>
      <c r="D242" s="7"/>
      <c r="E242" s="7"/>
      <c r="F242" s="267"/>
      <c r="G242" s="7"/>
      <c r="H242" s="7"/>
      <c r="I242" s="7"/>
      <c r="J242" s="7"/>
      <c r="K242" s="7"/>
      <c r="L242" s="7"/>
      <c r="M242" s="7"/>
      <c r="N242" s="7"/>
      <c r="O242" s="7"/>
      <c r="P242" s="268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</row>
    <row r="243" ht="18.0" customHeight="1">
      <c r="A243" s="7"/>
      <c r="B243" s="7"/>
      <c r="C243" s="7"/>
      <c r="D243" s="7"/>
      <c r="E243" s="7"/>
      <c r="F243" s="267"/>
      <c r="G243" s="7"/>
      <c r="H243" s="7"/>
      <c r="I243" s="7"/>
      <c r="J243" s="7"/>
      <c r="K243" s="7"/>
      <c r="L243" s="7"/>
      <c r="M243" s="7"/>
      <c r="N243" s="7"/>
      <c r="O243" s="7"/>
      <c r="P243" s="268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</row>
    <row r="244" ht="18.0" customHeight="1">
      <c r="A244" s="7"/>
      <c r="B244" s="7"/>
      <c r="C244" s="7"/>
      <c r="D244" s="7"/>
      <c r="E244" s="7"/>
      <c r="F244" s="267"/>
      <c r="G244" s="7"/>
      <c r="H244" s="7"/>
      <c r="I244" s="7"/>
      <c r="J244" s="7"/>
      <c r="K244" s="7"/>
      <c r="L244" s="7"/>
      <c r="M244" s="7"/>
      <c r="N244" s="7"/>
      <c r="O244" s="7"/>
      <c r="P244" s="268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</row>
    <row r="245" ht="18.0" customHeight="1">
      <c r="A245" s="7"/>
      <c r="B245" s="7"/>
      <c r="C245" s="7"/>
      <c r="D245" s="7"/>
      <c r="E245" s="7"/>
      <c r="F245" s="267"/>
      <c r="G245" s="7"/>
      <c r="H245" s="7"/>
      <c r="I245" s="7"/>
      <c r="J245" s="7"/>
      <c r="K245" s="7"/>
      <c r="L245" s="7"/>
      <c r="M245" s="7"/>
      <c r="N245" s="7"/>
      <c r="O245" s="7"/>
      <c r="P245" s="268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</row>
    <row r="246" ht="18.0" customHeight="1">
      <c r="A246" s="7"/>
      <c r="B246" s="7"/>
      <c r="C246" s="7"/>
      <c r="D246" s="7"/>
      <c r="E246" s="7"/>
      <c r="F246" s="267"/>
      <c r="G246" s="7"/>
      <c r="H246" s="7"/>
      <c r="I246" s="7"/>
      <c r="J246" s="7"/>
      <c r="K246" s="7"/>
      <c r="L246" s="7"/>
      <c r="M246" s="7"/>
      <c r="N246" s="7"/>
      <c r="O246" s="7"/>
      <c r="P246" s="268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</row>
    <row r="247" ht="18.0" customHeight="1">
      <c r="A247" s="7"/>
      <c r="B247" s="7"/>
      <c r="C247" s="7"/>
      <c r="D247" s="7"/>
      <c r="E247" s="7"/>
      <c r="F247" s="267"/>
      <c r="G247" s="7"/>
      <c r="H247" s="7"/>
      <c r="I247" s="7"/>
      <c r="J247" s="7"/>
      <c r="K247" s="7"/>
      <c r="L247" s="7"/>
      <c r="M247" s="7"/>
      <c r="N247" s="7"/>
      <c r="O247" s="7"/>
      <c r="P247" s="268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</row>
    <row r="248" ht="18.0" customHeight="1">
      <c r="A248" s="7"/>
      <c r="B248" s="7"/>
      <c r="C248" s="7"/>
      <c r="D248" s="7"/>
      <c r="E248" s="7"/>
      <c r="F248" s="267"/>
      <c r="G248" s="7"/>
      <c r="H248" s="7"/>
      <c r="I248" s="7"/>
      <c r="J248" s="7"/>
      <c r="K248" s="7"/>
      <c r="L248" s="7"/>
      <c r="M248" s="7"/>
      <c r="N248" s="7"/>
      <c r="O248" s="7"/>
      <c r="P248" s="268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</row>
    <row r="249" ht="18.0" customHeight="1">
      <c r="A249" s="7"/>
      <c r="B249" s="7"/>
      <c r="C249" s="7"/>
      <c r="D249" s="7"/>
      <c r="E249" s="7"/>
      <c r="F249" s="267"/>
      <c r="G249" s="7"/>
      <c r="H249" s="7"/>
      <c r="I249" s="7"/>
      <c r="J249" s="7"/>
      <c r="K249" s="7"/>
      <c r="L249" s="7"/>
      <c r="M249" s="7"/>
      <c r="N249" s="7"/>
      <c r="O249" s="7"/>
      <c r="P249" s="268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</row>
    <row r="250" ht="18.0" customHeight="1">
      <c r="A250" s="7"/>
      <c r="B250" s="7"/>
      <c r="C250" s="7"/>
      <c r="D250" s="7"/>
      <c r="E250" s="7"/>
      <c r="F250" s="267"/>
      <c r="G250" s="7"/>
      <c r="H250" s="7"/>
      <c r="I250" s="7"/>
      <c r="J250" s="7"/>
      <c r="K250" s="7"/>
      <c r="L250" s="7"/>
      <c r="M250" s="7"/>
      <c r="N250" s="7"/>
      <c r="O250" s="7"/>
      <c r="P250" s="268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</row>
    <row r="251" ht="18.0" customHeight="1">
      <c r="A251" s="7"/>
      <c r="B251" s="7"/>
      <c r="C251" s="7"/>
      <c r="D251" s="7"/>
      <c r="E251" s="7"/>
      <c r="F251" s="267"/>
      <c r="G251" s="7"/>
      <c r="H251" s="7"/>
      <c r="I251" s="7"/>
      <c r="J251" s="7"/>
      <c r="K251" s="7"/>
      <c r="L251" s="7"/>
      <c r="M251" s="7"/>
      <c r="N251" s="7"/>
      <c r="O251" s="7"/>
      <c r="P251" s="268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</row>
    <row r="252" ht="18.0" customHeight="1">
      <c r="A252" s="7"/>
      <c r="B252" s="7"/>
      <c r="C252" s="7"/>
      <c r="D252" s="7"/>
      <c r="E252" s="7"/>
      <c r="F252" s="267"/>
      <c r="G252" s="7"/>
      <c r="H252" s="7"/>
      <c r="I252" s="7"/>
      <c r="J252" s="7"/>
      <c r="K252" s="7"/>
      <c r="L252" s="7"/>
      <c r="M252" s="7"/>
      <c r="N252" s="7"/>
      <c r="O252" s="7"/>
      <c r="P252" s="268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</row>
    <row r="253" ht="18.0" customHeight="1">
      <c r="A253" s="7"/>
      <c r="B253" s="7"/>
      <c r="C253" s="7"/>
      <c r="D253" s="7"/>
      <c r="E253" s="7"/>
      <c r="F253" s="267"/>
      <c r="G253" s="7"/>
      <c r="H253" s="7"/>
      <c r="I253" s="7"/>
      <c r="J253" s="7"/>
      <c r="K253" s="7"/>
      <c r="L253" s="7"/>
      <c r="M253" s="7"/>
      <c r="N253" s="7"/>
      <c r="O253" s="7"/>
      <c r="P253" s="268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</row>
    <row r="254" ht="18.0" customHeight="1">
      <c r="A254" s="7"/>
      <c r="B254" s="7"/>
      <c r="C254" s="7"/>
      <c r="D254" s="7"/>
      <c r="E254" s="7"/>
      <c r="F254" s="267"/>
      <c r="G254" s="7"/>
      <c r="H254" s="7"/>
      <c r="I254" s="7"/>
      <c r="J254" s="7"/>
      <c r="K254" s="7"/>
      <c r="L254" s="7"/>
      <c r="M254" s="7"/>
      <c r="N254" s="7"/>
      <c r="O254" s="7"/>
      <c r="P254" s="268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</row>
    <row r="255" ht="18.0" customHeight="1">
      <c r="A255" s="7"/>
      <c r="B255" s="7"/>
      <c r="C255" s="7"/>
      <c r="D255" s="7"/>
      <c r="E255" s="7"/>
      <c r="F255" s="267"/>
      <c r="G255" s="7"/>
      <c r="H255" s="7"/>
      <c r="I255" s="7"/>
      <c r="J255" s="7"/>
      <c r="K255" s="7"/>
      <c r="L255" s="7"/>
      <c r="M255" s="7"/>
      <c r="N255" s="7"/>
      <c r="O255" s="7"/>
      <c r="P255" s="268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</row>
    <row r="256" ht="18.0" customHeight="1">
      <c r="A256" s="7"/>
      <c r="B256" s="7"/>
      <c r="C256" s="7"/>
      <c r="D256" s="7"/>
      <c r="E256" s="7"/>
      <c r="F256" s="267"/>
      <c r="G256" s="7"/>
      <c r="H256" s="7"/>
      <c r="I256" s="7"/>
      <c r="J256" s="7"/>
      <c r="K256" s="7"/>
      <c r="L256" s="7"/>
      <c r="M256" s="7"/>
      <c r="N256" s="7"/>
      <c r="O256" s="7"/>
      <c r="P256" s="268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</row>
    <row r="257" ht="18.0" customHeight="1">
      <c r="A257" s="7"/>
      <c r="B257" s="7"/>
      <c r="C257" s="7"/>
      <c r="D257" s="7"/>
      <c r="E257" s="7"/>
      <c r="F257" s="267"/>
      <c r="G257" s="7"/>
      <c r="H257" s="7"/>
      <c r="I257" s="7"/>
      <c r="J257" s="7"/>
      <c r="K257" s="7"/>
      <c r="L257" s="7"/>
      <c r="M257" s="7"/>
      <c r="N257" s="7"/>
      <c r="O257" s="7"/>
      <c r="P257" s="268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</row>
    <row r="258" ht="18.0" customHeight="1">
      <c r="A258" s="7"/>
      <c r="B258" s="7"/>
      <c r="C258" s="7"/>
      <c r="D258" s="7"/>
      <c r="E258" s="7"/>
      <c r="F258" s="267"/>
      <c r="G258" s="7"/>
      <c r="H258" s="7"/>
      <c r="I258" s="7"/>
      <c r="J258" s="7"/>
      <c r="K258" s="7"/>
      <c r="L258" s="7"/>
      <c r="M258" s="7"/>
      <c r="N258" s="7"/>
      <c r="O258" s="7"/>
      <c r="P258" s="268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</row>
    <row r="259" ht="18.0" customHeight="1">
      <c r="A259" s="7"/>
      <c r="B259" s="7"/>
      <c r="C259" s="7"/>
      <c r="D259" s="7"/>
      <c r="E259" s="7"/>
      <c r="F259" s="267"/>
      <c r="G259" s="7"/>
      <c r="H259" s="7"/>
      <c r="I259" s="7"/>
      <c r="J259" s="7"/>
      <c r="K259" s="7"/>
      <c r="L259" s="7"/>
      <c r="M259" s="7"/>
      <c r="N259" s="7"/>
      <c r="O259" s="7"/>
      <c r="P259" s="268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</row>
    <row r="260" ht="18.0" customHeight="1">
      <c r="A260" s="7"/>
      <c r="B260" s="7"/>
      <c r="C260" s="7"/>
      <c r="D260" s="7"/>
      <c r="E260" s="7"/>
      <c r="F260" s="267"/>
      <c r="G260" s="7"/>
      <c r="H260" s="7"/>
      <c r="I260" s="7"/>
      <c r="J260" s="7"/>
      <c r="K260" s="7"/>
      <c r="L260" s="7"/>
      <c r="M260" s="7"/>
      <c r="N260" s="7"/>
      <c r="O260" s="7"/>
      <c r="P260" s="268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</row>
    <row r="261" ht="18.0" customHeight="1">
      <c r="A261" s="7"/>
      <c r="B261" s="7"/>
      <c r="C261" s="7"/>
      <c r="D261" s="7"/>
      <c r="E261" s="7"/>
      <c r="F261" s="267"/>
      <c r="G261" s="7"/>
      <c r="H261" s="7"/>
      <c r="I261" s="7"/>
      <c r="J261" s="7"/>
      <c r="K261" s="7"/>
      <c r="L261" s="7"/>
      <c r="M261" s="7"/>
      <c r="N261" s="7"/>
      <c r="O261" s="7"/>
      <c r="P261" s="268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</row>
    <row r="262" ht="18.0" customHeight="1">
      <c r="A262" s="7"/>
      <c r="B262" s="7"/>
      <c r="C262" s="7"/>
      <c r="D262" s="7"/>
      <c r="E262" s="7"/>
      <c r="F262" s="267"/>
      <c r="G262" s="7"/>
      <c r="H262" s="7"/>
      <c r="I262" s="7"/>
      <c r="J262" s="7"/>
      <c r="K262" s="7"/>
      <c r="L262" s="7"/>
      <c r="M262" s="7"/>
      <c r="N262" s="7"/>
      <c r="O262" s="7"/>
      <c r="P262" s="268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</row>
    <row r="263" ht="18.0" customHeight="1">
      <c r="A263" s="7"/>
      <c r="B263" s="7"/>
      <c r="C263" s="7"/>
      <c r="D263" s="7"/>
      <c r="E263" s="7"/>
      <c r="F263" s="267"/>
      <c r="G263" s="7"/>
      <c r="H263" s="7"/>
      <c r="I263" s="7"/>
      <c r="J263" s="7"/>
      <c r="K263" s="7"/>
      <c r="L263" s="7"/>
      <c r="M263" s="7"/>
      <c r="N263" s="7"/>
      <c r="O263" s="7"/>
      <c r="P263" s="268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</row>
    <row r="264" ht="18.0" customHeight="1">
      <c r="A264" s="7"/>
      <c r="B264" s="7"/>
      <c r="C264" s="7"/>
      <c r="D264" s="7"/>
      <c r="E264" s="7"/>
      <c r="F264" s="267"/>
      <c r="G264" s="7"/>
      <c r="H264" s="7"/>
      <c r="I264" s="7"/>
      <c r="J264" s="7"/>
      <c r="K264" s="7"/>
      <c r="L264" s="7"/>
      <c r="M264" s="7"/>
      <c r="N264" s="7"/>
      <c r="O264" s="7"/>
      <c r="P264" s="268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</row>
    <row r="265" ht="18.0" customHeight="1">
      <c r="A265" s="7"/>
      <c r="B265" s="7"/>
      <c r="C265" s="7"/>
      <c r="D265" s="7"/>
      <c r="E265" s="7"/>
      <c r="F265" s="267"/>
      <c r="G265" s="7"/>
      <c r="H265" s="7"/>
      <c r="I265" s="7"/>
      <c r="J265" s="7"/>
      <c r="K265" s="7"/>
      <c r="L265" s="7"/>
      <c r="M265" s="7"/>
      <c r="N265" s="7"/>
      <c r="O265" s="7"/>
      <c r="P265" s="268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</row>
    <row r="266" ht="18.0" customHeight="1">
      <c r="A266" s="7"/>
      <c r="B266" s="7"/>
      <c r="C266" s="7"/>
      <c r="D266" s="7"/>
      <c r="E266" s="7"/>
      <c r="F266" s="267"/>
      <c r="G266" s="7"/>
      <c r="H266" s="7"/>
      <c r="I266" s="7"/>
      <c r="J266" s="7"/>
      <c r="K266" s="7"/>
      <c r="L266" s="7"/>
      <c r="M266" s="7"/>
      <c r="N266" s="7"/>
      <c r="O266" s="7"/>
      <c r="P266" s="268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</row>
    <row r="267" ht="18.0" customHeight="1">
      <c r="A267" s="7"/>
      <c r="B267" s="7"/>
      <c r="C267" s="7"/>
      <c r="D267" s="7"/>
      <c r="E267" s="7"/>
      <c r="F267" s="267"/>
      <c r="G267" s="7"/>
      <c r="H267" s="7"/>
      <c r="I267" s="7"/>
      <c r="J267" s="7"/>
      <c r="K267" s="7"/>
      <c r="L267" s="7"/>
      <c r="M267" s="7"/>
      <c r="N267" s="7"/>
      <c r="O267" s="7"/>
      <c r="P267" s="268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</row>
    <row r="268" ht="18.0" customHeight="1">
      <c r="A268" s="7"/>
      <c r="B268" s="7"/>
      <c r="C268" s="7"/>
      <c r="D268" s="7"/>
      <c r="E268" s="7"/>
      <c r="F268" s="267"/>
      <c r="G268" s="7"/>
      <c r="H268" s="7"/>
      <c r="I268" s="7"/>
      <c r="J268" s="7"/>
      <c r="K268" s="7"/>
      <c r="L268" s="7"/>
      <c r="M268" s="7"/>
      <c r="N268" s="7"/>
      <c r="O268" s="7"/>
      <c r="P268" s="268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</row>
    <row r="269" ht="18.0" customHeight="1">
      <c r="A269" s="7"/>
      <c r="B269" s="7"/>
      <c r="C269" s="7"/>
      <c r="D269" s="7"/>
      <c r="E269" s="7"/>
      <c r="F269" s="267"/>
      <c r="G269" s="7"/>
      <c r="H269" s="7"/>
      <c r="I269" s="7"/>
      <c r="J269" s="7"/>
      <c r="K269" s="7"/>
      <c r="L269" s="7"/>
      <c r="M269" s="7"/>
      <c r="N269" s="7"/>
      <c r="O269" s="7"/>
      <c r="P269" s="268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</row>
    <row r="270" ht="18.0" customHeight="1">
      <c r="A270" s="7"/>
      <c r="B270" s="7"/>
      <c r="C270" s="7"/>
      <c r="D270" s="7"/>
      <c r="E270" s="7"/>
      <c r="F270" s="267"/>
      <c r="G270" s="7"/>
      <c r="H270" s="7"/>
      <c r="I270" s="7"/>
      <c r="J270" s="7"/>
      <c r="K270" s="7"/>
      <c r="L270" s="7"/>
      <c r="M270" s="7"/>
      <c r="N270" s="7"/>
      <c r="O270" s="7"/>
      <c r="P270" s="268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</row>
    <row r="271" ht="18.0" customHeight="1">
      <c r="A271" s="7"/>
      <c r="B271" s="7"/>
      <c r="C271" s="7"/>
      <c r="D271" s="7"/>
      <c r="E271" s="7"/>
      <c r="F271" s="267"/>
      <c r="G271" s="7"/>
      <c r="H271" s="7"/>
      <c r="I271" s="7"/>
      <c r="J271" s="7"/>
      <c r="K271" s="7"/>
      <c r="L271" s="7"/>
      <c r="M271" s="7"/>
      <c r="N271" s="7"/>
      <c r="O271" s="7"/>
      <c r="P271" s="268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</row>
    <row r="272" ht="18.0" customHeight="1">
      <c r="A272" s="7"/>
      <c r="B272" s="7"/>
      <c r="C272" s="7"/>
      <c r="D272" s="7"/>
      <c r="E272" s="7"/>
      <c r="F272" s="267"/>
      <c r="G272" s="7"/>
      <c r="H272" s="7"/>
      <c r="I272" s="7"/>
      <c r="J272" s="7"/>
      <c r="K272" s="7"/>
      <c r="L272" s="7"/>
      <c r="M272" s="7"/>
      <c r="N272" s="7"/>
      <c r="O272" s="7"/>
      <c r="P272" s="268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</row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11:D11"/>
    <mergeCell ref="E12:F12"/>
    <mergeCell ref="C17:E17"/>
    <mergeCell ref="C45:E45"/>
    <mergeCell ref="C53:E53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44376.0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236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227</v>
      </c>
      <c r="C8" s="154">
        <v>18.5</v>
      </c>
      <c r="D8" s="155">
        <v>0.1079</v>
      </c>
      <c r="E8" s="156">
        <f>206.155*1</f>
        <v>206.155</v>
      </c>
      <c r="F8" s="156"/>
      <c r="G8" s="156"/>
      <c r="H8" s="157">
        <v>1.0</v>
      </c>
      <c r="I8" s="158">
        <f t="shared" ref="I8:I10" si="1">+D8*E8</f>
        <v>22.2441245</v>
      </c>
      <c r="J8" s="159">
        <f t="shared" ref="J8:J10" si="2">E8-I8</f>
        <v>183.9108755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41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55</v>
      </c>
      <c r="C9" s="154">
        <v>29.5</v>
      </c>
      <c r="D9" s="155">
        <v>0.0155</v>
      </c>
      <c r="E9" s="156">
        <f>254.985*34.3</f>
        <v>8745.9855</v>
      </c>
      <c r="F9" s="156"/>
      <c r="G9" s="156"/>
      <c r="H9" s="157">
        <v>34.3</v>
      </c>
      <c r="I9" s="158">
        <f t="shared" si="1"/>
        <v>135.5627753</v>
      </c>
      <c r="J9" s="159">
        <f t="shared" si="2"/>
        <v>8610.422725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98</v>
      </c>
      <c r="C10" s="154">
        <v>18.5</v>
      </c>
      <c r="D10" s="155">
        <v>0.1168</v>
      </c>
      <c r="E10" s="156">
        <f>189.605*13</f>
        <v>2464.865</v>
      </c>
      <c r="F10" s="156"/>
      <c r="G10" s="156"/>
      <c r="H10" s="157">
        <v>13.0</v>
      </c>
      <c r="I10" s="158">
        <f t="shared" si="1"/>
        <v>287.896232</v>
      </c>
      <c r="J10" s="159">
        <f t="shared" si="2"/>
        <v>2176.968768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18.75" customHeight="1">
      <c r="A11" s="163"/>
      <c r="B11" s="164"/>
      <c r="C11" s="165"/>
      <c r="D11" s="166"/>
      <c r="E11" s="167">
        <f>SUM(E8:E10)</f>
        <v>11417.0055</v>
      </c>
      <c r="F11" s="168"/>
      <c r="G11" s="168"/>
      <c r="H11" s="169"/>
      <c r="I11" s="170">
        <f t="shared" ref="I11:J11" si="3">SUM(I8:I10)</f>
        <v>445.7031318</v>
      </c>
      <c r="J11" s="171">
        <f t="shared" si="3"/>
        <v>10971.30237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18.75" customHeight="1">
      <c r="A12" s="172"/>
      <c r="B12" s="144"/>
      <c r="C12" s="144"/>
      <c r="D12" s="173"/>
      <c r="E12" s="174"/>
      <c r="F12" s="151"/>
      <c r="G12" s="151"/>
      <c r="H12" s="147"/>
      <c r="I12" s="175"/>
      <c r="J12" s="139"/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18.75" customHeight="1">
      <c r="A13" s="139"/>
      <c r="B13" s="139"/>
      <c r="C13" s="139"/>
      <c r="D13" s="139"/>
      <c r="E13" s="139"/>
      <c r="F13" s="139"/>
      <c r="G13" s="139"/>
      <c r="H13" s="140"/>
      <c r="I13" s="139"/>
      <c r="J13" s="139"/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39" t="s">
        <v>11</v>
      </c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40.5" customHeight="1">
      <c r="A17" s="176"/>
      <c r="B17" s="160" t="s">
        <v>12</v>
      </c>
      <c r="C17" s="177" t="s">
        <v>62</v>
      </c>
      <c r="D17" s="52"/>
      <c r="E17" s="53"/>
      <c r="F17" s="178"/>
      <c r="G17" s="178"/>
      <c r="H17" s="179" t="s">
        <v>14</v>
      </c>
      <c r="I17" s="160" t="s">
        <v>15</v>
      </c>
      <c r="J17" s="160" t="s">
        <v>16</v>
      </c>
      <c r="K17" s="139"/>
      <c r="L17" s="160" t="s">
        <v>17</v>
      </c>
      <c r="M17" s="160" t="s">
        <v>15</v>
      </c>
      <c r="N17" s="176" t="s">
        <v>18</v>
      </c>
      <c r="O17" s="139"/>
      <c r="P17" s="139"/>
      <c r="Q17" s="176" t="s">
        <v>129</v>
      </c>
      <c r="R17" s="180"/>
      <c r="S17" s="160" t="s">
        <v>17</v>
      </c>
      <c r="T17" s="160" t="s">
        <v>15</v>
      </c>
      <c r="U17" s="176" t="s">
        <v>18</v>
      </c>
      <c r="V17" s="139"/>
      <c r="W17" s="176" t="s">
        <v>19</v>
      </c>
      <c r="X17" s="176" t="s">
        <v>20</v>
      </c>
      <c r="Y17" s="176" t="s">
        <v>21</v>
      </c>
      <c r="Z17" s="176" t="s">
        <v>237</v>
      </c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27.0" customHeight="1">
      <c r="A18" s="160">
        <v>1.0</v>
      </c>
      <c r="B18" s="182" t="s">
        <v>117</v>
      </c>
      <c r="C18" s="191">
        <v>80.0</v>
      </c>
      <c r="D18" s="191">
        <v>202.0</v>
      </c>
      <c r="E18" s="191">
        <v>163.0</v>
      </c>
      <c r="F18" s="191">
        <f t="shared" ref="F18:F37" si="5">VALUE(IF(RIGHT(B18, 1)="%", RIGHT(B18, 3), 0))</f>
        <v>0.8</v>
      </c>
      <c r="G18" s="191">
        <f t="shared" ref="G18:G37" si="6">+R18*C18/100*D18/100*E18/100</f>
        <v>48.73048</v>
      </c>
      <c r="H18" s="192">
        <f t="shared" ref="H18:H37" si="7">IF(F18=0, G18, F18*G18)</f>
        <v>38.984384</v>
      </c>
      <c r="I18" s="191">
        <v>1.0</v>
      </c>
      <c r="J18" s="194">
        <f t="shared" ref="J18:J37" si="8">+I18*H18</f>
        <v>38.984384</v>
      </c>
      <c r="K18" s="139"/>
      <c r="L18" s="176">
        <f>D18*25.4/1000</f>
        <v>5.1308</v>
      </c>
      <c r="M18" s="160">
        <f>+I18</f>
        <v>1</v>
      </c>
      <c r="N18" s="160">
        <f>M18*L18</f>
        <v>5.1308</v>
      </c>
      <c r="O18" s="139"/>
      <c r="P18" s="139"/>
      <c r="Q18" s="176"/>
      <c r="R18" s="281">
        <v>18.5</v>
      </c>
      <c r="S18" s="176">
        <f t="shared" ref="S18:S38" si="9">E18/100</f>
        <v>1.63</v>
      </c>
      <c r="T18" s="160">
        <f t="shared" ref="T18:T38" si="10">I18</f>
        <v>1</v>
      </c>
      <c r="U18" s="160">
        <f t="shared" ref="U18:U38" si="11">T18*S18</f>
        <v>1.63</v>
      </c>
      <c r="V18" s="282">
        <f t="shared" ref="V18:V37" si="12">R18*C18/100*D18/100*E18/100</f>
        <v>48.73048</v>
      </c>
      <c r="W18" s="176">
        <f t="shared" ref="W18:X18" si="4">C18/100</f>
        <v>0.8</v>
      </c>
      <c r="X18" s="176">
        <f t="shared" si="4"/>
        <v>2.02</v>
      </c>
      <c r="Y18" s="176">
        <f t="shared" ref="Y18:Y38" si="14">U18</f>
        <v>1.63</v>
      </c>
      <c r="Z18" s="283">
        <f t="shared" ref="Z18:Z38" si="15">W18*X18*Y18</f>
        <v>2.63408</v>
      </c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27.0" customHeight="1">
      <c r="A19" s="160">
        <v>2.0</v>
      </c>
      <c r="B19" s="191" t="s">
        <v>111</v>
      </c>
      <c r="C19" s="191">
        <v>75.0</v>
      </c>
      <c r="D19" s="191">
        <v>202.0</v>
      </c>
      <c r="E19" s="191">
        <v>72.0</v>
      </c>
      <c r="F19" s="191">
        <f t="shared" si="5"/>
        <v>0</v>
      </c>
      <c r="G19" s="191">
        <f t="shared" si="6"/>
        <v>20.1798</v>
      </c>
      <c r="H19" s="192">
        <f t="shared" si="7"/>
        <v>20.1798</v>
      </c>
      <c r="I19" s="191">
        <v>1.0</v>
      </c>
      <c r="J19" s="194">
        <f t="shared" si="8"/>
        <v>20.1798</v>
      </c>
      <c r="K19" s="139"/>
      <c r="L19" s="176"/>
      <c r="M19" s="160"/>
      <c r="N19" s="160"/>
      <c r="O19" s="139"/>
      <c r="P19" s="139"/>
      <c r="Q19" s="176"/>
      <c r="R19" s="281">
        <v>18.5</v>
      </c>
      <c r="S19" s="176">
        <f t="shared" si="9"/>
        <v>0.72</v>
      </c>
      <c r="T19" s="160">
        <f t="shared" si="10"/>
        <v>1</v>
      </c>
      <c r="U19" s="160">
        <f t="shared" si="11"/>
        <v>0.72</v>
      </c>
      <c r="V19" s="282">
        <f t="shared" si="12"/>
        <v>20.1798</v>
      </c>
      <c r="W19" s="176">
        <f t="shared" ref="W19:X19" si="13">C19/100</f>
        <v>0.75</v>
      </c>
      <c r="X19" s="176">
        <f t="shared" si="13"/>
        <v>2.02</v>
      </c>
      <c r="Y19" s="176">
        <f t="shared" si="14"/>
        <v>0.72</v>
      </c>
      <c r="Z19" s="283">
        <f t="shared" si="15"/>
        <v>1.0908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27.0" customHeight="1">
      <c r="A20" s="160">
        <v>3.0</v>
      </c>
      <c r="B20" s="182" t="s">
        <v>64</v>
      </c>
      <c r="C20" s="191">
        <v>94.0</v>
      </c>
      <c r="D20" s="191">
        <v>215.0</v>
      </c>
      <c r="E20" s="191">
        <v>2840.0</v>
      </c>
      <c r="F20" s="191">
        <f t="shared" si="5"/>
        <v>0.8</v>
      </c>
      <c r="G20" s="191">
        <f t="shared" si="6"/>
        <v>1693.1938</v>
      </c>
      <c r="H20" s="192">
        <f t="shared" si="7"/>
        <v>1354.55504</v>
      </c>
      <c r="I20" s="191">
        <v>3.0</v>
      </c>
      <c r="J20" s="194">
        <f t="shared" si="8"/>
        <v>4063.66512</v>
      </c>
      <c r="K20" s="139"/>
      <c r="L20" s="176">
        <f t="shared" ref="L20:L37" si="17">D20*25.4/1000</f>
        <v>5.461</v>
      </c>
      <c r="M20" s="160">
        <f t="shared" ref="M20:M37" si="18">+I20</f>
        <v>3</v>
      </c>
      <c r="N20" s="160">
        <f t="shared" ref="N20:N37" si="19">M20*L20</f>
        <v>16.383</v>
      </c>
      <c r="O20" s="139"/>
      <c r="P20" s="139"/>
      <c r="Q20" s="176"/>
      <c r="R20" s="281">
        <v>29.5</v>
      </c>
      <c r="S20" s="176">
        <f t="shared" si="9"/>
        <v>28.4</v>
      </c>
      <c r="T20" s="160">
        <f t="shared" si="10"/>
        <v>3</v>
      </c>
      <c r="U20" s="160">
        <f t="shared" si="11"/>
        <v>85.2</v>
      </c>
      <c r="V20" s="282">
        <f t="shared" si="12"/>
        <v>1693.1938</v>
      </c>
      <c r="W20" s="176">
        <f t="shared" ref="W20:X20" si="16">C20/100</f>
        <v>0.94</v>
      </c>
      <c r="X20" s="176">
        <f t="shared" si="16"/>
        <v>2.15</v>
      </c>
      <c r="Y20" s="176">
        <f t="shared" si="14"/>
        <v>85.2</v>
      </c>
      <c r="Z20" s="283">
        <f t="shared" si="15"/>
        <v>172.1892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4.0</v>
      </c>
      <c r="B21" s="191" t="s">
        <v>55</v>
      </c>
      <c r="C21" s="191">
        <v>94.0</v>
      </c>
      <c r="D21" s="191">
        <v>215.0</v>
      </c>
      <c r="E21" s="191">
        <v>2250.0</v>
      </c>
      <c r="F21" s="191">
        <f t="shared" si="5"/>
        <v>0</v>
      </c>
      <c r="G21" s="191">
        <f t="shared" si="6"/>
        <v>1341.43875</v>
      </c>
      <c r="H21" s="192">
        <f t="shared" si="7"/>
        <v>1341.43875</v>
      </c>
      <c r="I21" s="191">
        <v>1.0</v>
      </c>
      <c r="J21" s="194">
        <f t="shared" si="8"/>
        <v>1341.43875</v>
      </c>
      <c r="K21" s="139"/>
      <c r="L21" s="176">
        <f t="shared" si="17"/>
        <v>5.461</v>
      </c>
      <c r="M21" s="160">
        <f t="shared" si="18"/>
        <v>1</v>
      </c>
      <c r="N21" s="160">
        <f t="shared" si="19"/>
        <v>5.461</v>
      </c>
      <c r="O21" s="139"/>
      <c r="P21" s="139"/>
      <c r="Q21" s="176"/>
      <c r="R21" s="281">
        <v>29.5</v>
      </c>
      <c r="S21" s="176">
        <f t="shared" si="9"/>
        <v>22.5</v>
      </c>
      <c r="T21" s="160">
        <f t="shared" si="10"/>
        <v>1</v>
      </c>
      <c r="U21" s="160">
        <f t="shared" si="11"/>
        <v>22.5</v>
      </c>
      <c r="V21" s="282">
        <f t="shared" si="12"/>
        <v>1341.43875</v>
      </c>
      <c r="W21" s="176">
        <f t="shared" ref="W21:X21" si="20">C21/100</f>
        <v>0.94</v>
      </c>
      <c r="X21" s="176">
        <f t="shared" si="20"/>
        <v>2.15</v>
      </c>
      <c r="Y21" s="176">
        <f t="shared" si="14"/>
        <v>22.5</v>
      </c>
      <c r="Z21" s="283">
        <f t="shared" si="15"/>
        <v>45.4725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5.0</v>
      </c>
      <c r="B22" s="191" t="s">
        <v>55</v>
      </c>
      <c r="C22" s="191">
        <v>93.0</v>
      </c>
      <c r="D22" s="191">
        <v>215.0</v>
      </c>
      <c r="E22" s="191">
        <v>232.0</v>
      </c>
      <c r="F22" s="191">
        <f t="shared" si="5"/>
        <v>0</v>
      </c>
      <c r="G22" s="191">
        <f t="shared" si="6"/>
        <v>136.84578</v>
      </c>
      <c r="H22" s="192">
        <f t="shared" si="7"/>
        <v>136.84578</v>
      </c>
      <c r="I22" s="191">
        <v>2.0</v>
      </c>
      <c r="J22" s="194">
        <f t="shared" si="8"/>
        <v>273.69156</v>
      </c>
      <c r="K22" s="139"/>
      <c r="L22" s="176">
        <f t="shared" si="17"/>
        <v>5.461</v>
      </c>
      <c r="M22" s="160">
        <f t="shared" si="18"/>
        <v>2</v>
      </c>
      <c r="N22" s="160">
        <f t="shared" si="19"/>
        <v>10.922</v>
      </c>
      <c r="O22" s="139"/>
      <c r="P22" s="139"/>
      <c r="Q22" s="176"/>
      <c r="R22" s="281">
        <v>29.5</v>
      </c>
      <c r="S22" s="176">
        <f t="shared" si="9"/>
        <v>2.32</v>
      </c>
      <c r="T22" s="160">
        <f t="shared" si="10"/>
        <v>2</v>
      </c>
      <c r="U22" s="160">
        <f t="shared" si="11"/>
        <v>4.64</v>
      </c>
      <c r="V22" s="282">
        <f t="shared" si="12"/>
        <v>136.84578</v>
      </c>
      <c r="W22" s="176">
        <f t="shared" ref="W22:X22" si="21">C22/100</f>
        <v>0.93</v>
      </c>
      <c r="X22" s="176">
        <f t="shared" si="21"/>
        <v>2.15</v>
      </c>
      <c r="Y22" s="176">
        <f t="shared" si="14"/>
        <v>4.64</v>
      </c>
      <c r="Z22" s="283">
        <f t="shared" si="15"/>
        <v>9.27768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6.0</v>
      </c>
      <c r="B23" s="191" t="s">
        <v>55</v>
      </c>
      <c r="C23" s="191">
        <v>80.0</v>
      </c>
      <c r="D23" s="191">
        <v>215.0</v>
      </c>
      <c r="E23" s="191">
        <v>138.0</v>
      </c>
      <c r="F23" s="191">
        <f t="shared" si="5"/>
        <v>0</v>
      </c>
      <c r="G23" s="191">
        <f t="shared" si="6"/>
        <v>70.0212</v>
      </c>
      <c r="H23" s="192">
        <f t="shared" si="7"/>
        <v>70.0212</v>
      </c>
      <c r="I23" s="191">
        <v>1.0</v>
      </c>
      <c r="J23" s="194">
        <f t="shared" si="8"/>
        <v>70.0212</v>
      </c>
      <c r="K23" s="139"/>
      <c r="L23" s="176">
        <f t="shared" si="17"/>
        <v>5.461</v>
      </c>
      <c r="M23" s="160">
        <f t="shared" si="18"/>
        <v>1</v>
      </c>
      <c r="N23" s="160">
        <f t="shared" si="19"/>
        <v>5.461</v>
      </c>
      <c r="O23" s="139"/>
      <c r="P23" s="139"/>
      <c r="Q23" s="176"/>
      <c r="R23" s="281">
        <v>29.5</v>
      </c>
      <c r="S23" s="176">
        <f t="shared" si="9"/>
        <v>1.38</v>
      </c>
      <c r="T23" s="160">
        <f t="shared" si="10"/>
        <v>1</v>
      </c>
      <c r="U23" s="160">
        <f t="shared" si="11"/>
        <v>1.38</v>
      </c>
      <c r="V23" s="282">
        <f t="shared" si="12"/>
        <v>70.0212</v>
      </c>
      <c r="W23" s="176">
        <f t="shared" ref="W23:X23" si="22">C23/100</f>
        <v>0.8</v>
      </c>
      <c r="X23" s="176">
        <f t="shared" si="22"/>
        <v>2.15</v>
      </c>
      <c r="Y23" s="176">
        <f t="shared" si="14"/>
        <v>1.38</v>
      </c>
      <c r="Z23" s="283">
        <f t="shared" si="15"/>
        <v>2.3736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7.0</v>
      </c>
      <c r="B24" s="191" t="s">
        <v>55</v>
      </c>
      <c r="C24" s="191">
        <v>94.0</v>
      </c>
      <c r="D24" s="191">
        <v>215.0</v>
      </c>
      <c r="E24" s="191">
        <v>232.0</v>
      </c>
      <c r="F24" s="191">
        <f t="shared" si="5"/>
        <v>0</v>
      </c>
      <c r="G24" s="191">
        <f t="shared" si="6"/>
        <v>138.31724</v>
      </c>
      <c r="H24" s="192">
        <f t="shared" si="7"/>
        <v>138.31724</v>
      </c>
      <c r="I24" s="191">
        <v>2.0</v>
      </c>
      <c r="J24" s="194">
        <f t="shared" si="8"/>
        <v>276.63448</v>
      </c>
      <c r="K24" s="139"/>
      <c r="L24" s="176">
        <f t="shared" si="17"/>
        <v>5.461</v>
      </c>
      <c r="M24" s="160">
        <f t="shared" si="18"/>
        <v>2</v>
      </c>
      <c r="N24" s="160">
        <f t="shared" si="19"/>
        <v>10.922</v>
      </c>
      <c r="O24" s="139"/>
      <c r="P24" s="139"/>
      <c r="Q24" s="176"/>
      <c r="R24" s="281">
        <v>29.5</v>
      </c>
      <c r="S24" s="176">
        <f t="shared" si="9"/>
        <v>2.32</v>
      </c>
      <c r="T24" s="160">
        <f t="shared" si="10"/>
        <v>2</v>
      </c>
      <c r="U24" s="160">
        <f t="shared" si="11"/>
        <v>4.64</v>
      </c>
      <c r="V24" s="282">
        <f t="shared" si="12"/>
        <v>138.31724</v>
      </c>
      <c r="W24" s="176">
        <f t="shared" ref="W24:X24" si="23">C24/100</f>
        <v>0.94</v>
      </c>
      <c r="X24" s="176">
        <f t="shared" si="23"/>
        <v>2.15</v>
      </c>
      <c r="Y24" s="176">
        <f t="shared" si="14"/>
        <v>4.64</v>
      </c>
      <c r="Z24" s="283">
        <f t="shared" si="15"/>
        <v>9.37744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8.0</v>
      </c>
      <c r="B25" s="191" t="s">
        <v>55</v>
      </c>
      <c r="C25" s="191">
        <v>94.0</v>
      </c>
      <c r="D25" s="191">
        <v>215.0</v>
      </c>
      <c r="E25" s="191">
        <v>240.0</v>
      </c>
      <c r="F25" s="191">
        <f t="shared" si="5"/>
        <v>0</v>
      </c>
      <c r="G25" s="191">
        <f t="shared" si="6"/>
        <v>143.0868</v>
      </c>
      <c r="H25" s="192">
        <f t="shared" si="7"/>
        <v>143.0868</v>
      </c>
      <c r="I25" s="191">
        <v>1.0</v>
      </c>
      <c r="J25" s="194">
        <f t="shared" si="8"/>
        <v>143.0868</v>
      </c>
      <c r="K25" s="139"/>
      <c r="L25" s="176">
        <f t="shared" si="17"/>
        <v>5.461</v>
      </c>
      <c r="M25" s="160">
        <f t="shared" si="18"/>
        <v>1</v>
      </c>
      <c r="N25" s="160">
        <f t="shared" si="19"/>
        <v>5.461</v>
      </c>
      <c r="O25" s="139"/>
      <c r="P25" s="139"/>
      <c r="Q25" s="176"/>
      <c r="R25" s="281">
        <v>29.5</v>
      </c>
      <c r="S25" s="176">
        <f t="shared" si="9"/>
        <v>2.4</v>
      </c>
      <c r="T25" s="160">
        <f t="shared" si="10"/>
        <v>1</v>
      </c>
      <c r="U25" s="160">
        <f t="shared" si="11"/>
        <v>2.4</v>
      </c>
      <c r="V25" s="282">
        <f t="shared" si="12"/>
        <v>143.0868</v>
      </c>
      <c r="W25" s="176">
        <f t="shared" ref="W25:X25" si="24">C25/100</f>
        <v>0.94</v>
      </c>
      <c r="X25" s="176">
        <f t="shared" si="24"/>
        <v>2.15</v>
      </c>
      <c r="Y25" s="176">
        <f t="shared" si="14"/>
        <v>2.4</v>
      </c>
      <c r="Z25" s="283">
        <f t="shared" si="15"/>
        <v>4.8504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9.0</v>
      </c>
      <c r="B26" s="191" t="s">
        <v>55</v>
      </c>
      <c r="C26" s="191">
        <v>93.0</v>
      </c>
      <c r="D26" s="191">
        <v>215.0</v>
      </c>
      <c r="E26" s="191">
        <v>233.0</v>
      </c>
      <c r="F26" s="191">
        <f t="shared" si="5"/>
        <v>0</v>
      </c>
      <c r="G26" s="191">
        <f t="shared" si="6"/>
        <v>137.4356325</v>
      </c>
      <c r="H26" s="192">
        <f t="shared" si="7"/>
        <v>137.4356325</v>
      </c>
      <c r="I26" s="191">
        <v>1.0</v>
      </c>
      <c r="J26" s="194">
        <f t="shared" si="8"/>
        <v>137.4356325</v>
      </c>
      <c r="K26" s="139"/>
      <c r="L26" s="176">
        <f t="shared" si="17"/>
        <v>5.461</v>
      </c>
      <c r="M26" s="160">
        <f t="shared" si="18"/>
        <v>1</v>
      </c>
      <c r="N26" s="160">
        <f t="shared" si="19"/>
        <v>5.461</v>
      </c>
      <c r="O26" s="139"/>
      <c r="P26" s="139"/>
      <c r="Q26" s="176"/>
      <c r="R26" s="281">
        <v>29.5</v>
      </c>
      <c r="S26" s="176">
        <f t="shared" si="9"/>
        <v>2.33</v>
      </c>
      <c r="T26" s="160">
        <f t="shared" si="10"/>
        <v>1</v>
      </c>
      <c r="U26" s="160">
        <f t="shared" si="11"/>
        <v>2.33</v>
      </c>
      <c r="V26" s="282">
        <f t="shared" si="12"/>
        <v>137.4356325</v>
      </c>
      <c r="W26" s="176">
        <f t="shared" ref="W26:X26" si="25">C26/100</f>
        <v>0.93</v>
      </c>
      <c r="X26" s="176">
        <f t="shared" si="25"/>
        <v>2.15</v>
      </c>
      <c r="Y26" s="176">
        <f t="shared" si="14"/>
        <v>2.33</v>
      </c>
      <c r="Z26" s="283">
        <f t="shared" si="15"/>
        <v>4.658835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10.0</v>
      </c>
      <c r="B27" s="191" t="s">
        <v>55</v>
      </c>
      <c r="C27" s="191">
        <v>94.0</v>
      </c>
      <c r="D27" s="191">
        <v>215.0</v>
      </c>
      <c r="E27" s="191">
        <v>235.0</v>
      </c>
      <c r="F27" s="191">
        <f t="shared" si="5"/>
        <v>0</v>
      </c>
      <c r="G27" s="191">
        <f t="shared" si="6"/>
        <v>140.105825</v>
      </c>
      <c r="H27" s="192">
        <f t="shared" si="7"/>
        <v>140.105825</v>
      </c>
      <c r="I27" s="191">
        <v>1.0</v>
      </c>
      <c r="J27" s="194">
        <f t="shared" si="8"/>
        <v>140.105825</v>
      </c>
      <c r="K27" s="139"/>
      <c r="L27" s="176">
        <f t="shared" si="17"/>
        <v>5.461</v>
      </c>
      <c r="M27" s="160">
        <f t="shared" si="18"/>
        <v>1</v>
      </c>
      <c r="N27" s="160">
        <f t="shared" si="19"/>
        <v>5.461</v>
      </c>
      <c r="O27" s="139"/>
      <c r="P27" s="139"/>
      <c r="Q27" s="176"/>
      <c r="R27" s="281">
        <v>29.5</v>
      </c>
      <c r="S27" s="176">
        <f t="shared" si="9"/>
        <v>2.35</v>
      </c>
      <c r="T27" s="160">
        <f t="shared" si="10"/>
        <v>1</v>
      </c>
      <c r="U27" s="160">
        <f t="shared" si="11"/>
        <v>2.35</v>
      </c>
      <c r="V27" s="282">
        <f t="shared" si="12"/>
        <v>140.105825</v>
      </c>
      <c r="W27" s="176">
        <f t="shared" ref="W27:X27" si="26">C27/100</f>
        <v>0.94</v>
      </c>
      <c r="X27" s="176">
        <f t="shared" si="26"/>
        <v>2.15</v>
      </c>
      <c r="Y27" s="176">
        <f t="shared" si="14"/>
        <v>2.35</v>
      </c>
      <c r="Z27" s="283">
        <f t="shared" si="15"/>
        <v>4.74935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11.0</v>
      </c>
      <c r="B28" s="191" t="s">
        <v>55</v>
      </c>
      <c r="C28" s="191">
        <v>89.0</v>
      </c>
      <c r="D28" s="191">
        <v>215.0</v>
      </c>
      <c r="E28" s="191">
        <v>237.0</v>
      </c>
      <c r="F28" s="191">
        <f t="shared" si="5"/>
        <v>0</v>
      </c>
      <c r="G28" s="191">
        <f t="shared" si="6"/>
        <v>133.7823525</v>
      </c>
      <c r="H28" s="192">
        <f t="shared" si="7"/>
        <v>133.7823525</v>
      </c>
      <c r="I28" s="191">
        <v>1.0</v>
      </c>
      <c r="J28" s="194">
        <f t="shared" si="8"/>
        <v>133.7823525</v>
      </c>
      <c r="K28" s="139"/>
      <c r="L28" s="176">
        <f t="shared" si="17"/>
        <v>5.461</v>
      </c>
      <c r="M28" s="160">
        <f t="shared" si="18"/>
        <v>1</v>
      </c>
      <c r="N28" s="160">
        <f t="shared" si="19"/>
        <v>5.461</v>
      </c>
      <c r="O28" s="139"/>
      <c r="P28" s="139"/>
      <c r="Q28" s="176"/>
      <c r="R28" s="281">
        <v>29.5</v>
      </c>
      <c r="S28" s="176">
        <f t="shared" si="9"/>
        <v>2.37</v>
      </c>
      <c r="T28" s="160">
        <f t="shared" si="10"/>
        <v>1</v>
      </c>
      <c r="U28" s="160">
        <f t="shared" si="11"/>
        <v>2.37</v>
      </c>
      <c r="V28" s="282">
        <f t="shared" si="12"/>
        <v>133.7823525</v>
      </c>
      <c r="W28" s="176">
        <f t="shared" ref="W28:X28" si="27">C28/100</f>
        <v>0.89</v>
      </c>
      <c r="X28" s="176">
        <f t="shared" si="27"/>
        <v>2.15</v>
      </c>
      <c r="Y28" s="176">
        <f t="shared" si="14"/>
        <v>2.37</v>
      </c>
      <c r="Z28" s="283">
        <f t="shared" si="15"/>
        <v>4.534995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12.0</v>
      </c>
      <c r="B29" s="191" t="s">
        <v>55</v>
      </c>
      <c r="C29" s="191">
        <v>94.0</v>
      </c>
      <c r="D29" s="191">
        <v>215.0</v>
      </c>
      <c r="E29" s="191">
        <v>246.0</v>
      </c>
      <c r="F29" s="191">
        <f t="shared" si="5"/>
        <v>0</v>
      </c>
      <c r="G29" s="191">
        <f t="shared" si="6"/>
        <v>146.66397</v>
      </c>
      <c r="H29" s="192">
        <f t="shared" si="7"/>
        <v>146.66397</v>
      </c>
      <c r="I29" s="191">
        <v>1.0</v>
      </c>
      <c r="J29" s="194">
        <f t="shared" si="8"/>
        <v>146.66397</v>
      </c>
      <c r="K29" s="139"/>
      <c r="L29" s="176">
        <f t="shared" si="17"/>
        <v>5.461</v>
      </c>
      <c r="M29" s="160">
        <f t="shared" si="18"/>
        <v>1</v>
      </c>
      <c r="N29" s="160">
        <f t="shared" si="19"/>
        <v>5.461</v>
      </c>
      <c r="O29" s="139"/>
      <c r="P29" s="139"/>
      <c r="Q29" s="176"/>
      <c r="R29" s="281">
        <v>29.5</v>
      </c>
      <c r="S29" s="176">
        <f t="shared" si="9"/>
        <v>2.46</v>
      </c>
      <c r="T29" s="160">
        <f t="shared" si="10"/>
        <v>1</v>
      </c>
      <c r="U29" s="160">
        <f t="shared" si="11"/>
        <v>2.46</v>
      </c>
      <c r="V29" s="282">
        <f t="shared" si="12"/>
        <v>146.66397</v>
      </c>
      <c r="W29" s="176">
        <f t="shared" ref="W29:X29" si="28">C29/100</f>
        <v>0.94</v>
      </c>
      <c r="X29" s="176">
        <f t="shared" si="28"/>
        <v>2.15</v>
      </c>
      <c r="Y29" s="176">
        <f t="shared" si="14"/>
        <v>2.46</v>
      </c>
      <c r="Z29" s="283">
        <f t="shared" si="15"/>
        <v>4.97166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13.0</v>
      </c>
      <c r="B30" s="182" t="s">
        <v>103</v>
      </c>
      <c r="C30" s="183">
        <v>86.0</v>
      </c>
      <c r="D30" s="183">
        <v>202.0</v>
      </c>
      <c r="E30" s="183">
        <v>157.0</v>
      </c>
      <c r="F30" s="183">
        <f t="shared" si="5"/>
        <v>0.8</v>
      </c>
      <c r="G30" s="183">
        <f t="shared" si="6"/>
        <v>50.456974</v>
      </c>
      <c r="H30" s="184">
        <f t="shared" si="7"/>
        <v>40.3655792</v>
      </c>
      <c r="I30" s="183">
        <v>1.0</v>
      </c>
      <c r="J30" s="194">
        <f t="shared" si="8"/>
        <v>40.3655792</v>
      </c>
      <c r="K30" s="139"/>
      <c r="L30" s="176">
        <f t="shared" si="17"/>
        <v>5.1308</v>
      </c>
      <c r="M30" s="160">
        <f t="shared" si="18"/>
        <v>1</v>
      </c>
      <c r="N30" s="160">
        <f t="shared" si="19"/>
        <v>5.1308</v>
      </c>
      <c r="O30" s="139"/>
      <c r="P30" s="139"/>
      <c r="Q30" s="176"/>
      <c r="R30" s="281">
        <v>18.5</v>
      </c>
      <c r="S30" s="176">
        <f t="shared" si="9"/>
        <v>1.57</v>
      </c>
      <c r="T30" s="160">
        <f t="shared" si="10"/>
        <v>1</v>
      </c>
      <c r="U30" s="160">
        <f t="shared" si="11"/>
        <v>1.57</v>
      </c>
      <c r="V30" s="282">
        <f t="shared" si="12"/>
        <v>50.456974</v>
      </c>
      <c r="W30" s="176">
        <f t="shared" ref="W30:X30" si="29">C30/100</f>
        <v>0.86</v>
      </c>
      <c r="X30" s="176">
        <f t="shared" si="29"/>
        <v>2.02</v>
      </c>
      <c r="Y30" s="176">
        <f t="shared" si="14"/>
        <v>1.57</v>
      </c>
      <c r="Z30" s="283">
        <f t="shared" si="15"/>
        <v>2.727404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14.0</v>
      </c>
      <c r="B31" s="191" t="s">
        <v>98</v>
      </c>
      <c r="C31" s="191">
        <v>100.0</v>
      </c>
      <c r="D31" s="191">
        <v>202.0</v>
      </c>
      <c r="E31" s="191">
        <v>156.0</v>
      </c>
      <c r="F31" s="191">
        <f t="shared" si="5"/>
        <v>0</v>
      </c>
      <c r="G31" s="191">
        <f t="shared" si="6"/>
        <v>58.2972</v>
      </c>
      <c r="H31" s="192">
        <f t="shared" si="7"/>
        <v>58.2972</v>
      </c>
      <c r="I31" s="191">
        <v>25.0</v>
      </c>
      <c r="J31" s="194">
        <f t="shared" si="8"/>
        <v>1457.43</v>
      </c>
      <c r="K31" s="139"/>
      <c r="L31" s="176">
        <f t="shared" si="17"/>
        <v>5.1308</v>
      </c>
      <c r="M31" s="160">
        <f t="shared" si="18"/>
        <v>25</v>
      </c>
      <c r="N31" s="160">
        <f t="shared" si="19"/>
        <v>128.27</v>
      </c>
      <c r="O31" s="139"/>
      <c r="P31" s="139"/>
      <c r="Q31" s="176"/>
      <c r="R31" s="281">
        <v>18.5</v>
      </c>
      <c r="S31" s="176">
        <f t="shared" si="9"/>
        <v>1.56</v>
      </c>
      <c r="T31" s="160">
        <f t="shared" si="10"/>
        <v>25</v>
      </c>
      <c r="U31" s="160">
        <f t="shared" si="11"/>
        <v>39</v>
      </c>
      <c r="V31" s="282">
        <f t="shared" si="12"/>
        <v>58.2972</v>
      </c>
      <c r="W31" s="176">
        <f t="shared" ref="W31:X31" si="30">C31/100</f>
        <v>1</v>
      </c>
      <c r="X31" s="176">
        <f t="shared" si="30"/>
        <v>2.02</v>
      </c>
      <c r="Y31" s="176">
        <f t="shared" si="14"/>
        <v>39</v>
      </c>
      <c r="Z31" s="283">
        <f t="shared" si="15"/>
        <v>78.78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15.0</v>
      </c>
      <c r="B32" s="191" t="s">
        <v>98</v>
      </c>
      <c r="C32" s="191">
        <v>100.0</v>
      </c>
      <c r="D32" s="191">
        <v>202.0</v>
      </c>
      <c r="E32" s="191">
        <v>157.0</v>
      </c>
      <c r="F32" s="191">
        <f t="shared" si="5"/>
        <v>0</v>
      </c>
      <c r="G32" s="191">
        <f t="shared" si="6"/>
        <v>58.6709</v>
      </c>
      <c r="H32" s="192">
        <f t="shared" si="7"/>
        <v>58.6709</v>
      </c>
      <c r="I32" s="191">
        <v>8.0</v>
      </c>
      <c r="J32" s="194">
        <f t="shared" si="8"/>
        <v>469.3672</v>
      </c>
      <c r="K32" s="139"/>
      <c r="L32" s="176">
        <f t="shared" si="17"/>
        <v>5.1308</v>
      </c>
      <c r="M32" s="160">
        <f t="shared" si="18"/>
        <v>8</v>
      </c>
      <c r="N32" s="160">
        <f t="shared" si="19"/>
        <v>41.0464</v>
      </c>
      <c r="O32" s="139"/>
      <c r="P32" s="139"/>
      <c r="Q32" s="176"/>
      <c r="R32" s="281">
        <v>18.5</v>
      </c>
      <c r="S32" s="176">
        <f t="shared" si="9"/>
        <v>1.57</v>
      </c>
      <c r="T32" s="160">
        <f t="shared" si="10"/>
        <v>8</v>
      </c>
      <c r="U32" s="160">
        <f t="shared" si="11"/>
        <v>12.56</v>
      </c>
      <c r="V32" s="282">
        <f t="shared" si="12"/>
        <v>58.6709</v>
      </c>
      <c r="W32" s="176">
        <f t="shared" ref="W32:X32" si="31">C32/100</f>
        <v>1</v>
      </c>
      <c r="X32" s="176">
        <f t="shared" si="31"/>
        <v>2.02</v>
      </c>
      <c r="Y32" s="176">
        <f t="shared" si="14"/>
        <v>12.56</v>
      </c>
      <c r="Z32" s="283">
        <f t="shared" si="15"/>
        <v>25.3712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16.0</v>
      </c>
      <c r="B33" s="191" t="s">
        <v>98</v>
      </c>
      <c r="C33" s="191">
        <v>99.0</v>
      </c>
      <c r="D33" s="191">
        <v>202.0</v>
      </c>
      <c r="E33" s="191">
        <v>156.0</v>
      </c>
      <c r="F33" s="191">
        <f t="shared" si="5"/>
        <v>0</v>
      </c>
      <c r="G33" s="191">
        <f t="shared" si="6"/>
        <v>57.714228</v>
      </c>
      <c r="H33" s="192">
        <f t="shared" si="7"/>
        <v>57.714228</v>
      </c>
      <c r="I33" s="191">
        <v>1.0</v>
      </c>
      <c r="J33" s="194">
        <f t="shared" si="8"/>
        <v>57.714228</v>
      </c>
      <c r="K33" s="139"/>
      <c r="L33" s="176">
        <f t="shared" si="17"/>
        <v>5.1308</v>
      </c>
      <c r="M33" s="160">
        <f t="shared" si="18"/>
        <v>1</v>
      </c>
      <c r="N33" s="160">
        <f t="shared" si="19"/>
        <v>5.1308</v>
      </c>
      <c r="O33" s="139"/>
      <c r="P33" s="139"/>
      <c r="Q33" s="176"/>
      <c r="R33" s="281">
        <v>18.5</v>
      </c>
      <c r="S33" s="176">
        <f t="shared" si="9"/>
        <v>1.56</v>
      </c>
      <c r="T33" s="160">
        <f t="shared" si="10"/>
        <v>1</v>
      </c>
      <c r="U33" s="160">
        <f t="shared" si="11"/>
        <v>1.56</v>
      </c>
      <c r="V33" s="282">
        <f t="shared" si="12"/>
        <v>57.714228</v>
      </c>
      <c r="W33" s="176">
        <f t="shared" ref="W33:X33" si="32">C33/100</f>
        <v>0.99</v>
      </c>
      <c r="X33" s="176">
        <f t="shared" si="32"/>
        <v>2.02</v>
      </c>
      <c r="Y33" s="176">
        <f t="shared" si="14"/>
        <v>1.56</v>
      </c>
      <c r="Z33" s="283">
        <f t="shared" si="15"/>
        <v>3.119688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17.0</v>
      </c>
      <c r="B34" s="191" t="s">
        <v>98</v>
      </c>
      <c r="C34" s="191">
        <v>97.0</v>
      </c>
      <c r="D34" s="191">
        <v>202.0</v>
      </c>
      <c r="E34" s="191">
        <v>157.0</v>
      </c>
      <c r="F34" s="191">
        <f t="shared" si="5"/>
        <v>0</v>
      </c>
      <c r="G34" s="191">
        <f t="shared" si="6"/>
        <v>56.910773</v>
      </c>
      <c r="H34" s="192">
        <f t="shared" si="7"/>
        <v>56.910773</v>
      </c>
      <c r="I34" s="191">
        <v>1.0</v>
      </c>
      <c r="J34" s="194">
        <f t="shared" si="8"/>
        <v>56.910773</v>
      </c>
      <c r="K34" s="139"/>
      <c r="L34" s="176">
        <f t="shared" si="17"/>
        <v>5.1308</v>
      </c>
      <c r="M34" s="160">
        <f t="shared" si="18"/>
        <v>1</v>
      </c>
      <c r="N34" s="160">
        <f t="shared" si="19"/>
        <v>5.1308</v>
      </c>
      <c r="O34" s="139"/>
      <c r="P34" s="139"/>
      <c r="Q34" s="176"/>
      <c r="R34" s="281">
        <v>18.5</v>
      </c>
      <c r="S34" s="176">
        <f t="shared" si="9"/>
        <v>1.57</v>
      </c>
      <c r="T34" s="160">
        <f t="shared" si="10"/>
        <v>1</v>
      </c>
      <c r="U34" s="160">
        <f t="shared" si="11"/>
        <v>1.57</v>
      </c>
      <c r="V34" s="282">
        <f t="shared" si="12"/>
        <v>56.910773</v>
      </c>
      <c r="W34" s="176">
        <f t="shared" ref="W34:X34" si="33">C34/100</f>
        <v>0.97</v>
      </c>
      <c r="X34" s="176">
        <f t="shared" si="33"/>
        <v>2.02</v>
      </c>
      <c r="Y34" s="176">
        <f t="shared" si="14"/>
        <v>1.57</v>
      </c>
      <c r="Z34" s="283">
        <f t="shared" si="15"/>
        <v>3.076258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18.0</v>
      </c>
      <c r="B35" s="191" t="s">
        <v>98</v>
      </c>
      <c r="C35" s="191">
        <v>100.0</v>
      </c>
      <c r="D35" s="191">
        <v>202.0</v>
      </c>
      <c r="E35" s="191">
        <v>82.0</v>
      </c>
      <c r="F35" s="191">
        <f t="shared" si="5"/>
        <v>0</v>
      </c>
      <c r="G35" s="191">
        <f t="shared" si="6"/>
        <v>30.6434</v>
      </c>
      <c r="H35" s="192">
        <f t="shared" si="7"/>
        <v>30.6434</v>
      </c>
      <c r="I35" s="191">
        <v>1.0</v>
      </c>
      <c r="J35" s="194">
        <f t="shared" si="8"/>
        <v>30.6434</v>
      </c>
      <c r="K35" s="139"/>
      <c r="L35" s="176">
        <f t="shared" si="17"/>
        <v>5.1308</v>
      </c>
      <c r="M35" s="160">
        <f t="shared" si="18"/>
        <v>1</v>
      </c>
      <c r="N35" s="160">
        <f t="shared" si="19"/>
        <v>5.1308</v>
      </c>
      <c r="O35" s="139"/>
      <c r="P35" s="139"/>
      <c r="Q35" s="176"/>
      <c r="R35" s="281">
        <v>18.5</v>
      </c>
      <c r="S35" s="176">
        <f t="shared" si="9"/>
        <v>0.82</v>
      </c>
      <c r="T35" s="160">
        <f t="shared" si="10"/>
        <v>1</v>
      </c>
      <c r="U35" s="160">
        <f t="shared" si="11"/>
        <v>0.82</v>
      </c>
      <c r="V35" s="282">
        <f t="shared" si="12"/>
        <v>30.6434</v>
      </c>
      <c r="W35" s="176">
        <f t="shared" ref="W35:X35" si="34">C35/100</f>
        <v>1</v>
      </c>
      <c r="X35" s="176">
        <f t="shared" si="34"/>
        <v>2.02</v>
      </c>
      <c r="Y35" s="176">
        <f t="shared" si="14"/>
        <v>0.82</v>
      </c>
      <c r="Z35" s="283">
        <f t="shared" si="15"/>
        <v>1.6564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19.0</v>
      </c>
      <c r="B36" s="191" t="s">
        <v>98</v>
      </c>
      <c r="C36" s="191">
        <v>100.0</v>
      </c>
      <c r="D36" s="191">
        <v>202.0</v>
      </c>
      <c r="E36" s="191">
        <v>160.0</v>
      </c>
      <c r="F36" s="191">
        <f t="shared" si="5"/>
        <v>0</v>
      </c>
      <c r="G36" s="191">
        <f t="shared" si="6"/>
        <v>59.792</v>
      </c>
      <c r="H36" s="192">
        <f t="shared" si="7"/>
        <v>59.792</v>
      </c>
      <c r="I36" s="191">
        <v>1.0</v>
      </c>
      <c r="J36" s="194">
        <f t="shared" si="8"/>
        <v>59.792</v>
      </c>
      <c r="K36" s="139"/>
      <c r="L36" s="176">
        <f t="shared" si="17"/>
        <v>5.1308</v>
      </c>
      <c r="M36" s="160">
        <f t="shared" si="18"/>
        <v>1</v>
      </c>
      <c r="N36" s="160">
        <f t="shared" si="19"/>
        <v>5.1308</v>
      </c>
      <c r="O36" s="139"/>
      <c r="P36" s="139"/>
      <c r="Q36" s="176"/>
      <c r="R36" s="281">
        <v>18.5</v>
      </c>
      <c r="S36" s="176">
        <f t="shared" si="9"/>
        <v>1.6</v>
      </c>
      <c r="T36" s="160">
        <f t="shared" si="10"/>
        <v>1</v>
      </c>
      <c r="U36" s="160">
        <f t="shared" si="11"/>
        <v>1.6</v>
      </c>
      <c r="V36" s="282">
        <f t="shared" si="12"/>
        <v>59.792</v>
      </c>
      <c r="W36" s="176">
        <f t="shared" ref="W36:X36" si="35">C36/100</f>
        <v>1</v>
      </c>
      <c r="X36" s="176">
        <f t="shared" si="35"/>
        <v>2.02</v>
      </c>
      <c r="Y36" s="176">
        <f t="shared" si="14"/>
        <v>1.6</v>
      </c>
      <c r="Z36" s="283">
        <f t="shared" si="15"/>
        <v>3.232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20.0</v>
      </c>
      <c r="B37" s="191" t="s">
        <v>98</v>
      </c>
      <c r="C37" s="191">
        <v>97.0</v>
      </c>
      <c r="D37" s="191">
        <v>202.0</v>
      </c>
      <c r="E37" s="191">
        <v>71.0</v>
      </c>
      <c r="F37" s="191">
        <f t="shared" si="5"/>
        <v>0</v>
      </c>
      <c r="G37" s="191">
        <f t="shared" si="6"/>
        <v>25.736719</v>
      </c>
      <c r="H37" s="192">
        <f t="shared" si="7"/>
        <v>25.736719</v>
      </c>
      <c r="I37" s="191">
        <v>1.0</v>
      </c>
      <c r="J37" s="194">
        <f t="shared" si="8"/>
        <v>25.736719</v>
      </c>
      <c r="K37" s="139"/>
      <c r="L37" s="176">
        <f t="shared" si="17"/>
        <v>5.1308</v>
      </c>
      <c r="M37" s="160">
        <f t="shared" si="18"/>
        <v>1</v>
      </c>
      <c r="N37" s="160">
        <f t="shared" si="19"/>
        <v>5.1308</v>
      </c>
      <c r="O37" s="139"/>
      <c r="P37" s="139"/>
      <c r="Q37" s="176"/>
      <c r="R37" s="281">
        <v>18.5</v>
      </c>
      <c r="S37" s="176">
        <f t="shared" si="9"/>
        <v>0.71</v>
      </c>
      <c r="T37" s="160">
        <f t="shared" si="10"/>
        <v>1</v>
      </c>
      <c r="U37" s="160">
        <f t="shared" si="11"/>
        <v>0.71</v>
      </c>
      <c r="V37" s="282">
        <f t="shared" si="12"/>
        <v>25.736719</v>
      </c>
      <c r="W37" s="176">
        <f t="shared" ref="W37:X37" si="36">C37/100</f>
        <v>0.97</v>
      </c>
      <c r="X37" s="176">
        <f t="shared" si="36"/>
        <v>2.02</v>
      </c>
      <c r="Y37" s="176">
        <f t="shared" si="14"/>
        <v>0.71</v>
      </c>
      <c r="Z37" s="283">
        <f t="shared" si="15"/>
        <v>1.391174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/>
      <c r="B38" s="176"/>
      <c r="C38" s="176"/>
      <c r="D38" s="176"/>
      <c r="E38" s="176"/>
      <c r="F38" s="176"/>
      <c r="G38" s="176"/>
      <c r="H38" s="179"/>
      <c r="I38" s="160"/>
      <c r="J38" s="203">
        <f>+Q63</f>
        <v>86.8</v>
      </c>
      <c r="K38" s="139"/>
      <c r="L38" s="139"/>
      <c r="M38" s="139"/>
      <c r="N38" s="139"/>
      <c r="O38" s="139"/>
      <c r="P38" s="139"/>
      <c r="Q38" s="139"/>
      <c r="R38" s="204"/>
      <c r="S38" s="187">
        <f t="shared" si="9"/>
        <v>0</v>
      </c>
      <c r="T38" s="181" t="str">
        <f t="shared" si="10"/>
        <v/>
      </c>
      <c r="U38" s="181">
        <f t="shared" si="11"/>
        <v>0</v>
      </c>
      <c r="V38" s="186"/>
      <c r="W38" s="187">
        <f t="shared" ref="W38:X38" si="37">C38/100</f>
        <v>0</v>
      </c>
      <c r="X38" s="187">
        <f t="shared" si="37"/>
        <v>0</v>
      </c>
      <c r="Y38" s="187">
        <f t="shared" si="14"/>
        <v>0</v>
      </c>
      <c r="Z38" s="189">
        <f t="shared" si="15"/>
        <v>0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/>
      <c r="B39" s="205"/>
      <c r="C39" s="205"/>
      <c r="D39" s="205"/>
      <c r="E39" s="205"/>
      <c r="F39" s="205"/>
      <c r="G39" s="205"/>
      <c r="H39" s="206"/>
      <c r="I39" s="207">
        <f>SUM(I18:I37)</f>
        <v>55</v>
      </c>
      <c r="J39" s="208">
        <f>SUM(J18:J38)</f>
        <v>9070.449773</v>
      </c>
      <c r="K39" s="209"/>
      <c r="L39" s="209"/>
      <c r="M39" s="209"/>
      <c r="N39" s="209"/>
      <c r="O39" s="209"/>
      <c r="P39" s="209"/>
      <c r="Q39" s="209"/>
      <c r="R39" s="141"/>
      <c r="S39" s="209">
        <f>SUMIFS($T$18:$T$37,$S$18:$S$37,"&gt;=3")</f>
        <v>4</v>
      </c>
      <c r="T39" s="209">
        <f t="shared" ref="T39:U39" si="38">SUM(T18:T37)</f>
        <v>55</v>
      </c>
      <c r="U39" s="209">
        <f t="shared" si="38"/>
        <v>192.01</v>
      </c>
      <c r="V39" s="209"/>
      <c r="W39" s="209"/>
      <c r="X39" s="209"/>
      <c r="Y39" s="209"/>
      <c r="Z39" s="210">
        <f>SUM(Z18:Z38)</f>
        <v>385.534664</v>
      </c>
      <c r="AA39" s="209"/>
      <c r="AB39" s="209"/>
      <c r="AC39" s="209"/>
      <c r="AD39" s="209"/>
      <c r="AE39" s="209"/>
      <c r="AF39" s="209"/>
      <c r="AG39" s="209"/>
      <c r="AH39" s="209"/>
      <c r="AI39" s="209"/>
      <c r="AJ39" s="209"/>
      <c r="AK39" s="209"/>
      <c r="AL39" s="209"/>
      <c r="AM39" s="209"/>
      <c r="AN39" s="209"/>
      <c r="AO39" s="209"/>
      <c r="AP39" s="209"/>
      <c r="AQ39" s="209"/>
      <c r="AR39" s="209"/>
      <c r="AS39" s="209"/>
      <c r="AT39" s="209"/>
    </row>
    <row r="40" ht="29.25" customHeight="1">
      <c r="A40" s="139"/>
      <c r="B40" s="139"/>
      <c r="C40" s="139"/>
      <c r="D40" s="139"/>
      <c r="E40" s="139"/>
      <c r="F40" s="139"/>
      <c r="G40" s="139"/>
      <c r="H40" s="140"/>
      <c r="I40" s="139"/>
      <c r="J40" s="139"/>
      <c r="K40" s="139"/>
      <c r="L40" s="139"/>
      <c r="M40" s="139"/>
      <c r="N40" s="139"/>
      <c r="O40" s="139"/>
      <c r="P40" s="139"/>
      <c r="Q40" s="139"/>
      <c r="R40" s="141"/>
      <c r="S40" s="186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9.25" customHeight="1">
      <c r="A41" s="139"/>
      <c r="B41" s="139"/>
      <c r="C41" s="139"/>
      <c r="D41" s="139"/>
      <c r="E41" s="139"/>
      <c r="F41" s="139"/>
      <c r="G41" s="139"/>
      <c r="H41" s="140"/>
      <c r="I41" s="139"/>
      <c r="J41" s="139"/>
      <c r="K41" s="139"/>
      <c r="L41" s="139"/>
      <c r="M41" s="139"/>
      <c r="N41" s="139"/>
      <c r="O41" s="139"/>
      <c r="P41" s="139"/>
      <c r="Q41" s="139"/>
      <c r="R41" s="204"/>
      <c r="S41" s="139"/>
      <c r="T41" s="139" t="s">
        <v>48</v>
      </c>
      <c r="U41" s="139" t="s">
        <v>72</v>
      </c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9.25" customHeight="1">
      <c r="A42" s="139"/>
      <c r="B42" s="139"/>
      <c r="C42" s="139"/>
      <c r="D42" s="139"/>
      <c r="E42" s="139"/>
      <c r="F42" s="139"/>
      <c r="G42" s="139"/>
      <c r="H42" s="140"/>
      <c r="I42" s="139"/>
      <c r="J42" s="139"/>
      <c r="K42" s="139"/>
      <c r="L42" s="139"/>
      <c r="M42" s="139"/>
      <c r="N42" s="139"/>
      <c r="O42" s="139"/>
      <c r="P42" s="139"/>
      <c r="Q42" s="139"/>
      <c r="R42" s="141"/>
      <c r="S42" s="139" t="s">
        <v>31</v>
      </c>
      <c r="T42" s="211">
        <f>SUMIFS($J$18:$J$37,$S$18:$S$37,"&gt;=3")</f>
        <v>5405.10387</v>
      </c>
      <c r="U42" s="212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9.25" customHeight="1">
      <c r="A43" s="139" t="s">
        <v>32</v>
      </c>
      <c r="B43" s="139"/>
      <c r="C43" s="139"/>
      <c r="D43" s="139" t="s">
        <v>33</v>
      </c>
      <c r="E43" s="139"/>
      <c r="F43" s="139"/>
      <c r="G43" s="139"/>
      <c r="H43" s="140"/>
      <c r="I43" s="139"/>
      <c r="J43" s="139"/>
      <c r="K43" s="139"/>
      <c r="L43" s="139"/>
      <c r="M43" s="139"/>
      <c r="N43" s="139"/>
      <c r="O43" s="139"/>
      <c r="P43" s="139"/>
      <c r="Q43" s="139"/>
      <c r="R43" s="141"/>
      <c r="S43" s="139" t="s">
        <v>34</v>
      </c>
      <c r="T43" s="213">
        <f>J39-T42</f>
        <v>3665.345903</v>
      </c>
      <c r="U43" s="212">
        <f>+SUMIFS($U$18:$U$37,$S$18:$S$37,"&gt;=3")</f>
        <v>107.7</v>
      </c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9.25" customHeight="1">
      <c r="A44" s="139"/>
      <c r="B44" s="139"/>
      <c r="C44" s="139"/>
      <c r="D44" s="139"/>
      <c r="E44" s="139"/>
      <c r="F44" s="139"/>
      <c r="G44" s="139"/>
      <c r="H44" s="140"/>
      <c r="I44" s="139"/>
      <c r="J44" s="139"/>
      <c r="K44" s="139"/>
      <c r="L44" s="139"/>
      <c r="M44" s="139"/>
      <c r="N44" s="139"/>
      <c r="O44" s="139"/>
      <c r="P44" s="139"/>
      <c r="Q44" s="139"/>
      <c r="R44" s="204"/>
      <c r="S44" s="139"/>
      <c r="T44" s="214">
        <f>+I39</f>
        <v>55</v>
      </c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39.0" customHeight="1">
      <c r="A45" s="176"/>
      <c r="B45" s="160" t="s">
        <v>12</v>
      </c>
      <c r="C45" s="177" t="s">
        <v>73</v>
      </c>
      <c r="D45" s="52"/>
      <c r="E45" s="53"/>
      <c r="F45" s="178"/>
      <c r="G45" s="178"/>
      <c r="H45" s="179" t="s">
        <v>14</v>
      </c>
      <c r="I45" s="160" t="s">
        <v>15</v>
      </c>
      <c r="J45" s="160" t="s">
        <v>16</v>
      </c>
      <c r="K45" s="139"/>
      <c r="L45" s="139"/>
      <c r="M45" s="139"/>
      <c r="N45" s="139"/>
      <c r="O45" s="139"/>
      <c r="P45" s="139"/>
      <c r="Q45" s="139"/>
      <c r="R45" s="141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54">
        <v>1.0</v>
      </c>
      <c r="B46" s="311" t="s">
        <v>117</v>
      </c>
      <c r="C46" s="311">
        <v>80.0</v>
      </c>
      <c r="D46" s="311">
        <v>202.0</v>
      </c>
      <c r="E46" s="311">
        <v>163.0</v>
      </c>
      <c r="F46" s="311">
        <f t="shared" ref="F46:F48" si="39">1-VALUE(IF(RIGHT(B46, 1)="%", RIGHT(B46, 3), 0))</f>
        <v>0.2</v>
      </c>
      <c r="G46" s="311">
        <f t="shared" ref="G46:G48" si="40">+Q46*C46/100*D46/100*E46/100</f>
        <v>0</v>
      </c>
      <c r="H46" s="312">
        <f t="shared" ref="H46:H48" si="41">IF(F46=0, G46, F46*G46)</f>
        <v>0</v>
      </c>
      <c r="I46" s="311">
        <v>1.0</v>
      </c>
      <c r="J46" s="313">
        <f t="shared" ref="J46:J48" si="42">+H46</f>
        <v>0</v>
      </c>
      <c r="K46" s="139"/>
      <c r="L46" s="176">
        <f>D46*25.4/1000</f>
        <v>5.1308</v>
      </c>
      <c r="M46" s="160">
        <f>+I46</f>
        <v>1</v>
      </c>
      <c r="N46" s="160">
        <f>M46*L46</f>
        <v>5.1308</v>
      </c>
      <c r="O46" s="139"/>
      <c r="P46" s="139"/>
      <c r="Q46" s="139"/>
      <c r="R46" s="141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314"/>
      <c r="B47" s="218" t="s">
        <v>64</v>
      </c>
      <c r="C47" s="218">
        <v>94.0</v>
      </c>
      <c r="D47" s="218">
        <v>215.0</v>
      </c>
      <c r="E47" s="218">
        <v>2840.0</v>
      </c>
      <c r="F47" s="311">
        <f t="shared" si="39"/>
        <v>0.2</v>
      </c>
      <c r="G47" s="311">
        <f t="shared" si="40"/>
        <v>0</v>
      </c>
      <c r="H47" s="312">
        <f t="shared" si="41"/>
        <v>0</v>
      </c>
      <c r="I47" s="311">
        <v>1.0</v>
      </c>
      <c r="J47" s="313">
        <f t="shared" si="42"/>
        <v>0</v>
      </c>
      <c r="K47" s="139"/>
      <c r="L47" s="139"/>
      <c r="M47" s="221"/>
      <c r="N47" s="221"/>
      <c r="O47" s="139"/>
      <c r="P47" s="139"/>
      <c r="Q47" s="139"/>
      <c r="R47" s="141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314"/>
      <c r="B48" s="218" t="s">
        <v>103</v>
      </c>
      <c r="C48" s="218">
        <v>86.0</v>
      </c>
      <c r="D48" s="218">
        <v>202.0</v>
      </c>
      <c r="E48" s="218">
        <v>157.0</v>
      </c>
      <c r="F48" s="311">
        <f t="shared" si="39"/>
        <v>0.2</v>
      </c>
      <c r="G48" s="311">
        <f t="shared" si="40"/>
        <v>0</v>
      </c>
      <c r="H48" s="312">
        <f t="shared" si="41"/>
        <v>0</v>
      </c>
      <c r="I48" s="311">
        <v>1.0</v>
      </c>
      <c r="J48" s="313">
        <f t="shared" si="42"/>
        <v>0</v>
      </c>
      <c r="K48" s="139"/>
      <c r="L48" s="139"/>
      <c r="M48" s="221"/>
      <c r="N48" s="221"/>
      <c r="O48" s="139"/>
      <c r="P48" s="139"/>
      <c r="Q48" s="139"/>
      <c r="R48" s="141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4.75" customHeight="1">
      <c r="A49" s="160"/>
      <c r="B49" s="139"/>
      <c r="C49" s="139"/>
      <c r="D49" s="139"/>
      <c r="E49" s="139"/>
      <c r="F49" s="139"/>
      <c r="G49" s="139"/>
      <c r="H49" s="140" t="s">
        <v>38</v>
      </c>
      <c r="I49" s="139"/>
      <c r="J49" s="315">
        <f>SUM(J46)</f>
        <v>0</v>
      </c>
      <c r="K49" s="139"/>
      <c r="L49" s="139"/>
      <c r="M49" s="139"/>
      <c r="N49" s="139"/>
      <c r="O49" s="139"/>
      <c r="P49" s="139"/>
      <c r="Q49" s="139"/>
      <c r="R49" s="141"/>
      <c r="S49" s="227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18.75" customHeight="1">
      <c r="A50" s="174"/>
      <c r="B50" s="144"/>
      <c r="C50" s="144"/>
      <c r="D50" s="144"/>
      <c r="E50" s="144"/>
      <c r="F50" s="144"/>
      <c r="G50" s="144"/>
      <c r="H50" s="145"/>
      <c r="I50" s="144"/>
      <c r="J50" s="175"/>
      <c r="K50" s="139"/>
      <c r="L50" s="139"/>
      <c r="M50" s="139"/>
      <c r="N50" s="139"/>
      <c r="O50" s="139"/>
      <c r="P50" s="139"/>
      <c r="Q50" s="139"/>
      <c r="R50" s="141"/>
      <c r="S50" s="227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18.75" customHeight="1">
      <c r="A51" s="139"/>
      <c r="B51" s="139"/>
      <c r="C51" s="139"/>
      <c r="D51" s="139"/>
      <c r="E51" s="139"/>
      <c r="F51" s="139"/>
      <c r="G51" s="139"/>
      <c r="H51" s="140"/>
      <c r="I51" s="139"/>
      <c r="J51" s="139"/>
      <c r="K51" s="139"/>
      <c r="L51" s="139"/>
      <c r="M51" s="139"/>
      <c r="N51" s="139"/>
      <c r="O51" s="139"/>
      <c r="P51" s="139"/>
      <c r="Q51" s="139"/>
      <c r="R51" s="141"/>
      <c r="S51" s="227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18.75" customHeight="1">
      <c r="A52" s="139"/>
      <c r="B52" s="139"/>
      <c r="C52" s="139"/>
      <c r="D52" s="139"/>
      <c r="E52" s="139"/>
      <c r="F52" s="139"/>
      <c r="G52" s="139"/>
      <c r="H52" s="140"/>
      <c r="I52" s="139"/>
      <c r="J52" s="139"/>
      <c r="K52" s="139"/>
      <c r="L52" s="139"/>
      <c r="M52" s="139"/>
      <c r="N52" s="139"/>
      <c r="O52" s="139"/>
      <c r="P52" s="139"/>
      <c r="Q52" s="139"/>
      <c r="R52" s="227"/>
      <c r="S52" s="227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18.75" customHeight="1">
      <c r="A53" s="139" t="s">
        <v>39</v>
      </c>
      <c r="B53" s="139"/>
      <c r="C53" s="139"/>
      <c r="D53" s="139"/>
      <c r="E53" s="139"/>
      <c r="F53" s="139"/>
      <c r="G53" s="139"/>
      <c r="H53" s="140"/>
      <c r="I53" s="139"/>
      <c r="J53" s="139"/>
      <c r="K53" s="139"/>
      <c r="L53" s="139"/>
      <c r="M53" s="139"/>
      <c r="N53" s="139"/>
      <c r="O53" s="139"/>
      <c r="P53" s="139"/>
      <c r="Q53" s="139"/>
      <c r="R53" s="227"/>
      <c r="S53" s="227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18.75" customHeight="1">
      <c r="A54" s="139"/>
      <c r="B54" s="139"/>
      <c r="C54" s="139"/>
      <c r="D54" s="139"/>
      <c r="E54" s="139"/>
      <c r="F54" s="139"/>
      <c r="G54" s="139"/>
      <c r="H54" s="140"/>
      <c r="I54" s="139"/>
      <c r="J54" s="139"/>
      <c r="K54" s="139"/>
      <c r="L54" s="139"/>
      <c r="M54" s="139"/>
      <c r="N54" s="139"/>
      <c r="O54" s="139"/>
      <c r="P54" s="139"/>
      <c r="Q54" s="139"/>
      <c r="R54" s="227"/>
      <c r="S54" s="227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42.0" customHeight="1">
      <c r="A55" s="176"/>
      <c r="B55" s="160" t="s">
        <v>12</v>
      </c>
      <c r="C55" s="177" t="s">
        <v>74</v>
      </c>
      <c r="D55" s="52"/>
      <c r="E55" s="53"/>
      <c r="F55" s="228"/>
      <c r="G55" s="228"/>
      <c r="H55" s="179" t="s">
        <v>14</v>
      </c>
      <c r="I55" s="224" t="s">
        <v>15</v>
      </c>
      <c r="J55" s="160" t="s">
        <v>16</v>
      </c>
      <c r="K55" s="139"/>
      <c r="L55" s="139"/>
      <c r="M55" s="139"/>
      <c r="N55" s="139"/>
      <c r="O55" s="139"/>
      <c r="P55" s="139"/>
      <c r="Q55" s="139"/>
      <c r="R55" s="227"/>
      <c r="S55" s="227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4.75" customHeight="1">
      <c r="A56" s="160">
        <v>1.0</v>
      </c>
      <c r="B56" s="229" t="s">
        <v>98</v>
      </c>
      <c r="C56" s="181"/>
      <c r="D56" s="181"/>
      <c r="E56" s="181"/>
      <c r="F56" s="181"/>
      <c r="G56" s="181"/>
      <c r="H56" s="232">
        <v>44.0</v>
      </c>
      <c r="I56" s="181">
        <v>1.0</v>
      </c>
      <c r="J56" s="194">
        <f t="shared" ref="J56:J61" si="43">+I56*H56</f>
        <v>44</v>
      </c>
      <c r="K56" s="176"/>
      <c r="L56" s="176"/>
      <c r="M56" s="176"/>
      <c r="N56" s="176"/>
      <c r="O56" s="176"/>
      <c r="P56" s="176"/>
      <c r="Q56" s="284"/>
      <c r="R56" s="227"/>
      <c r="S56" s="227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4.75" customHeight="1">
      <c r="A57" s="160">
        <v>2.0</v>
      </c>
      <c r="B57" s="215" t="s">
        <v>98</v>
      </c>
      <c r="C57" s="181"/>
      <c r="D57" s="181"/>
      <c r="E57" s="181"/>
      <c r="F57" s="181"/>
      <c r="G57" s="181"/>
      <c r="H57" s="232">
        <v>29.0</v>
      </c>
      <c r="I57" s="181">
        <v>1.0</v>
      </c>
      <c r="J57" s="194">
        <f t="shared" si="43"/>
        <v>29</v>
      </c>
      <c r="K57" s="176"/>
      <c r="L57" s="176"/>
      <c r="M57" s="176"/>
      <c r="N57" s="176"/>
      <c r="O57" s="176"/>
      <c r="P57" s="176"/>
      <c r="Q57" s="284"/>
      <c r="R57" s="227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4.75" customHeight="1">
      <c r="A58" s="160">
        <v>3.0</v>
      </c>
      <c r="B58" s="229" t="s">
        <v>98</v>
      </c>
      <c r="C58" s="181"/>
      <c r="D58" s="181"/>
      <c r="E58" s="181"/>
      <c r="F58" s="181"/>
      <c r="G58" s="181"/>
      <c r="H58" s="232">
        <v>42.0</v>
      </c>
      <c r="I58" s="181">
        <v>1.0</v>
      </c>
      <c r="J58" s="194">
        <f t="shared" si="43"/>
        <v>42</v>
      </c>
      <c r="K58" s="176"/>
      <c r="L58" s="176"/>
      <c r="M58" s="176"/>
      <c r="N58" s="176"/>
      <c r="O58" s="176"/>
      <c r="P58" s="176"/>
      <c r="Q58" s="284"/>
      <c r="R58" s="227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4.75" customHeight="1">
      <c r="A59" s="160">
        <v>4.0</v>
      </c>
      <c r="B59" s="215" t="s">
        <v>98</v>
      </c>
      <c r="C59" s="181"/>
      <c r="D59" s="181"/>
      <c r="E59" s="181"/>
      <c r="F59" s="181"/>
      <c r="G59" s="181"/>
      <c r="H59" s="232">
        <v>10.0</v>
      </c>
      <c r="I59" s="181">
        <v>1.0</v>
      </c>
      <c r="J59" s="194">
        <f t="shared" si="43"/>
        <v>10</v>
      </c>
      <c r="K59" s="176"/>
      <c r="L59" s="176"/>
      <c r="M59" s="176"/>
      <c r="N59" s="176"/>
      <c r="O59" s="176"/>
      <c r="P59" s="176"/>
      <c r="Q59" s="284"/>
      <c r="R59" s="227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4.75" customHeight="1">
      <c r="A60" s="160">
        <v>5.0</v>
      </c>
      <c r="B60" s="233" t="s">
        <v>55</v>
      </c>
      <c r="C60" s="181"/>
      <c r="D60" s="181"/>
      <c r="E60" s="181"/>
      <c r="F60" s="181"/>
      <c r="G60" s="181"/>
      <c r="H60" s="232">
        <v>64.0</v>
      </c>
      <c r="I60" s="181">
        <v>1.0</v>
      </c>
      <c r="J60" s="194">
        <f t="shared" si="43"/>
        <v>64</v>
      </c>
      <c r="K60" s="176"/>
      <c r="L60" s="176"/>
      <c r="M60" s="176"/>
      <c r="N60" s="176"/>
      <c r="O60" s="176"/>
      <c r="P60" s="176"/>
      <c r="Q60" s="284"/>
      <c r="R60" s="227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4.75" customHeight="1">
      <c r="A61" s="160">
        <v>6.0</v>
      </c>
      <c r="B61" s="234" t="s">
        <v>55</v>
      </c>
      <c r="C61" s="181"/>
      <c r="D61" s="181"/>
      <c r="E61" s="181"/>
      <c r="F61" s="181"/>
      <c r="G61" s="181"/>
      <c r="H61" s="232">
        <v>28.0</v>
      </c>
      <c r="I61" s="181">
        <v>1.0</v>
      </c>
      <c r="J61" s="194">
        <f t="shared" si="43"/>
        <v>28</v>
      </c>
      <c r="K61" s="176"/>
      <c r="L61" s="176"/>
      <c r="M61" s="176"/>
      <c r="N61" s="176"/>
      <c r="O61" s="176"/>
      <c r="P61" s="176"/>
      <c r="Q61" s="284"/>
      <c r="R61" s="227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18.75" customHeight="1">
      <c r="A62" s="139"/>
      <c r="B62" s="139"/>
      <c r="C62" s="139"/>
      <c r="D62" s="139"/>
      <c r="E62" s="139"/>
      <c r="F62" s="139"/>
      <c r="G62" s="139"/>
      <c r="H62" s="140" t="s">
        <v>38</v>
      </c>
      <c r="I62" s="139"/>
      <c r="J62" s="235">
        <f>SUM(J56:J61)</f>
        <v>217</v>
      </c>
      <c r="K62" s="236"/>
      <c r="L62" s="236"/>
      <c r="M62" s="236"/>
      <c r="N62" s="236"/>
      <c r="O62" s="236"/>
      <c r="P62" s="236"/>
      <c r="Q62" s="236"/>
      <c r="R62" s="139"/>
      <c r="S62" s="227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18.75" customHeight="1">
      <c r="A63" s="144"/>
      <c r="B63" s="144"/>
      <c r="C63" s="144"/>
      <c r="D63" s="144"/>
      <c r="E63" s="144"/>
      <c r="F63" s="144"/>
      <c r="G63" s="144"/>
      <c r="H63" s="145"/>
      <c r="I63" s="173"/>
      <c r="J63" s="205">
        <f>+J62*60%</f>
        <v>130.2</v>
      </c>
      <c r="K63" s="205"/>
      <c r="L63" s="205"/>
      <c r="M63" s="205"/>
      <c r="N63" s="205"/>
      <c r="O63" s="205"/>
      <c r="P63" s="205"/>
      <c r="Q63" s="205">
        <f>+J62*40%</f>
        <v>86.8</v>
      </c>
      <c r="R63" s="139"/>
      <c r="S63" s="227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18.75" customHeight="1">
      <c r="A64" s="139"/>
      <c r="B64" s="139"/>
      <c r="C64" s="139"/>
      <c r="D64" s="139"/>
      <c r="E64" s="139"/>
      <c r="F64" s="139"/>
      <c r="G64" s="139"/>
      <c r="H64" s="140"/>
      <c r="I64" s="139"/>
      <c r="J64" s="139"/>
      <c r="K64" s="139"/>
      <c r="L64" s="139"/>
      <c r="M64" s="139"/>
      <c r="N64" s="139"/>
      <c r="O64" s="139"/>
      <c r="P64" s="139"/>
      <c r="Q64" s="139"/>
      <c r="R64" s="139"/>
      <c r="S64" s="227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18.75" customHeight="1">
      <c r="A65" s="139"/>
      <c r="B65" s="139"/>
      <c r="C65" s="139"/>
      <c r="D65" s="139"/>
      <c r="E65" s="139"/>
      <c r="F65" s="139"/>
      <c r="G65" s="139"/>
      <c r="H65" s="140"/>
      <c r="I65" s="139"/>
      <c r="J65" s="139"/>
      <c r="K65" s="139"/>
      <c r="L65" s="139"/>
      <c r="M65" s="139"/>
      <c r="N65" s="139"/>
      <c r="O65" s="139"/>
      <c r="P65" s="139"/>
      <c r="Q65" s="139"/>
      <c r="R65" s="139"/>
      <c r="S65" s="227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19.5" customHeight="1">
      <c r="A66" s="238" t="s">
        <v>41</v>
      </c>
      <c r="B66" s="139"/>
      <c r="C66" s="139"/>
      <c r="D66" s="139"/>
      <c r="E66" s="139"/>
      <c r="F66" s="139"/>
      <c r="G66" s="139"/>
      <c r="H66" s="140"/>
      <c r="I66" s="139"/>
      <c r="J66" s="139"/>
      <c r="K66" s="139"/>
      <c r="L66" s="139"/>
      <c r="M66" s="139"/>
      <c r="N66" s="139"/>
      <c r="O66" s="139"/>
      <c r="P66" s="139"/>
      <c r="Q66" s="139"/>
      <c r="R66" s="139"/>
      <c r="S66" s="227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57.0" customHeight="1">
      <c r="A67" s="239"/>
      <c r="B67" s="240" t="s">
        <v>42</v>
      </c>
      <c r="C67" s="240" t="s">
        <v>43</v>
      </c>
      <c r="D67" s="240" t="s">
        <v>44</v>
      </c>
      <c r="E67" s="240" t="s">
        <v>45</v>
      </c>
      <c r="F67" s="240"/>
      <c r="G67" s="240"/>
      <c r="H67" s="241" t="s">
        <v>46</v>
      </c>
      <c r="I67" s="242" t="s">
        <v>47</v>
      </c>
      <c r="J67" s="139"/>
      <c r="K67" s="139"/>
      <c r="L67" s="139"/>
      <c r="M67" s="139"/>
      <c r="N67" s="139"/>
      <c r="O67" s="139"/>
      <c r="P67" s="139"/>
      <c r="Q67" s="139"/>
      <c r="R67" s="141"/>
      <c r="S67" s="227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18.75" customHeight="1">
      <c r="A68" s="243" t="s">
        <v>48</v>
      </c>
      <c r="B68" s="244">
        <f>+E11</f>
        <v>11417.0055</v>
      </c>
      <c r="C68" s="245">
        <f>+J39</f>
        <v>9070.449773</v>
      </c>
      <c r="D68" s="245">
        <f>+J49</f>
        <v>0</v>
      </c>
      <c r="E68" s="246">
        <f>J63</f>
        <v>130.2</v>
      </c>
      <c r="F68" s="246"/>
      <c r="G68" s="246"/>
      <c r="H68" s="247">
        <f>+I11</f>
        <v>445.7031318</v>
      </c>
      <c r="I68" s="248">
        <f>+B68-C68-D68-E68-H68</f>
        <v>1770.652595</v>
      </c>
      <c r="J68" s="139"/>
      <c r="K68" s="139"/>
      <c r="L68" s="139"/>
      <c r="M68" s="139"/>
      <c r="N68" s="139"/>
      <c r="O68" s="139"/>
      <c r="P68" s="139"/>
      <c r="Q68" s="139"/>
      <c r="R68" s="141"/>
      <c r="S68" s="227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19.5" customHeight="1">
      <c r="A69" s="249" t="s">
        <v>49</v>
      </c>
      <c r="B69" s="250"/>
      <c r="C69" s="251">
        <f>+C68/B68</f>
        <v>0.794468372</v>
      </c>
      <c r="D69" s="251">
        <f>+D68/B68</f>
        <v>0</v>
      </c>
      <c r="E69" s="251">
        <f>+E68/B68</f>
        <v>0.0114040411</v>
      </c>
      <c r="F69" s="251"/>
      <c r="G69" s="251"/>
      <c r="H69" s="252">
        <f>+H68/B68</f>
        <v>0.03903853175</v>
      </c>
      <c r="I69" s="253">
        <f>+I68/B68</f>
        <v>0.1550890551</v>
      </c>
      <c r="J69" s="139"/>
      <c r="K69" s="139"/>
      <c r="L69" s="139"/>
      <c r="M69" s="139"/>
      <c r="N69" s="139"/>
      <c r="O69" s="139"/>
      <c r="P69" s="139"/>
      <c r="Q69" s="139"/>
      <c r="R69" s="141"/>
      <c r="S69" s="227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19.5" customHeight="1">
      <c r="A70" s="163"/>
      <c r="B70" s="221"/>
      <c r="C70" s="254"/>
      <c r="D70" s="254"/>
      <c r="E70" s="254"/>
      <c r="F70" s="254"/>
      <c r="G70" s="254"/>
      <c r="H70" s="255"/>
      <c r="I70" s="256"/>
      <c r="J70" s="139"/>
      <c r="K70" s="139"/>
      <c r="L70" s="139"/>
      <c r="M70" s="139"/>
      <c r="N70" s="139"/>
      <c r="O70" s="139"/>
      <c r="P70" s="139"/>
      <c r="Q70" s="139"/>
      <c r="R70" s="141"/>
      <c r="S70" s="227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18.75" customHeight="1">
      <c r="A71" s="257"/>
      <c r="B71" s="258"/>
      <c r="C71" s="258"/>
      <c r="D71" s="258" t="s">
        <v>50</v>
      </c>
      <c r="E71" s="258" t="s">
        <v>48</v>
      </c>
      <c r="F71" s="258"/>
      <c r="G71" s="258"/>
      <c r="H71" s="259">
        <f>+D68+E68+H68+I68</f>
        <v>2346.555727</v>
      </c>
      <c r="I71" s="260"/>
      <c r="J71" s="139"/>
      <c r="K71" s="139"/>
      <c r="L71" s="139"/>
      <c r="M71" s="139"/>
      <c r="N71" s="139"/>
      <c r="O71" s="139"/>
      <c r="P71" s="139"/>
      <c r="Q71" s="139"/>
      <c r="R71" s="141"/>
      <c r="S71" s="140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18.75" customHeight="1">
      <c r="A72" s="261"/>
      <c r="B72" s="139"/>
      <c r="C72" s="139"/>
      <c r="D72" s="139"/>
      <c r="E72" s="139" t="s">
        <v>49</v>
      </c>
      <c r="F72" s="139"/>
      <c r="G72" s="139"/>
      <c r="H72" s="255">
        <f>+H71/B68</f>
        <v>0.205531628</v>
      </c>
      <c r="I72" s="262"/>
      <c r="J72" s="139"/>
      <c r="K72" s="139"/>
      <c r="L72" s="139"/>
      <c r="M72" s="139"/>
      <c r="N72" s="139"/>
      <c r="O72" s="139"/>
      <c r="P72" s="139"/>
      <c r="Q72" s="139"/>
      <c r="R72" s="141"/>
      <c r="S72" s="140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18.75" customHeight="1">
      <c r="A73" s="261"/>
      <c r="B73" s="139"/>
      <c r="C73" s="139" t="s">
        <v>51</v>
      </c>
      <c r="D73" s="139"/>
      <c r="E73" s="139"/>
      <c r="F73" s="139"/>
      <c r="G73" s="139"/>
      <c r="H73" s="140"/>
      <c r="I73" s="262"/>
      <c r="J73" s="139"/>
      <c r="K73" s="139"/>
      <c r="L73" s="139"/>
      <c r="M73" s="139"/>
      <c r="N73" s="139"/>
      <c r="O73" s="139"/>
      <c r="P73" s="139"/>
      <c r="Q73" s="139"/>
      <c r="R73" s="141"/>
      <c r="S73" s="140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18.75" customHeight="1">
      <c r="A74" s="261"/>
      <c r="B74" s="139"/>
      <c r="C74" s="139"/>
      <c r="D74" s="139" t="s">
        <v>52</v>
      </c>
      <c r="E74" s="139"/>
      <c r="F74" s="139"/>
      <c r="G74" s="139"/>
      <c r="H74" s="140">
        <f>+H73*(H71-H68)</f>
        <v>0</v>
      </c>
      <c r="I74" s="262"/>
      <c r="J74" s="139"/>
      <c r="K74" s="139"/>
      <c r="L74" s="139"/>
      <c r="M74" s="139"/>
      <c r="N74" s="139"/>
      <c r="O74" s="139"/>
      <c r="P74" s="139"/>
      <c r="Q74" s="139"/>
      <c r="R74" s="141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19.5" customHeight="1">
      <c r="A75" s="263"/>
      <c r="B75" s="264"/>
      <c r="C75" s="264"/>
      <c r="D75" s="264"/>
      <c r="E75" s="264"/>
      <c r="F75" s="264"/>
      <c r="G75" s="264"/>
      <c r="H75" s="265"/>
      <c r="I75" s="266"/>
      <c r="J75" s="139"/>
      <c r="K75" s="139"/>
      <c r="L75" s="139"/>
      <c r="M75" s="139"/>
      <c r="N75" s="139"/>
      <c r="O75" s="139"/>
      <c r="P75" s="139"/>
      <c r="Q75" s="139"/>
      <c r="R75" s="141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18.75" customHeight="1">
      <c r="A76" s="139"/>
      <c r="B76" s="139"/>
      <c r="C76" s="139"/>
      <c r="D76" s="139"/>
      <c r="E76" s="139"/>
      <c r="F76" s="139"/>
      <c r="G76" s="139"/>
      <c r="H76" s="140"/>
      <c r="I76" s="139"/>
      <c r="J76" s="139"/>
      <c r="K76" s="139"/>
      <c r="L76" s="139"/>
      <c r="M76" s="139"/>
      <c r="N76" s="139"/>
      <c r="O76" s="139"/>
      <c r="P76" s="139"/>
      <c r="Q76" s="139"/>
      <c r="R76" s="141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18.75" customHeight="1">
      <c r="A77" s="139"/>
      <c r="B77" s="139"/>
      <c r="C77" s="139"/>
      <c r="D77" s="139"/>
      <c r="E77" s="139"/>
      <c r="F77" s="139"/>
      <c r="G77" s="139"/>
      <c r="H77" s="140"/>
      <c r="I77" s="139"/>
      <c r="J77" s="139"/>
      <c r="K77" s="139"/>
      <c r="L77" s="139"/>
      <c r="M77" s="139"/>
      <c r="N77" s="139"/>
      <c r="O77" s="139"/>
      <c r="P77" s="139"/>
      <c r="Q77" s="139"/>
      <c r="R77" s="141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18.75" customHeight="1">
      <c r="A78" s="139"/>
      <c r="B78" s="139"/>
      <c r="C78" s="139"/>
      <c r="D78" s="139"/>
      <c r="E78" s="139"/>
      <c r="F78" s="139"/>
      <c r="G78" s="139"/>
      <c r="H78" s="140"/>
      <c r="I78" s="139"/>
      <c r="J78" s="139"/>
      <c r="K78" s="139"/>
      <c r="L78" s="139"/>
      <c r="M78" s="139"/>
      <c r="N78" s="139"/>
      <c r="O78" s="139"/>
      <c r="P78" s="139"/>
      <c r="Q78" s="139"/>
      <c r="R78" s="141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18.0" customHeight="1">
      <c r="A79" s="7"/>
      <c r="B79" s="7"/>
      <c r="C79" s="7"/>
      <c r="D79" s="7"/>
      <c r="E79" s="7"/>
      <c r="F79" s="7"/>
      <c r="G79" s="7"/>
      <c r="H79" s="267"/>
      <c r="I79" s="7"/>
      <c r="J79" s="7"/>
      <c r="K79" s="7"/>
      <c r="L79" s="7"/>
      <c r="M79" s="7"/>
      <c r="N79" s="7"/>
      <c r="O79" s="7"/>
      <c r="P79" s="7"/>
      <c r="Q79" s="7"/>
      <c r="R79" s="268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</row>
    <row r="80" ht="18.0" customHeight="1">
      <c r="A80" s="7"/>
      <c r="B80" s="7"/>
      <c r="C80" s="7"/>
      <c r="D80" s="7"/>
      <c r="E80" s="7"/>
      <c r="F80" s="7"/>
      <c r="G80" s="7"/>
      <c r="H80" s="267"/>
      <c r="I80" s="7"/>
      <c r="J80" s="7"/>
      <c r="K80" s="7"/>
      <c r="L80" s="7"/>
      <c r="M80" s="7"/>
      <c r="N80" s="7"/>
      <c r="O80" s="7"/>
      <c r="P80" s="7"/>
      <c r="Q80" s="7"/>
      <c r="R80" s="268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</row>
    <row r="81" ht="18.0" customHeight="1">
      <c r="A81" s="7"/>
      <c r="B81" s="7"/>
      <c r="C81" s="7"/>
      <c r="D81" s="7"/>
      <c r="E81" s="7"/>
      <c r="F81" s="7"/>
      <c r="G81" s="7"/>
      <c r="H81" s="267"/>
      <c r="I81" s="7"/>
      <c r="J81" s="7"/>
      <c r="K81" s="7"/>
      <c r="L81" s="7"/>
      <c r="M81" s="7"/>
      <c r="N81" s="7"/>
      <c r="O81" s="7"/>
      <c r="P81" s="7"/>
      <c r="Q81" s="7"/>
      <c r="R81" s="268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</row>
    <row r="82" ht="18.0" customHeight="1">
      <c r="A82" s="7"/>
      <c r="B82" s="7"/>
      <c r="C82" s="7"/>
      <c r="D82" s="7"/>
      <c r="E82" s="7"/>
      <c r="F82" s="7"/>
      <c r="G82" s="7"/>
      <c r="H82" s="267"/>
      <c r="I82" s="7"/>
      <c r="J82" s="7"/>
      <c r="K82" s="7"/>
      <c r="L82" s="7"/>
      <c r="M82" s="7"/>
      <c r="N82" s="7"/>
      <c r="O82" s="7"/>
      <c r="P82" s="7"/>
      <c r="Q82" s="7"/>
      <c r="R82" s="268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</row>
    <row r="83" ht="18.0" customHeight="1">
      <c r="A83" s="7"/>
      <c r="B83" s="7"/>
      <c r="C83" s="7"/>
      <c r="D83" s="7"/>
      <c r="E83" s="7"/>
      <c r="F83" s="7"/>
      <c r="G83" s="7"/>
      <c r="H83" s="267"/>
      <c r="I83" s="7"/>
      <c r="J83" s="7"/>
      <c r="K83" s="7"/>
      <c r="L83" s="7"/>
      <c r="M83" s="7"/>
      <c r="N83" s="7"/>
      <c r="O83" s="7"/>
      <c r="P83" s="7"/>
      <c r="Q83" s="7"/>
      <c r="R83" s="268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</row>
    <row r="84" ht="18.0" customHeight="1">
      <c r="A84" s="7"/>
      <c r="B84" s="7"/>
      <c r="C84" s="7"/>
      <c r="D84" s="7"/>
      <c r="E84" s="7"/>
      <c r="F84" s="7"/>
      <c r="G84" s="7"/>
      <c r="H84" s="267"/>
      <c r="I84" s="7"/>
      <c r="J84" s="7"/>
      <c r="K84" s="7"/>
      <c r="L84" s="7"/>
      <c r="M84" s="7"/>
      <c r="N84" s="7"/>
      <c r="O84" s="7"/>
      <c r="P84" s="7"/>
      <c r="Q84" s="7"/>
      <c r="R84" s="268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</row>
    <row r="85" ht="18.0" customHeight="1">
      <c r="A85" s="7"/>
      <c r="B85" s="7"/>
      <c r="C85" s="7"/>
      <c r="D85" s="7"/>
      <c r="E85" s="7"/>
      <c r="F85" s="7"/>
      <c r="G85" s="7"/>
      <c r="H85" s="267"/>
      <c r="I85" s="7"/>
      <c r="J85" s="7"/>
      <c r="K85" s="7"/>
      <c r="L85" s="7"/>
      <c r="M85" s="7"/>
      <c r="N85" s="7"/>
      <c r="O85" s="7"/>
      <c r="P85" s="7"/>
      <c r="Q85" s="7"/>
      <c r="R85" s="268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</row>
    <row r="86" ht="18.0" customHeight="1">
      <c r="A86" s="7"/>
      <c r="B86" s="7"/>
      <c r="C86" s="7"/>
      <c r="D86" s="7"/>
      <c r="E86" s="7"/>
      <c r="F86" s="7"/>
      <c r="G86" s="7"/>
      <c r="H86" s="267"/>
      <c r="I86" s="7"/>
      <c r="J86" s="7"/>
      <c r="K86" s="7"/>
      <c r="L86" s="7"/>
      <c r="M86" s="7"/>
      <c r="N86" s="7"/>
      <c r="O86" s="7"/>
      <c r="P86" s="7"/>
      <c r="Q86" s="7"/>
      <c r="R86" s="268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</row>
    <row r="87" ht="18.0" customHeight="1">
      <c r="A87" s="7"/>
      <c r="B87" s="7"/>
      <c r="C87" s="7"/>
      <c r="D87" s="7"/>
      <c r="E87" s="7"/>
      <c r="F87" s="7"/>
      <c r="G87" s="7"/>
      <c r="H87" s="267"/>
      <c r="I87" s="7"/>
      <c r="J87" s="7"/>
      <c r="K87" s="7"/>
      <c r="L87" s="7"/>
      <c r="M87" s="7"/>
      <c r="N87" s="7"/>
      <c r="O87" s="7"/>
      <c r="P87" s="7"/>
      <c r="Q87" s="7"/>
      <c r="R87" s="268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</row>
    <row r="88" ht="18.0" customHeight="1">
      <c r="A88" s="7"/>
      <c r="B88" s="7"/>
      <c r="C88" s="7"/>
      <c r="D88" s="7"/>
      <c r="E88" s="7"/>
      <c r="F88" s="7"/>
      <c r="G88" s="7"/>
      <c r="H88" s="267"/>
      <c r="I88" s="7"/>
      <c r="J88" s="7"/>
      <c r="K88" s="7"/>
      <c r="L88" s="7"/>
      <c r="M88" s="7"/>
      <c r="N88" s="7"/>
      <c r="O88" s="7"/>
      <c r="P88" s="7"/>
      <c r="Q88" s="7"/>
      <c r="R88" s="268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</row>
    <row r="89" ht="18.0" customHeight="1">
      <c r="A89" s="7"/>
      <c r="B89" s="7"/>
      <c r="C89" s="7"/>
      <c r="D89" s="7"/>
      <c r="E89" s="7"/>
      <c r="F89" s="7"/>
      <c r="G89" s="7"/>
      <c r="H89" s="267"/>
      <c r="I89" s="7"/>
      <c r="J89" s="7"/>
      <c r="K89" s="7"/>
      <c r="L89" s="7"/>
      <c r="M89" s="7"/>
      <c r="N89" s="7"/>
      <c r="O89" s="7"/>
      <c r="P89" s="7"/>
      <c r="Q89" s="7"/>
      <c r="R89" s="268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</row>
    <row r="90" ht="18.0" customHeight="1">
      <c r="A90" s="7"/>
      <c r="B90" s="7"/>
      <c r="C90" s="7"/>
      <c r="D90" s="7"/>
      <c r="E90" s="7"/>
      <c r="F90" s="7"/>
      <c r="G90" s="7"/>
      <c r="H90" s="267"/>
      <c r="I90" s="7"/>
      <c r="J90" s="7"/>
      <c r="K90" s="7"/>
      <c r="L90" s="7"/>
      <c r="M90" s="7"/>
      <c r="N90" s="7"/>
      <c r="O90" s="7"/>
      <c r="P90" s="7"/>
      <c r="Q90" s="7"/>
      <c r="R90" s="268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</row>
    <row r="91" ht="18.0" customHeight="1">
      <c r="A91" s="7"/>
      <c r="B91" s="7"/>
      <c r="C91" s="7"/>
      <c r="D91" s="7"/>
      <c r="E91" s="7"/>
      <c r="F91" s="7"/>
      <c r="G91" s="7"/>
      <c r="H91" s="267"/>
      <c r="I91" s="7"/>
      <c r="J91" s="7"/>
      <c r="K91" s="7"/>
      <c r="L91" s="7"/>
      <c r="M91" s="7"/>
      <c r="N91" s="7"/>
      <c r="O91" s="7"/>
      <c r="P91" s="7"/>
      <c r="Q91" s="7"/>
      <c r="R91" s="268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</row>
    <row r="92" ht="18.0" customHeight="1">
      <c r="A92" s="7"/>
      <c r="B92" s="7"/>
      <c r="C92" s="7"/>
      <c r="D92" s="7"/>
      <c r="E92" s="7"/>
      <c r="F92" s="7"/>
      <c r="G92" s="7"/>
      <c r="H92" s="267"/>
      <c r="I92" s="7"/>
      <c r="J92" s="7"/>
      <c r="K92" s="7"/>
      <c r="L92" s="7"/>
      <c r="M92" s="7"/>
      <c r="N92" s="7"/>
      <c r="O92" s="7"/>
      <c r="P92" s="7"/>
      <c r="Q92" s="7"/>
      <c r="R92" s="268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</row>
    <row r="93" ht="18.0" customHeight="1">
      <c r="A93" s="7"/>
      <c r="B93" s="7"/>
      <c r="C93" s="7"/>
      <c r="D93" s="7"/>
      <c r="E93" s="7"/>
      <c r="F93" s="7"/>
      <c r="G93" s="7"/>
      <c r="H93" s="267"/>
      <c r="I93" s="7"/>
      <c r="J93" s="7"/>
      <c r="K93" s="7"/>
      <c r="L93" s="7"/>
      <c r="M93" s="7"/>
      <c r="N93" s="7"/>
      <c r="O93" s="7"/>
      <c r="P93" s="7"/>
      <c r="Q93" s="7"/>
      <c r="R93" s="268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</row>
    <row r="94" ht="18.0" customHeight="1">
      <c r="A94" s="7"/>
      <c r="B94" s="7"/>
      <c r="C94" s="7"/>
      <c r="D94" s="7"/>
      <c r="E94" s="7"/>
      <c r="F94" s="7"/>
      <c r="G94" s="7"/>
      <c r="H94" s="267"/>
      <c r="I94" s="7"/>
      <c r="J94" s="7"/>
      <c r="K94" s="7"/>
      <c r="L94" s="7"/>
      <c r="M94" s="7"/>
      <c r="N94" s="7"/>
      <c r="O94" s="7"/>
      <c r="P94" s="7"/>
      <c r="Q94" s="7"/>
      <c r="R94" s="268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</row>
    <row r="95" ht="18.0" customHeight="1">
      <c r="A95" s="7"/>
      <c r="B95" s="7"/>
      <c r="C95" s="7"/>
      <c r="D95" s="7"/>
      <c r="E95" s="7"/>
      <c r="F95" s="7"/>
      <c r="G95" s="7"/>
      <c r="H95" s="267"/>
      <c r="I95" s="7"/>
      <c r="J95" s="7"/>
      <c r="K95" s="7"/>
      <c r="L95" s="7"/>
      <c r="M95" s="7"/>
      <c r="N95" s="7"/>
      <c r="O95" s="7"/>
      <c r="P95" s="7"/>
      <c r="Q95" s="7"/>
      <c r="R95" s="268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</row>
    <row r="96" ht="18.0" customHeight="1">
      <c r="A96" s="7"/>
      <c r="B96" s="7"/>
      <c r="C96" s="7"/>
      <c r="D96" s="7"/>
      <c r="E96" s="7"/>
      <c r="F96" s="7"/>
      <c r="G96" s="7"/>
      <c r="H96" s="267"/>
      <c r="I96" s="7"/>
      <c r="J96" s="7"/>
      <c r="K96" s="7"/>
      <c r="L96" s="7"/>
      <c r="M96" s="7"/>
      <c r="N96" s="7"/>
      <c r="O96" s="7"/>
      <c r="P96" s="7"/>
      <c r="Q96" s="7"/>
      <c r="R96" s="268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</row>
    <row r="97" ht="18.0" customHeight="1">
      <c r="A97" s="7"/>
      <c r="B97" s="7"/>
      <c r="C97" s="7"/>
      <c r="D97" s="7"/>
      <c r="E97" s="7"/>
      <c r="F97" s="7"/>
      <c r="G97" s="7"/>
      <c r="H97" s="267"/>
      <c r="I97" s="7"/>
      <c r="J97" s="7"/>
      <c r="K97" s="7"/>
      <c r="L97" s="7"/>
      <c r="M97" s="7"/>
      <c r="N97" s="7"/>
      <c r="O97" s="7"/>
      <c r="P97" s="7"/>
      <c r="Q97" s="7"/>
      <c r="R97" s="268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</row>
    <row r="98" ht="18.0" customHeight="1">
      <c r="A98" s="7"/>
      <c r="B98" s="7"/>
      <c r="C98" s="7"/>
      <c r="D98" s="7"/>
      <c r="E98" s="7"/>
      <c r="F98" s="7"/>
      <c r="G98" s="7"/>
      <c r="H98" s="267"/>
      <c r="I98" s="7"/>
      <c r="J98" s="7"/>
      <c r="K98" s="7"/>
      <c r="L98" s="7"/>
      <c r="M98" s="7"/>
      <c r="N98" s="7"/>
      <c r="O98" s="7"/>
      <c r="P98" s="7"/>
      <c r="Q98" s="7"/>
      <c r="R98" s="268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</row>
    <row r="99" ht="18.0" customHeight="1">
      <c r="A99" s="7"/>
      <c r="B99" s="7"/>
      <c r="C99" s="7"/>
      <c r="D99" s="7"/>
      <c r="E99" s="7"/>
      <c r="F99" s="7"/>
      <c r="G99" s="7"/>
      <c r="H99" s="267"/>
      <c r="I99" s="7"/>
      <c r="J99" s="7"/>
      <c r="K99" s="7"/>
      <c r="L99" s="7"/>
      <c r="M99" s="7"/>
      <c r="N99" s="7"/>
      <c r="O99" s="7"/>
      <c r="P99" s="7"/>
      <c r="Q99" s="7"/>
      <c r="R99" s="268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</row>
    <row r="100" ht="18.0" customHeight="1">
      <c r="A100" s="7"/>
      <c r="B100" s="7"/>
      <c r="C100" s="7"/>
      <c r="D100" s="7"/>
      <c r="E100" s="7"/>
      <c r="F100" s="7"/>
      <c r="G100" s="7"/>
      <c r="H100" s="267"/>
      <c r="I100" s="7"/>
      <c r="J100" s="7"/>
      <c r="K100" s="7"/>
      <c r="L100" s="7"/>
      <c r="M100" s="7"/>
      <c r="N100" s="7"/>
      <c r="O100" s="7"/>
      <c r="P100" s="7"/>
      <c r="Q100" s="7"/>
      <c r="R100" s="268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</row>
    <row r="101" ht="18.0" customHeight="1">
      <c r="A101" s="7"/>
      <c r="B101" s="7"/>
      <c r="C101" s="7"/>
      <c r="D101" s="7"/>
      <c r="E101" s="7"/>
      <c r="F101" s="7"/>
      <c r="G101" s="7"/>
      <c r="H101" s="267"/>
      <c r="I101" s="7"/>
      <c r="J101" s="7"/>
      <c r="K101" s="7"/>
      <c r="L101" s="7"/>
      <c r="M101" s="7"/>
      <c r="N101" s="7"/>
      <c r="O101" s="7"/>
      <c r="P101" s="7"/>
      <c r="Q101" s="7"/>
      <c r="R101" s="268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</row>
    <row r="102" ht="18.0" customHeight="1">
      <c r="A102" s="7"/>
      <c r="B102" s="7"/>
      <c r="C102" s="7"/>
      <c r="D102" s="7"/>
      <c r="E102" s="7"/>
      <c r="F102" s="7"/>
      <c r="G102" s="7"/>
      <c r="H102" s="267"/>
      <c r="I102" s="7"/>
      <c r="J102" s="7"/>
      <c r="K102" s="7"/>
      <c r="L102" s="7"/>
      <c r="M102" s="7"/>
      <c r="N102" s="7"/>
      <c r="O102" s="7"/>
      <c r="P102" s="7"/>
      <c r="Q102" s="7"/>
      <c r="R102" s="268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</row>
    <row r="103" ht="18.0" customHeight="1">
      <c r="A103" s="7"/>
      <c r="B103" s="7"/>
      <c r="C103" s="7"/>
      <c r="D103" s="7"/>
      <c r="E103" s="7"/>
      <c r="F103" s="7"/>
      <c r="G103" s="7"/>
      <c r="H103" s="267"/>
      <c r="I103" s="7"/>
      <c r="J103" s="7"/>
      <c r="K103" s="7"/>
      <c r="L103" s="7"/>
      <c r="M103" s="7"/>
      <c r="N103" s="7"/>
      <c r="O103" s="7"/>
      <c r="P103" s="7"/>
      <c r="Q103" s="7"/>
      <c r="R103" s="268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</row>
    <row r="104" ht="18.0" customHeight="1">
      <c r="A104" s="7"/>
      <c r="B104" s="7"/>
      <c r="C104" s="7"/>
      <c r="D104" s="7"/>
      <c r="E104" s="7"/>
      <c r="F104" s="7"/>
      <c r="G104" s="7"/>
      <c r="H104" s="267"/>
      <c r="I104" s="7"/>
      <c r="J104" s="7"/>
      <c r="K104" s="7"/>
      <c r="L104" s="7"/>
      <c r="M104" s="7"/>
      <c r="N104" s="7"/>
      <c r="O104" s="7"/>
      <c r="P104" s="7"/>
      <c r="Q104" s="7"/>
      <c r="R104" s="268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</row>
    <row r="105" ht="18.0" customHeight="1">
      <c r="A105" s="7"/>
      <c r="B105" s="7"/>
      <c r="C105" s="7"/>
      <c r="D105" s="7"/>
      <c r="E105" s="7"/>
      <c r="F105" s="7"/>
      <c r="G105" s="7"/>
      <c r="H105" s="267"/>
      <c r="I105" s="7"/>
      <c r="J105" s="7"/>
      <c r="K105" s="7"/>
      <c r="L105" s="7"/>
      <c r="M105" s="7"/>
      <c r="N105" s="7"/>
      <c r="O105" s="7"/>
      <c r="P105" s="7"/>
      <c r="Q105" s="7"/>
      <c r="R105" s="268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</row>
    <row r="106" ht="18.0" customHeight="1">
      <c r="A106" s="7"/>
      <c r="B106" s="7"/>
      <c r="C106" s="7"/>
      <c r="D106" s="7"/>
      <c r="E106" s="7"/>
      <c r="F106" s="7"/>
      <c r="G106" s="7"/>
      <c r="H106" s="267"/>
      <c r="I106" s="7"/>
      <c r="J106" s="7"/>
      <c r="K106" s="7"/>
      <c r="L106" s="7"/>
      <c r="M106" s="7"/>
      <c r="N106" s="7"/>
      <c r="O106" s="7"/>
      <c r="P106" s="7"/>
      <c r="Q106" s="7"/>
      <c r="R106" s="268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</row>
    <row r="107" ht="18.0" customHeight="1">
      <c r="A107" s="7"/>
      <c r="B107" s="7"/>
      <c r="C107" s="7"/>
      <c r="D107" s="7"/>
      <c r="E107" s="7"/>
      <c r="F107" s="7"/>
      <c r="G107" s="7"/>
      <c r="H107" s="267"/>
      <c r="I107" s="7"/>
      <c r="J107" s="7"/>
      <c r="K107" s="7"/>
      <c r="L107" s="7"/>
      <c r="M107" s="7"/>
      <c r="N107" s="7"/>
      <c r="O107" s="7"/>
      <c r="P107" s="7"/>
      <c r="Q107" s="7"/>
      <c r="R107" s="268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</row>
    <row r="108" ht="18.0" customHeight="1">
      <c r="A108" s="7"/>
      <c r="B108" s="7"/>
      <c r="C108" s="7"/>
      <c r="D108" s="7"/>
      <c r="E108" s="7"/>
      <c r="F108" s="7"/>
      <c r="G108" s="7"/>
      <c r="H108" s="267"/>
      <c r="I108" s="7"/>
      <c r="J108" s="7"/>
      <c r="K108" s="7"/>
      <c r="L108" s="7"/>
      <c r="M108" s="7"/>
      <c r="N108" s="7"/>
      <c r="O108" s="7"/>
      <c r="P108" s="7"/>
      <c r="Q108" s="7"/>
      <c r="R108" s="268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</row>
    <row r="109" ht="18.0" customHeight="1">
      <c r="A109" s="7"/>
      <c r="B109" s="7"/>
      <c r="C109" s="7"/>
      <c r="D109" s="7"/>
      <c r="E109" s="7"/>
      <c r="F109" s="7"/>
      <c r="G109" s="7"/>
      <c r="H109" s="267"/>
      <c r="I109" s="7"/>
      <c r="J109" s="7"/>
      <c r="K109" s="7"/>
      <c r="L109" s="7"/>
      <c r="M109" s="7"/>
      <c r="N109" s="7"/>
      <c r="O109" s="7"/>
      <c r="P109" s="7"/>
      <c r="Q109" s="7"/>
      <c r="R109" s="268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</row>
    <row r="110" ht="18.0" customHeight="1">
      <c r="A110" s="7"/>
      <c r="B110" s="7"/>
      <c r="C110" s="7"/>
      <c r="D110" s="7"/>
      <c r="E110" s="7"/>
      <c r="F110" s="7"/>
      <c r="G110" s="7"/>
      <c r="H110" s="267"/>
      <c r="I110" s="7"/>
      <c r="J110" s="7"/>
      <c r="K110" s="7"/>
      <c r="L110" s="7"/>
      <c r="M110" s="7"/>
      <c r="N110" s="7"/>
      <c r="O110" s="7"/>
      <c r="P110" s="7"/>
      <c r="Q110" s="7"/>
      <c r="R110" s="268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</row>
    <row r="111" ht="18.0" customHeight="1">
      <c r="A111" s="7"/>
      <c r="B111" s="7"/>
      <c r="C111" s="7"/>
      <c r="D111" s="7"/>
      <c r="E111" s="7"/>
      <c r="F111" s="7"/>
      <c r="G111" s="7"/>
      <c r="H111" s="267"/>
      <c r="I111" s="7"/>
      <c r="J111" s="7"/>
      <c r="K111" s="7"/>
      <c r="L111" s="7"/>
      <c r="M111" s="7"/>
      <c r="N111" s="7"/>
      <c r="O111" s="7"/>
      <c r="P111" s="7"/>
      <c r="Q111" s="7"/>
      <c r="R111" s="268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</row>
    <row r="112" ht="18.0" customHeight="1">
      <c r="A112" s="7"/>
      <c r="B112" s="7"/>
      <c r="C112" s="7"/>
      <c r="D112" s="7"/>
      <c r="E112" s="7"/>
      <c r="F112" s="7"/>
      <c r="G112" s="7"/>
      <c r="H112" s="267"/>
      <c r="I112" s="7"/>
      <c r="J112" s="7"/>
      <c r="K112" s="7"/>
      <c r="L112" s="7"/>
      <c r="M112" s="7"/>
      <c r="N112" s="7"/>
      <c r="O112" s="7"/>
      <c r="P112" s="7"/>
      <c r="Q112" s="7"/>
      <c r="R112" s="268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</row>
    <row r="113" ht="18.0" customHeight="1">
      <c r="A113" s="7"/>
      <c r="B113" s="7"/>
      <c r="C113" s="7"/>
      <c r="D113" s="7"/>
      <c r="E113" s="7"/>
      <c r="F113" s="7"/>
      <c r="G113" s="7"/>
      <c r="H113" s="267"/>
      <c r="I113" s="7"/>
      <c r="J113" s="7"/>
      <c r="K113" s="7"/>
      <c r="L113" s="7"/>
      <c r="M113" s="7"/>
      <c r="N113" s="7"/>
      <c r="O113" s="7"/>
      <c r="P113" s="7"/>
      <c r="Q113" s="7"/>
      <c r="R113" s="268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</row>
    <row r="114" ht="18.0" customHeight="1">
      <c r="A114" s="7"/>
      <c r="B114" s="7"/>
      <c r="C114" s="7"/>
      <c r="D114" s="7"/>
      <c r="E114" s="7"/>
      <c r="F114" s="7"/>
      <c r="G114" s="7"/>
      <c r="H114" s="267"/>
      <c r="I114" s="7"/>
      <c r="J114" s="7"/>
      <c r="K114" s="7"/>
      <c r="L114" s="7"/>
      <c r="M114" s="7"/>
      <c r="N114" s="7"/>
      <c r="O114" s="7"/>
      <c r="P114" s="7"/>
      <c r="Q114" s="7"/>
      <c r="R114" s="268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</row>
    <row r="115" ht="18.0" customHeight="1">
      <c r="A115" s="7"/>
      <c r="B115" s="7"/>
      <c r="C115" s="7"/>
      <c r="D115" s="7"/>
      <c r="E115" s="7"/>
      <c r="F115" s="7"/>
      <c r="G115" s="7"/>
      <c r="H115" s="267"/>
      <c r="I115" s="7"/>
      <c r="J115" s="7"/>
      <c r="K115" s="7"/>
      <c r="L115" s="7"/>
      <c r="M115" s="7"/>
      <c r="N115" s="7"/>
      <c r="O115" s="7"/>
      <c r="P115" s="7"/>
      <c r="Q115" s="7"/>
      <c r="R115" s="268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</row>
    <row r="116" ht="18.0" customHeight="1">
      <c r="A116" s="7"/>
      <c r="B116" s="7"/>
      <c r="C116" s="7"/>
      <c r="D116" s="7"/>
      <c r="E116" s="7"/>
      <c r="F116" s="7"/>
      <c r="G116" s="7"/>
      <c r="H116" s="267"/>
      <c r="I116" s="7"/>
      <c r="J116" s="7"/>
      <c r="K116" s="7"/>
      <c r="L116" s="7"/>
      <c r="M116" s="7"/>
      <c r="N116" s="7"/>
      <c r="O116" s="7"/>
      <c r="P116" s="7"/>
      <c r="Q116" s="7"/>
      <c r="R116" s="268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</row>
    <row r="117" ht="18.0" customHeight="1">
      <c r="A117" s="7"/>
      <c r="B117" s="7"/>
      <c r="C117" s="7"/>
      <c r="D117" s="7"/>
      <c r="E117" s="7"/>
      <c r="F117" s="7"/>
      <c r="G117" s="7"/>
      <c r="H117" s="267"/>
      <c r="I117" s="7"/>
      <c r="J117" s="7"/>
      <c r="K117" s="7"/>
      <c r="L117" s="7"/>
      <c r="M117" s="7"/>
      <c r="N117" s="7"/>
      <c r="O117" s="7"/>
      <c r="P117" s="7"/>
      <c r="Q117" s="7"/>
      <c r="R117" s="268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</row>
    <row r="118" ht="18.0" customHeight="1">
      <c r="A118" s="7"/>
      <c r="B118" s="7"/>
      <c r="C118" s="7"/>
      <c r="D118" s="7"/>
      <c r="E118" s="7"/>
      <c r="F118" s="7"/>
      <c r="G118" s="7"/>
      <c r="H118" s="267"/>
      <c r="I118" s="7"/>
      <c r="J118" s="7"/>
      <c r="K118" s="7"/>
      <c r="L118" s="7"/>
      <c r="M118" s="7"/>
      <c r="N118" s="7"/>
      <c r="O118" s="7"/>
      <c r="P118" s="7"/>
      <c r="Q118" s="7"/>
      <c r="R118" s="268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</row>
    <row r="119" ht="18.0" customHeight="1">
      <c r="A119" s="7"/>
      <c r="B119" s="7"/>
      <c r="C119" s="7"/>
      <c r="D119" s="7"/>
      <c r="E119" s="7"/>
      <c r="F119" s="7"/>
      <c r="G119" s="7"/>
      <c r="H119" s="267"/>
      <c r="I119" s="7"/>
      <c r="J119" s="7"/>
      <c r="K119" s="7"/>
      <c r="L119" s="7"/>
      <c r="M119" s="7"/>
      <c r="N119" s="7"/>
      <c r="O119" s="7"/>
      <c r="P119" s="7"/>
      <c r="Q119" s="7"/>
      <c r="R119" s="268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</row>
    <row r="120" ht="18.0" customHeight="1">
      <c r="A120" s="7"/>
      <c r="B120" s="7"/>
      <c r="C120" s="7"/>
      <c r="D120" s="7"/>
      <c r="E120" s="7"/>
      <c r="F120" s="7"/>
      <c r="G120" s="7"/>
      <c r="H120" s="267"/>
      <c r="I120" s="7"/>
      <c r="J120" s="7"/>
      <c r="K120" s="7"/>
      <c r="L120" s="7"/>
      <c r="M120" s="7"/>
      <c r="N120" s="7"/>
      <c r="O120" s="7"/>
      <c r="P120" s="7"/>
      <c r="Q120" s="7"/>
      <c r="R120" s="268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</row>
    <row r="121" ht="18.0" customHeight="1">
      <c r="A121" s="7"/>
      <c r="B121" s="7"/>
      <c r="C121" s="7"/>
      <c r="D121" s="7"/>
      <c r="E121" s="7"/>
      <c r="F121" s="7"/>
      <c r="G121" s="7"/>
      <c r="H121" s="267"/>
      <c r="I121" s="7"/>
      <c r="J121" s="7"/>
      <c r="K121" s="7"/>
      <c r="L121" s="7"/>
      <c r="M121" s="7"/>
      <c r="N121" s="7"/>
      <c r="O121" s="7"/>
      <c r="P121" s="7"/>
      <c r="Q121" s="7"/>
      <c r="R121" s="268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</row>
    <row r="122" ht="18.0" customHeight="1">
      <c r="A122" s="7"/>
      <c r="B122" s="7"/>
      <c r="C122" s="7"/>
      <c r="D122" s="7"/>
      <c r="E122" s="7"/>
      <c r="F122" s="7"/>
      <c r="G122" s="7"/>
      <c r="H122" s="267"/>
      <c r="I122" s="7"/>
      <c r="J122" s="7"/>
      <c r="K122" s="7"/>
      <c r="L122" s="7"/>
      <c r="M122" s="7"/>
      <c r="N122" s="7"/>
      <c r="O122" s="7"/>
      <c r="P122" s="7"/>
      <c r="Q122" s="7"/>
      <c r="R122" s="268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</row>
    <row r="123" ht="18.0" customHeight="1">
      <c r="A123" s="7"/>
      <c r="B123" s="7"/>
      <c r="C123" s="7"/>
      <c r="D123" s="7"/>
      <c r="E123" s="7"/>
      <c r="F123" s="7"/>
      <c r="G123" s="7"/>
      <c r="H123" s="267"/>
      <c r="I123" s="7"/>
      <c r="J123" s="7"/>
      <c r="K123" s="7"/>
      <c r="L123" s="7"/>
      <c r="M123" s="7"/>
      <c r="N123" s="7"/>
      <c r="O123" s="7"/>
      <c r="P123" s="7"/>
      <c r="Q123" s="7"/>
      <c r="R123" s="268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</row>
    <row r="124" ht="18.0" customHeight="1">
      <c r="A124" s="7"/>
      <c r="B124" s="7"/>
      <c r="C124" s="7"/>
      <c r="D124" s="7"/>
      <c r="E124" s="7"/>
      <c r="F124" s="7"/>
      <c r="G124" s="7"/>
      <c r="H124" s="267"/>
      <c r="I124" s="7"/>
      <c r="J124" s="7"/>
      <c r="K124" s="7"/>
      <c r="L124" s="7"/>
      <c r="M124" s="7"/>
      <c r="N124" s="7"/>
      <c r="O124" s="7"/>
      <c r="P124" s="7"/>
      <c r="Q124" s="7"/>
      <c r="R124" s="268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</row>
    <row r="125" ht="18.0" customHeight="1">
      <c r="A125" s="7"/>
      <c r="B125" s="7"/>
      <c r="C125" s="7"/>
      <c r="D125" s="7"/>
      <c r="E125" s="7"/>
      <c r="F125" s="7"/>
      <c r="G125" s="7"/>
      <c r="H125" s="267"/>
      <c r="I125" s="7"/>
      <c r="J125" s="7"/>
      <c r="K125" s="7"/>
      <c r="L125" s="7"/>
      <c r="M125" s="7"/>
      <c r="N125" s="7"/>
      <c r="O125" s="7"/>
      <c r="P125" s="7"/>
      <c r="Q125" s="7"/>
      <c r="R125" s="268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</row>
    <row r="126" ht="18.0" customHeight="1">
      <c r="A126" s="7"/>
      <c r="B126" s="7"/>
      <c r="C126" s="7"/>
      <c r="D126" s="7"/>
      <c r="E126" s="7"/>
      <c r="F126" s="7"/>
      <c r="G126" s="7"/>
      <c r="H126" s="267"/>
      <c r="I126" s="7"/>
      <c r="J126" s="7"/>
      <c r="K126" s="7"/>
      <c r="L126" s="7"/>
      <c r="M126" s="7"/>
      <c r="N126" s="7"/>
      <c r="O126" s="7"/>
      <c r="P126" s="7"/>
      <c r="Q126" s="7"/>
      <c r="R126" s="268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</row>
    <row r="127" ht="18.0" customHeight="1">
      <c r="A127" s="7"/>
      <c r="B127" s="7"/>
      <c r="C127" s="7"/>
      <c r="D127" s="7"/>
      <c r="E127" s="7"/>
      <c r="F127" s="7"/>
      <c r="G127" s="7"/>
      <c r="H127" s="267"/>
      <c r="I127" s="7"/>
      <c r="J127" s="7"/>
      <c r="K127" s="7"/>
      <c r="L127" s="7"/>
      <c r="M127" s="7"/>
      <c r="N127" s="7"/>
      <c r="O127" s="7"/>
      <c r="P127" s="7"/>
      <c r="Q127" s="7"/>
      <c r="R127" s="268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</row>
    <row r="128" ht="18.0" customHeight="1">
      <c r="A128" s="7"/>
      <c r="B128" s="7"/>
      <c r="C128" s="7"/>
      <c r="D128" s="7"/>
      <c r="E128" s="7"/>
      <c r="F128" s="7"/>
      <c r="G128" s="7"/>
      <c r="H128" s="267"/>
      <c r="I128" s="7"/>
      <c r="J128" s="7"/>
      <c r="K128" s="7"/>
      <c r="L128" s="7"/>
      <c r="M128" s="7"/>
      <c r="N128" s="7"/>
      <c r="O128" s="7"/>
      <c r="P128" s="7"/>
      <c r="Q128" s="7"/>
      <c r="R128" s="268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</row>
    <row r="129" ht="18.0" customHeight="1">
      <c r="A129" s="7"/>
      <c r="B129" s="7"/>
      <c r="C129" s="7"/>
      <c r="D129" s="7"/>
      <c r="E129" s="7"/>
      <c r="F129" s="7"/>
      <c r="G129" s="7"/>
      <c r="H129" s="267"/>
      <c r="I129" s="7"/>
      <c r="J129" s="7"/>
      <c r="K129" s="7"/>
      <c r="L129" s="7"/>
      <c r="M129" s="7"/>
      <c r="N129" s="7"/>
      <c r="O129" s="7"/>
      <c r="P129" s="7"/>
      <c r="Q129" s="7"/>
      <c r="R129" s="268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</row>
    <row r="130" ht="18.0" customHeight="1">
      <c r="A130" s="7"/>
      <c r="B130" s="7"/>
      <c r="C130" s="7"/>
      <c r="D130" s="7"/>
      <c r="E130" s="7"/>
      <c r="F130" s="7"/>
      <c r="G130" s="7"/>
      <c r="H130" s="267"/>
      <c r="I130" s="7"/>
      <c r="J130" s="7"/>
      <c r="K130" s="7"/>
      <c r="L130" s="7"/>
      <c r="M130" s="7"/>
      <c r="N130" s="7"/>
      <c r="O130" s="7"/>
      <c r="P130" s="7"/>
      <c r="Q130" s="7"/>
      <c r="R130" s="268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7"/>
      <c r="R131" s="268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7"/>
      <c r="R132" s="268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7"/>
      <c r="R133" s="268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7"/>
      <c r="R134" s="268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7"/>
      <c r="R135" s="268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7"/>
      <c r="R136" s="268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7"/>
      <c r="R137" s="268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7"/>
      <c r="R138" s="268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7"/>
      <c r="R139" s="268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7"/>
      <c r="R140" s="268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7"/>
      <c r="R141" s="268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7"/>
      <c r="R142" s="268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7"/>
      <c r="R143" s="268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7"/>
      <c r="R144" s="268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7"/>
      <c r="R145" s="268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7"/>
      <c r="R146" s="268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7"/>
      <c r="R147" s="268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7"/>
      <c r="R148" s="268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7"/>
      <c r="R149" s="268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7"/>
      <c r="R150" s="268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7"/>
      <c r="R151" s="268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7"/>
      <c r="R152" s="268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7"/>
      <c r="R153" s="268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7"/>
      <c r="R154" s="268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7"/>
      <c r="R155" s="268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7"/>
      <c r="R156" s="268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7"/>
      <c r="R157" s="268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7"/>
      <c r="R158" s="26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7"/>
      <c r="R159" s="26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7"/>
      <c r="R160" s="26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7"/>
      <c r="R161" s="26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7"/>
      <c r="R162" s="26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7"/>
      <c r="R163" s="26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7"/>
      <c r="R164" s="26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7"/>
      <c r="R165" s="26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7"/>
      <c r="R166" s="26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7"/>
      <c r="R167" s="26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7"/>
      <c r="R168" s="26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7"/>
      <c r="R169" s="26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7"/>
      <c r="R170" s="26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7"/>
      <c r="R171" s="26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7"/>
      <c r="R172" s="26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7"/>
      <c r="R173" s="26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7"/>
      <c r="R174" s="26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7"/>
      <c r="R175" s="26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7"/>
      <c r="R176" s="26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7"/>
      <c r="R177" s="26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7"/>
      <c r="R178" s="26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7"/>
      <c r="R179" s="26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7"/>
      <c r="R180" s="26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7"/>
      <c r="R181" s="26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7"/>
      <c r="R182" s="26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7"/>
      <c r="R183" s="26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7"/>
      <c r="R184" s="26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7"/>
      <c r="R185" s="26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7"/>
      <c r="R186" s="26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7"/>
      <c r="R187" s="26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7"/>
      <c r="R188" s="26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7"/>
      <c r="R189" s="26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7"/>
      <c r="R190" s="26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7"/>
      <c r="R191" s="26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7"/>
      <c r="R192" s="26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7"/>
      <c r="R193" s="26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7"/>
      <c r="R194" s="26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7"/>
      <c r="R195" s="26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7"/>
      <c r="R196" s="26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7"/>
      <c r="R197" s="26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7"/>
      <c r="R198" s="26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7"/>
      <c r="R199" s="26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7"/>
      <c r="R200" s="26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7"/>
      <c r="R201" s="26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7"/>
      <c r="R202" s="26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7"/>
      <c r="R203" s="26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7"/>
      <c r="R204" s="26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7"/>
      <c r="R205" s="26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7"/>
      <c r="R206" s="26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7"/>
      <c r="R207" s="26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7"/>
      <c r="R208" s="26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7"/>
      <c r="R209" s="26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7"/>
      <c r="R210" s="26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7"/>
      <c r="R211" s="26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7"/>
      <c r="R212" s="26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7"/>
      <c r="R213" s="26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7"/>
      <c r="R214" s="26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7"/>
      <c r="R215" s="26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7"/>
      <c r="R216" s="26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7"/>
      <c r="R217" s="26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7"/>
      <c r="R218" s="26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7"/>
      <c r="R219" s="26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7"/>
      <c r="R220" s="26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7"/>
      <c r="R221" s="26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7"/>
      <c r="R222" s="26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7"/>
      <c r="R223" s="26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7"/>
      <c r="R224" s="26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7"/>
      <c r="R225" s="26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7"/>
      <c r="R226" s="26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7"/>
      <c r="R227" s="26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7"/>
      <c r="R228" s="26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7"/>
      <c r="R229" s="26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7"/>
      <c r="R230" s="26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7"/>
      <c r="R231" s="26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7"/>
      <c r="R232" s="26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7"/>
      <c r="R233" s="26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7"/>
      <c r="R234" s="26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7"/>
      <c r="R235" s="26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7"/>
      <c r="R236" s="26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7"/>
      <c r="R237" s="26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7"/>
      <c r="R238" s="26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7"/>
      <c r="R239" s="26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7"/>
      <c r="R240" s="26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7"/>
      <c r="R241" s="26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7"/>
      <c r="R242" s="26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7"/>
      <c r="R243" s="26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7"/>
      <c r="R244" s="26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7"/>
      <c r="R245" s="26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7"/>
      <c r="R246" s="26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7"/>
      <c r="R247" s="26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7"/>
      <c r="R248" s="26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7"/>
      <c r="R249" s="26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7"/>
      <c r="R250" s="26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7"/>
      <c r="R251" s="26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7"/>
      <c r="R252" s="26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7"/>
      <c r="R253" s="26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7"/>
      <c r="R254" s="26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7"/>
      <c r="R255" s="26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7"/>
      <c r="R256" s="26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7"/>
      <c r="R257" s="26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7"/>
      <c r="R258" s="26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7"/>
      <c r="R259" s="26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7"/>
      <c r="R260" s="26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7"/>
      <c r="R261" s="26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7"/>
      <c r="R262" s="26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7"/>
      <c r="R263" s="26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7"/>
      <c r="R264" s="26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7"/>
      <c r="R265" s="26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7"/>
      <c r="R266" s="26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7"/>
      <c r="R267" s="26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7"/>
      <c r="R268" s="26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7"/>
      <c r="R269" s="26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7"/>
      <c r="R270" s="26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7"/>
      <c r="R271" s="26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7"/>
      <c r="R272" s="26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7"/>
      <c r="R273" s="26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7"/>
      <c r="R274" s="26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1:D11"/>
    <mergeCell ref="E12:H12"/>
    <mergeCell ref="C17:E17"/>
    <mergeCell ref="C45:E45"/>
    <mergeCell ref="C55:E55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19.71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hidden="1" min="8" max="8" width="154.86"/>
    <col customWidth="1" hidden="1" min="9" max="9" width="17.57"/>
    <col customWidth="1" min="10" max="10" width="24.0"/>
    <col customWidth="1" min="11" max="11" width="18.14"/>
    <col customWidth="1" min="12" max="12" width="19.0"/>
    <col customWidth="1" min="13" max="15" width="9.14"/>
    <col customWidth="1" min="16" max="16" width="15.29"/>
    <col customWidth="1" min="17" max="17" width="9.14"/>
    <col customWidth="1" min="18" max="18" width="10.14"/>
    <col customWidth="1" min="19" max="30" width="9.14"/>
  </cols>
  <sheetData>
    <row r="1" ht="20.25" customHeight="1">
      <c r="A1" s="316" t="s">
        <v>53</v>
      </c>
      <c r="B1" s="317"/>
      <c r="C1" s="317"/>
      <c r="D1" s="317"/>
      <c r="E1" s="317"/>
      <c r="F1" s="317"/>
      <c r="G1" s="317"/>
      <c r="H1" s="318"/>
      <c r="I1" s="317"/>
      <c r="J1" s="319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317"/>
      <c r="AA1" s="317"/>
      <c r="AB1" s="317"/>
      <c r="AC1" s="317"/>
      <c r="AD1" s="317"/>
    </row>
    <row r="2" ht="20.25" customHeight="1">
      <c r="A2" s="320"/>
      <c r="B2" s="317"/>
      <c r="C2" s="317"/>
      <c r="D2" s="317"/>
      <c r="E2" s="317"/>
      <c r="F2" s="317"/>
      <c r="G2" s="317"/>
      <c r="H2" s="318"/>
      <c r="I2" s="317"/>
      <c r="J2" s="319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</row>
    <row r="3" ht="20.25" customHeight="1">
      <c r="A3" s="316" t="s">
        <v>238</v>
      </c>
      <c r="B3" s="317"/>
      <c r="C3" s="317"/>
      <c r="D3" s="317"/>
      <c r="E3" s="317"/>
      <c r="F3" s="317"/>
      <c r="G3" s="317"/>
      <c r="H3" s="318"/>
      <c r="I3" s="317"/>
      <c r="J3" s="319"/>
      <c r="K3" s="317"/>
      <c r="L3" s="317"/>
      <c r="M3" s="317"/>
      <c r="N3" s="317"/>
      <c r="O3" s="317"/>
      <c r="P3" s="317"/>
      <c r="Q3" s="317"/>
      <c r="R3" s="317"/>
      <c r="S3" s="317"/>
      <c r="T3" s="317"/>
      <c r="U3" s="317"/>
      <c r="V3" s="317"/>
      <c r="W3" s="317"/>
      <c r="X3" s="317"/>
      <c r="Y3" s="317"/>
      <c r="Z3" s="317"/>
      <c r="AA3" s="317"/>
      <c r="AB3" s="317"/>
      <c r="AC3" s="317"/>
      <c r="AD3" s="317"/>
    </row>
    <row r="4" ht="22.5" customHeight="1">
      <c r="A4" s="320" t="s">
        <v>239</v>
      </c>
      <c r="B4" s="321" t="s">
        <v>240</v>
      </c>
      <c r="C4" s="317"/>
      <c r="D4" s="317"/>
      <c r="E4" s="317"/>
      <c r="F4" s="317"/>
      <c r="G4" s="317"/>
      <c r="H4" s="318"/>
      <c r="I4" s="317"/>
      <c r="J4" s="319"/>
      <c r="K4" s="317"/>
      <c r="L4" s="317"/>
      <c r="M4" s="317"/>
      <c r="N4" s="317"/>
      <c r="O4" s="317"/>
      <c r="P4" s="317"/>
      <c r="Q4" s="317"/>
      <c r="R4" s="317"/>
      <c r="S4" s="317"/>
      <c r="T4" s="317"/>
      <c r="U4" s="317"/>
      <c r="V4" s="317"/>
      <c r="W4" s="317"/>
      <c r="X4" s="317"/>
      <c r="Y4" s="317"/>
      <c r="Z4" s="317"/>
      <c r="AA4" s="317"/>
      <c r="AB4" s="317"/>
      <c r="AC4" s="317"/>
      <c r="AD4" s="317"/>
    </row>
    <row r="5" ht="21.0" customHeight="1">
      <c r="A5" s="320"/>
      <c r="B5" s="317"/>
      <c r="C5" s="317"/>
      <c r="D5" s="317"/>
      <c r="E5" s="317"/>
      <c r="F5" s="317"/>
      <c r="G5" s="317"/>
      <c r="H5" s="318"/>
      <c r="I5" s="317"/>
      <c r="J5" s="319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7"/>
      <c r="AC5" s="317"/>
      <c r="AD5" s="317"/>
    </row>
    <row r="6" ht="61.5" customHeight="1">
      <c r="A6" s="322" t="s">
        <v>241</v>
      </c>
      <c r="B6" s="323" t="s">
        <v>242</v>
      </c>
      <c r="C6" s="324" t="s">
        <v>243</v>
      </c>
      <c r="D6" s="324" t="s">
        <v>244</v>
      </c>
      <c r="E6" s="324" t="s">
        <v>245</v>
      </c>
      <c r="F6" s="324" t="s">
        <v>246</v>
      </c>
      <c r="G6" s="325" t="s">
        <v>247</v>
      </c>
      <c r="H6" s="326" t="s">
        <v>12</v>
      </c>
      <c r="I6" s="327"/>
      <c r="J6" s="328" t="s">
        <v>248</v>
      </c>
      <c r="K6" s="329" t="s">
        <v>249</v>
      </c>
      <c r="L6" s="317"/>
      <c r="M6" s="317"/>
      <c r="N6" s="317"/>
      <c r="O6" s="317"/>
      <c r="P6" s="317"/>
      <c r="Q6" s="317"/>
      <c r="R6" s="317"/>
      <c r="S6" s="317"/>
      <c r="T6" s="317"/>
      <c r="U6" s="317"/>
      <c r="V6" s="317"/>
      <c r="W6" s="317"/>
      <c r="X6" s="317"/>
      <c r="Y6" s="317"/>
      <c r="Z6" s="317"/>
      <c r="AA6" s="317"/>
      <c r="AB6" s="317"/>
      <c r="AC6" s="317"/>
      <c r="AD6" s="317"/>
    </row>
    <row r="7" ht="26.25" customHeight="1">
      <c r="A7" s="330">
        <f>+'31-05'!I4</f>
        <v>44347</v>
      </c>
      <c r="B7" s="331">
        <f>+'31-05'!B204</f>
        <v>35101.17942</v>
      </c>
      <c r="C7" s="331">
        <f>+'31-05'!C204</f>
        <v>30871.37738</v>
      </c>
      <c r="D7" s="331">
        <f>+'31-05'!D204</f>
        <v>0</v>
      </c>
      <c r="E7" s="331">
        <f>+'31-05'!E204</f>
        <v>386.4</v>
      </c>
      <c r="F7" s="331">
        <f>+'31-05'!H204</f>
        <v>978.8658672</v>
      </c>
      <c r="G7" s="331">
        <f>+'31-05'!I204</f>
        <v>2864.536171</v>
      </c>
      <c r="H7" s="160"/>
      <c r="I7" s="332"/>
      <c r="J7" s="319">
        <v>34110.006382809515</v>
      </c>
      <c r="K7" s="319">
        <f t="shared" ref="K7:K32" si="1">+C7+E7</f>
        <v>31257.77738</v>
      </c>
      <c r="L7" s="333">
        <f t="shared" ref="L7:L33" si="2">+K7/J7</f>
        <v>0.916381458</v>
      </c>
      <c r="M7" s="317"/>
      <c r="N7" s="333">
        <v>0.98</v>
      </c>
      <c r="O7" s="317"/>
      <c r="P7" s="333">
        <f t="shared" ref="P7:P33" si="3">+L7-$N$7</f>
        <v>-0.06361854198</v>
      </c>
      <c r="Q7" s="317"/>
      <c r="R7" s="317"/>
      <c r="S7" s="317"/>
      <c r="T7" s="317"/>
      <c r="U7" s="317"/>
      <c r="V7" s="317"/>
      <c r="W7" s="317"/>
      <c r="X7" s="317"/>
      <c r="Y7" s="317"/>
      <c r="Z7" s="317"/>
      <c r="AA7" s="317"/>
      <c r="AB7" s="317"/>
      <c r="AC7" s="317"/>
      <c r="AD7" s="317"/>
    </row>
    <row r="8" ht="26.25" customHeight="1">
      <c r="A8" s="330">
        <f>+'1-06'!I4</f>
        <v>44348</v>
      </c>
      <c r="B8" s="331">
        <f>+'1-06'!B157</f>
        <v>38490.38187</v>
      </c>
      <c r="C8" s="331">
        <f>+'1-06'!C157</f>
        <v>33457.34203</v>
      </c>
      <c r="D8" s="331">
        <f>+'1-06'!D157</f>
        <v>0</v>
      </c>
      <c r="E8" s="331">
        <f>+'1-06'!E157</f>
        <v>262.2</v>
      </c>
      <c r="F8" s="331">
        <f>+'1-06'!H157</f>
        <v>1602.669801</v>
      </c>
      <c r="G8" s="331">
        <f>+'1-06'!I157</f>
        <v>3168.170037</v>
      </c>
      <c r="H8" s="334"/>
      <c r="I8" s="332"/>
      <c r="J8" s="319">
        <v>37882.34795580951</v>
      </c>
      <c r="K8" s="319">
        <f t="shared" si="1"/>
        <v>33719.54203</v>
      </c>
      <c r="L8" s="333">
        <f t="shared" si="2"/>
        <v>0.8901122515</v>
      </c>
      <c r="M8" s="317"/>
      <c r="N8" s="317"/>
      <c r="O8" s="317"/>
      <c r="P8" s="333">
        <f t="shared" si="3"/>
        <v>-0.08988774847</v>
      </c>
      <c r="Q8" s="317"/>
      <c r="R8" s="317"/>
      <c r="S8" s="317"/>
      <c r="T8" s="317"/>
      <c r="U8" s="317"/>
      <c r="V8" s="317"/>
      <c r="W8" s="317"/>
      <c r="X8" s="317"/>
      <c r="Y8" s="317"/>
      <c r="Z8" s="317"/>
      <c r="AA8" s="317"/>
      <c r="AB8" s="317"/>
      <c r="AC8" s="317"/>
      <c r="AD8" s="317"/>
    </row>
    <row r="9" ht="26.25" customHeight="1">
      <c r="A9" s="335">
        <f>+'2-06'!I4</f>
        <v>44349</v>
      </c>
      <c r="B9" s="336">
        <f>+'2-06'!B229</f>
        <v>30280.04234</v>
      </c>
      <c r="C9" s="336">
        <f>+'2-06'!C229</f>
        <v>25828.82484</v>
      </c>
      <c r="D9" s="336">
        <f>+'2-06'!D229</f>
        <v>0</v>
      </c>
      <c r="E9" s="336">
        <f>+'2-06'!E229</f>
        <v>439.8</v>
      </c>
      <c r="F9" s="336">
        <f>+'2-06'!H229</f>
        <v>1600.438909</v>
      </c>
      <c r="G9" s="336">
        <f>+'2-06'!I229</f>
        <v>2410.978593</v>
      </c>
      <c r="H9" s="337"/>
      <c r="I9" s="338"/>
      <c r="J9" s="339">
        <v>26617.29445787618</v>
      </c>
      <c r="K9" s="319">
        <f t="shared" si="1"/>
        <v>26268.62484</v>
      </c>
      <c r="L9" s="340">
        <f t="shared" si="2"/>
        <v>0.9869006363</v>
      </c>
      <c r="M9" s="341"/>
      <c r="N9" s="341"/>
      <c r="O9" s="341"/>
      <c r="P9" s="340">
        <f t="shared" si="3"/>
        <v>0.00690063626</v>
      </c>
      <c r="Q9" s="341"/>
      <c r="R9" s="340"/>
      <c r="S9" s="341"/>
      <c r="T9" s="341"/>
      <c r="U9" s="341"/>
      <c r="V9" s="341"/>
      <c r="W9" s="341"/>
      <c r="X9" s="341"/>
      <c r="Y9" s="341"/>
      <c r="Z9" s="341"/>
      <c r="AA9" s="341"/>
      <c r="AB9" s="341"/>
      <c r="AC9" s="341"/>
      <c r="AD9" s="341"/>
    </row>
    <row r="10" ht="26.25" customHeight="1">
      <c r="A10" s="330">
        <f>+'3-06'!I4</f>
        <v>44350</v>
      </c>
      <c r="B10" s="331">
        <f>+'3-06'!B145</f>
        <v>29841.9022</v>
      </c>
      <c r="C10" s="331">
        <f>+'3-06'!C145</f>
        <v>25638.02627</v>
      </c>
      <c r="D10" s="331">
        <f>+'3-06'!D145</f>
        <v>0</v>
      </c>
      <c r="E10" s="331">
        <f>+'3-06'!E145</f>
        <v>263.4</v>
      </c>
      <c r="F10" s="331">
        <f>+'3-06'!H145</f>
        <v>1458.972407</v>
      </c>
      <c r="G10" s="331">
        <f>+'3-06'!I145</f>
        <v>2481.50352</v>
      </c>
      <c r="H10" s="154"/>
      <c r="I10" s="332"/>
      <c r="J10" s="319">
        <v>28852.244863735603</v>
      </c>
      <c r="K10" s="319">
        <f t="shared" si="1"/>
        <v>25901.42627</v>
      </c>
      <c r="L10" s="333">
        <f t="shared" si="2"/>
        <v>0.8977265509</v>
      </c>
      <c r="M10" s="317"/>
      <c r="N10" s="317"/>
      <c r="O10" s="317"/>
      <c r="P10" s="333">
        <f t="shared" si="3"/>
        <v>-0.08227344906</v>
      </c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7"/>
      <c r="AC10" s="317"/>
      <c r="AD10" s="317"/>
    </row>
    <row r="11" ht="26.25" customHeight="1">
      <c r="A11" s="330">
        <f>+'4-06'!I4</f>
        <v>44351</v>
      </c>
      <c r="B11" s="331">
        <f>+'4-06'!B168</f>
        <v>39240.68417</v>
      </c>
      <c r="C11" s="331">
        <f>+'4-06'!C168</f>
        <v>34617.7333</v>
      </c>
      <c r="D11" s="331">
        <f>+'4-06'!D168</f>
        <v>0</v>
      </c>
      <c r="E11" s="331">
        <f>+'4-06'!E168</f>
        <v>244.2</v>
      </c>
      <c r="F11" s="331">
        <f>+'4-06'!H168</f>
        <v>1036.614712</v>
      </c>
      <c r="G11" s="331">
        <f>+'4-06'!I168</f>
        <v>3342.136162</v>
      </c>
      <c r="H11" s="191"/>
      <c r="I11" s="342"/>
      <c r="J11" s="319">
        <v>37822.37418293297</v>
      </c>
      <c r="K11" s="319">
        <f t="shared" si="1"/>
        <v>34861.9333</v>
      </c>
      <c r="L11" s="333">
        <f t="shared" si="2"/>
        <v>0.9217277881</v>
      </c>
      <c r="M11" s="317"/>
      <c r="N11" s="317"/>
      <c r="O11" s="317"/>
      <c r="P11" s="333">
        <f t="shared" si="3"/>
        <v>-0.05827221185</v>
      </c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</row>
    <row r="12" ht="26.25" customHeight="1">
      <c r="A12" s="330">
        <f>+'5-06'!I4</f>
        <v>44352</v>
      </c>
      <c r="B12" s="331">
        <f>+'5-06'!B131</f>
        <v>27833.71302</v>
      </c>
      <c r="C12" s="331">
        <f>+'5-06'!C131</f>
        <v>24459.03206</v>
      </c>
      <c r="D12" s="331">
        <f>+'5-06'!D131</f>
        <v>0</v>
      </c>
      <c r="E12" s="331">
        <f>+'5-06'!E131</f>
        <v>203.4</v>
      </c>
      <c r="F12" s="331">
        <f>+'5-06'!H131</f>
        <v>719.0384146</v>
      </c>
      <c r="G12" s="331">
        <f>+'5-06'!I131</f>
        <v>2452.242544</v>
      </c>
      <c r="H12" s="191"/>
      <c r="I12" s="342"/>
      <c r="J12" s="319">
        <v>27919.979143407505</v>
      </c>
      <c r="K12" s="319">
        <f t="shared" si="1"/>
        <v>24662.43206</v>
      </c>
      <c r="L12" s="333">
        <f t="shared" si="2"/>
        <v>0.8833255904</v>
      </c>
      <c r="M12" s="317"/>
      <c r="N12" s="317"/>
      <c r="O12" s="317"/>
      <c r="P12" s="333">
        <f t="shared" si="3"/>
        <v>-0.09667440959</v>
      </c>
      <c r="Q12" s="317"/>
      <c r="R12" s="317"/>
      <c r="S12" s="317"/>
      <c r="T12" s="317"/>
      <c r="U12" s="317"/>
      <c r="V12" s="317"/>
      <c r="W12" s="317"/>
      <c r="X12" s="317"/>
      <c r="Y12" s="317"/>
      <c r="Z12" s="317"/>
      <c r="AA12" s="317"/>
      <c r="AB12" s="317"/>
      <c r="AC12" s="317"/>
      <c r="AD12" s="317"/>
    </row>
    <row r="13" ht="26.25" customHeight="1">
      <c r="A13" s="330">
        <f>+'7-06'!I4</f>
        <v>44354</v>
      </c>
      <c r="B13" s="331">
        <f>+'7-06'!B78</f>
        <v>18590.1386</v>
      </c>
      <c r="C13" s="331">
        <f>+'7-06'!C78</f>
        <v>16757.86863</v>
      </c>
      <c r="D13" s="331">
        <f>+'7-06'!D78</f>
        <v>0</v>
      </c>
      <c r="E13" s="331">
        <f>+'7-06'!E78</f>
        <v>162.6</v>
      </c>
      <c r="F13" s="331">
        <f>+'7-06'!H78</f>
        <v>274.2402776</v>
      </c>
      <c r="G13" s="331">
        <f>+'7-06'!I78</f>
        <v>1395.429697</v>
      </c>
      <c r="H13" s="331" t="str">
        <f t="shared" ref="H13:I13" si="4">+#REF!</f>
        <v>#REF!</v>
      </c>
      <c r="I13" s="331" t="str">
        <f t="shared" si="4"/>
        <v>#REF!</v>
      </c>
      <c r="J13" s="319">
        <v>18123.955280540835</v>
      </c>
      <c r="K13" s="319">
        <f t="shared" si="1"/>
        <v>16920.46863</v>
      </c>
      <c r="L13" s="333">
        <f t="shared" si="2"/>
        <v>0.9335969089</v>
      </c>
      <c r="M13" s="317"/>
      <c r="N13" s="317"/>
      <c r="O13" s="317"/>
      <c r="P13" s="333">
        <f t="shared" si="3"/>
        <v>-0.04640309113</v>
      </c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</row>
    <row r="14" ht="26.25" customHeight="1">
      <c r="A14" s="330">
        <f>+'08-6'!I4</f>
        <v>44355</v>
      </c>
      <c r="B14" s="331">
        <f>+'08-6'!B158</f>
        <v>26302.63816</v>
      </c>
      <c r="C14" s="331">
        <f>+'08-6'!C158</f>
        <v>22499.51073</v>
      </c>
      <c r="D14" s="331">
        <f>+'08-6'!D158</f>
        <v>0</v>
      </c>
      <c r="E14" s="331">
        <f>+'08-6'!E158</f>
        <v>328.8</v>
      </c>
      <c r="F14" s="331">
        <f>+'08-6'!H158</f>
        <v>985.5691144</v>
      </c>
      <c r="G14" s="331">
        <f>+'08-6'!I158</f>
        <v>2488.758319</v>
      </c>
      <c r="H14" s="343"/>
      <c r="I14" s="342"/>
      <c r="J14" s="319">
        <v>25373.046552507494</v>
      </c>
      <c r="K14" s="319">
        <f t="shared" si="1"/>
        <v>22828.31073</v>
      </c>
      <c r="L14" s="333">
        <f t="shared" si="2"/>
        <v>0.8997071235</v>
      </c>
      <c r="M14" s="317"/>
      <c r="N14" s="317"/>
      <c r="O14" s="317"/>
      <c r="P14" s="333">
        <f t="shared" si="3"/>
        <v>-0.08029287651</v>
      </c>
      <c r="Q14" s="317"/>
      <c r="R14" s="317"/>
      <c r="S14" s="317"/>
      <c r="T14" s="317"/>
      <c r="U14" s="317"/>
      <c r="V14" s="317"/>
      <c r="W14" s="317"/>
      <c r="X14" s="317"/>
      <c r="Y14" s="317"/>
      <c r="Z14" s="317"/>
      <c r="AA14" s="317"/>
      <c r="AB14" s="317"/>
      <c r="AC14" s="317"/>
      <c r="AD14" s="317"/>
    </row>
    <row r="15" ht="26.25" customHeight="1">
      <c r="A15" s="330">
        <f>+'09-06'!I4</f>
        <v>44356</v>
      </c>
      <c r="B15" s="331">
        <f>+'09-06'!B108</f>
        <v>26364.55411</v>
      </c>
      <c r="C15" s="331">
        <f>+'09-06'!C108</f>
        <v>23918.85103</v>
      </c>
      <c r="D15" s="331">
        <f>+'09-06'!D108</f>
        <v>0</v>
      </c>
      <c r="E15" s="331">
        <f>+'09-06'!E108</f>
        <v>152.4</v>
      </c>
      <c r="F15" s="331">
        <f>+'09-06'!H108</f>
        <v>837.3042642</v>
      </c>
      <c r="G15" s="331">
        <f>+'09-06'!I108</f>
        <v>1455.998822</v>
      </c>
      <c r="H15" s="343"/>
      <c r="I15" s="342"/>
      <c r="J15" s="319">
        <v>27193.643284185695</v>
      </c>
      <c r="K15" s="319">
        <f t="shared" si="1"/>
        <v>24071.25103</v>
      </c>
      <c r="L15" s="333">
        <f t="shared" si="2"/>
        <v>0.8851793331</v>
      </c>
      <c r="M15" s="317"/>
      <c r="N15" s="317"/>
      <c r="O15" s="317"/>
      <c r="P15" s="333">
        <f t="shared" si="3"/>
        <v>-0.09482066694</v>
      </c>
      <c r="Q15" s="317"/>
      <c r="R15" s="317"/>
      <c r="S15" s="317"/>
      <c r="T15" s="317"/>
      <c r="U15" s="317"/>
      <c r="V15" s="317"/>
      <c r="W15" s="317"/>
      <c r="X15" s="317"/>
      <c r="Y15" s="317"/>
      <c r="Z15" s="317"/>
      <c r="AA15" s="317"/>
      <c r="AB15" s="317"/>
      <c r="AC15" s="317"/>
      <c r="AD15" s="317"/>
    </row>
    <row r="16" ht="26.25" customHeight="1">
      <c r="A16" s="330">
        <f>+'10-06'!I4</f>
        <v>44357</v>
      </c>
      <c r="B16" s="331">
        <f>+'10-06'!B134</f>
        <v>33020.12586</v>
      </c>
      <c r="C16" s="331">
        <f>+'10-06'!C134</f>
        <v>28880.98186</v>
      </c>
      <c r="D16" s="331">
        <f>+'10-06'!D134</f>
        <v>0</v>
      </c>
      <c r="E16" s="331">
        <f>+'10-06'!E134</f>
        <v>238.2</v>
      </c>
      <c r="F16" s="331">
        <f>+'10-06'!H134</f>
        <v>1208.084291</v>
      </c>
      <c r="G16" s="331">
        <f>+'10-06'!I134</f>
        <v>2692.859711</v>
      </c>
      <c r="H16" s="343"/>
      <c r="I16" s="342"/>
      <c r="J16" s="319">
        <v>31315.49994569999</v>
      </c>
      <c r="K16" s="319">
        <f t="shared" si="1"/>
        <v>29119.18186</v>
      </c>
      <c r="L16" s="333">
        <f t="shared" si="2"/>
        <v>0.9298648244</v>
      </c>
      <c r="M16" s="317"/>
      <c r="N16" s="317"/>
      <c r="O16" s="317"/>
      <c r="P16" s="333">
        <f t="shared" si="3"/>
        <v>-0.05013517556</v>
      </c>
      <c r="Q16" s="317"/>
      <c r="R16" s="317"/>
      <c r="S16" s="317"/>
      <c r="T16" s="317"/>
      <c r="U16" s="317"/>
      <c r="V16" s="317"/>
      <c r="W16" s="317"/>
      <c r="X16" s="317"/>
      <c r="Y16" s="317"/>
      <c r="Z16" s="317"/>
      <c r="AA16" s="317"/>
      <c r="AB16" s="317"/>
      <c r="AC16" s="317"/>
      <c r="AD16" s="317"/>
    </row>
    <row r="17" ht="26.25" customHeight="1">
      <c r="A17" s="330">
        <f>+'11-06'!I4</f>
        <v>44358</v>
      </c>
      <c r="B17" s="331">
        <f>+'11-06'!B97</f>
        <v>14859.99189</v>
      </c>
      <c r="C17" s="331">
        <f>+'11-06'!C97</f>
        <v>12707.00091</v>
      </c>
      <c r="D17" s="331">
        <f>+'11-06'!D97</f>
        <v>0</v>
      </c>
      <c r="E17" s="331">
        <f>+'11-06'!E97</f>
        <v>138.6</v>
      </c>
      <c r="F17" s="331">
        <f>+'11-06'!H97</f>
        <v>786.2242803</v>
      </c>
      <c r="G17" s="331">
        <f>+'11-06'!I97</f>
        <v>1228.166692</v>
      </c>
      <c r="H17" s="343"/>
      <c r="I17" s="342"/>
      <c r="J17" s="319">
        <v>14046.461456</v>
      </c>
      <c r="K17" s="319">
        <f t="shared" si="1"/>
        <v>12845.60091</v>
      </c>
      <c r="L17" s="333">
        <f t="shared" si="2"/>
        <v>0.9145079672</v>
      </c>
      <c r="M17" s="317"/>
      <c r="N17" s="317"/>
      <c r="O17" s="317"/>
      <c r="P17" s="333">
        <f t="shared" si="3"/>
        <v>-0.06549203278</v>
      </c>
      <c r="Q17" s="317"/>
      <c r="R17" s="317"/>
      <c r="S17" s="317"/>
      <c r="T17" s="317"/>
      <c r="U17" s="317"/>
      <c r="V17" s="317"/>
      <c r="W17" s="317"/>
      <c r="X17" s="317"/>
      <c r="Y17" s="317"/>
      <c r="Z17" s="317"/>
      <c r="AA17" s="317"/>
      <c r="AB17" s="317"/>
      <c r="AC17" s="317"/>
      <c r="AD17" s="317"/>
    </row>
    <row r="18" ht="26.25" customHeight="1">
      <c r="A18" s="330">
        <f>+'12-06'!I4</f>
        <v>44359</v>
      </c>
      <c r="B18" s="331">
        <f>+'12-06'!B125</f>
        <v>18324.71731</v>
      </c>
      <c r="C18" s="331">
        <f>+'12-06'!C125</f>
        <v>15995.98773</v>
      </c>
      <c r="D18" s="331">
        <f>+'12-06'!D125</f>
        <v>0</v>
      </c>
      <c r="E18" s="331">
        <f>+'12-06'!E125</f>
        <v>203.4</v>
      </c>
      <c r="F18" s="331">
        <f>+'12-06'!H125</f>
        <v>558.7497036</v>
      </c>
      <c r="G18" s="331">
        <f>+'12-06'!I125</f>
        <v>1566.57988</v>
      </c>
      <c r="H18" s="343"/>
      <c r="I18" s="342"/>
      <c r="J18" s="319">
        <v>17505.05114573336</v>
      </c>
      <c r="K18" s="319">
        <f t="shared" si="1"/>
        <v>16199.38773</v>
      </c>
      <c r="L18" s="333">
        <f t="shared" si="2"/>
        <v>0.9254121908</v>
      </c>
      <c r="M18" s="317"/>
      <c r="N18" s="317"/>
      <c r="O18" s="317"/>
      <c r="P18" s="333">
        <f t="shared" si="3"/>
        <v>-0.05458780921</v>
      </c>
      <c r="Q18" s="317"/>
      <c r="R18" s="317"/>
      <c r="S18" s="317"/>
      <c r="T18" s="317"/>
      <c r="U18" s="317"/>
      <c r="V18" s="317"/>
      <c r="W18" s="317"/>
      <c r="X18" s="317"/>
      <c r="Y18" s="317"/>
      <c r="Z18" s="317"/>
      <c r="AA18" s="317"/>
      <c r="AB18" s="317"/>
      <c r="AC18" s="317"/>
      <c r="AD18" s="317"/>
    </row>
    <row r="19" ht="26.25" customHeight="1">
      <c r="A19" s="335">
        <f>+'14-06'!I4</f>
        <v>44361</v>
      </c>
      <c r="B19" s="336">
        <f>+'14-06'!B132</f>
        <v>23482.246</v>
      </c>
      <c r="C19" s="336">
        <f>+'14-06'!C132</f>
        <v>22008.36222</v>
      </c>
      <c r="D19" s="336">
        <f>+'14-06'!D132</f>
        <v>0</v>
      </c>
      <c r="E19" s="336">
        <f>+'14-06'!E132</f>
        <v>88.8</v>
      </c>
      <c r="F19" s="336">
        <f>+'14-06'!H132</f>
        <v>566.4113804</v>
      </c>
      <c r="G19" s="336">
        <f>+'14-06'!I132</f>
        <v>818.6724032</v>
      </c>
      <c r="H19" s="344"/>
      <c r="I19" s="338"/>
      <c r="J19" s="339">
        <v>22504.444600000003</v>
      </c>
      <c r="K19" s="319">
        <f t="shared" si="1"/>
        <v>22097.16222</v>
      </c>
      <c r="L19" s="340">
        <f t="shared" si="2"/>
        <v>0.9819021357</v>
      </c>
      <c r="M19" s="341"/>
      <c r="N19" s="341"/>
      <c r="O19" s="341"/>
      <c r="P19" s="340">
        <f t="shared" si="3"/>
        <v>0.001902135741</v>
      </c>
      <c r="Q19" s="341"/>
      <c r="R19" s="341"/>
      <c r="S19" s="341"/>
      <c r="T19" s="341"/>
      <c r="U19" s="341"/>
      <c r="V19" s="341"/>
      <c r="W19" s="341"/>
      <c r="X19" s="341"/>
      <c r="Y19" s="341"/>
      <c r="Z19" s="341"/>
      <c r="AA19" s="341"/>
      <c r="AB19" s="341"/>
      <c r="AC19" s="341"/>
      <c r="AD19" s="341"/>
    </row>
    <row r="20" ht="26.25" customHeight="1">
      <c r="A20" s="335">
        <f>+'15-06'!I4</f>
        <v>44362</v>
      </c>
      <c r="B20" s="336">
        <f>+'15-06'!B136</f>
        <v>16499.764</v>
      </c>
      <c r="C20" s="336">
        <f>+'15-06'!C136</f>
        <v>14104.97092</v>
      </c>
      <c r="D20" s="336">
        <f>+'15-06'!D136</f>
        <v>551.43441</v>
      </c>
      <c r="E20" s="336">
        <f>+'15-06'!E136</f>
        <v>175.2</v>
      </c>
      <c r="F20" s="336">
        <f>+'15-06'!H136</f>
        <v>809.7384969</v>
      </c>
      <c r="G20" s="336">
        <f>+'15-06'!I136</f>
        <v>858.4201691</v>
      </c>
      <c r="H20" s="344"/>
      <c r="I20" s="338"/>
      <c r="J20" s="339">
        <v>15650.029389333333</v>
      </c>
      <c r="K20" s="319">
        <f t="shared" si="1"/>
        <v>14280.17092</v>
      </c>
      <c r="L20" s="340">
        <f t="shared" si="2"/>
        <v>0.912469272</v>
      </c>
      <c r="M20" s="341"/>
      <c r="N20" s="341"/>
      <c r="O20" s="341"/>
      <c r="P20" s="340">
        <f t="shared" si="3"/>
        <v>-0.06753072798</v>
      </c>
      <c r="Q20" s="341"/>
      <c r="R20" s="341"/>
      <c r="S20" s="341"/>
      <c r="T20" s="341"/>
      <c r="U20" s="341"/>
      <c r="V20" s="341"/>
      <c r="W20" s="341"/>
      <c r="X20" s="341"/>
      <c r="Y20" s="341"/>
      <c r="Z20" s="341"/>
      <c r="AA20" s="341"/>
      <c r="AB20" s="341"/>
      <c r="AC20" s="341"/>
      <c r="AD20" s="341"/>
    </row>
    <row r="21" ht="26.25" customHeight="1">
      <c r="A21" s="330">
        <f>+'16-06'!I4</f>
        <v>44363</v>
      </c>
      <c r="B21" s="345">
        <f>+'16-06'!B143</f>
        <v>31925.2777</v>
      </c>
      <c r="C21" s="345">
        <f>+'16-06'!C143</f>
        <v>28252.88352</v>
      </c>
      <c r="D21" s="345">
        <f>+'16-06'!D143</f>
        <v>0</v>
      </c>
      <c r="E21" s="345">
        <f>+'16-06'!E143</f>
        <v>223.2</v>
      </c>
      <c r="F21" s="345">
        <f>+'16-06'!H143</f>
        <v>1256.161311</v>
      </c>
      <c r="G21" s="345">
        <f>+'16-06'!I143</f>
        <v>2193.032869</v>
      </c>
      <c r="H21" s="346"/>
      <c r="I21" s="342"/>
      <c r="J21" s="319">
        <v>30329.792423333332</v>
      </c>
      <c r="K21" s="319">
        <f t="shared" si="1"/>
        <v>28476.08352</v>
      </c>
      <c r="L21" s="333">
        <f t="shared" si="2"/>
        <v>0.9388815829</v>
      </c>
      <c r="M21" s="317"/>
      <c r="N21" s="317"/>
      <c r="O21" s="317"/>
      <c r="P21" s="333">
        <f t="shared" si="3"/>
        <v>-0.04111841709</v>
      </c>
      <c r="Q21" s="317"/>
      <c r="R21" s="317"/>
      <c r="S21" s="317"/>
      <c r="T21" s="317"/>
      <c r="U21" s="317"/>
      <c r="V21" s="317"/>
      <c r="W21" s="317"/>
      <c r="X21" s="317"/>
      <c r="Y21" s="317"/>
      <c r="Z21" s="317"/>
      <c r="AA21" s="317"/>
      <c r="AB21" s="317"/>
      <c r="AC21" s="317"/>
      <c r="AD21" s="317"/>
    </row>
    <row r="22" ht="26.25" customHeight="1">
      <c r="A22" s="330">
        <f>+'17-06'!I4</f>
        <v>44364</v>
      </c>
      <c r="B22" s="345">
        <f>+'17-06'!B147</f>
        <v>37706.20397</v>
      </c>
      <c r="C22" s="345">
        <f>+'17-06'!C147</f>
        <v>33490.41397</v>
      </c>
      <c r="D22" s="345">
        <f>+'17-06'!D147</f>
        <v>781.470781</v>
      </c>
      <c r="E22" s="345">
        <f>+'17-06'!E147</f>
        <v>342.6</v>
      </c>
      <c r="F22" s="345">
        <f>+'17-06'!H147</f>
        <v>1539.788898</v>
      </c>
      <c r="G22" s="345">
        <f>+'17-06'!I147</f>
        <v>1551.930324</v>
      </c>
      <c r="H22" s="346"/>
      <c r="I22" s="342"/>
      <c r="J22" s="319">
        <v>37662.303346</v>
      </c>
      <c r="K22" s="319">
        <f t="shared" si="1"/>
        <v>33833.01397</v>
      </c>
      <c r="L22" s="333">
        <f t="shared" si="2"/>
        <v>0.8983256722</v>
      </c>
      <c r="M22" s="317"/>
      <c r="N22" s="317"/>
      <c r="O22" s="317"/>
      <c r="P22" s="333">
        <f t="shared" si="3"/>
        <v>-0.08167432778</v>
      </c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</row>
    <row r="23" ht="26.25" customHeight="1">
      <c r="A23" s="335">
        <f>+'18-06'!I4</f>
        <v>44365</v>
      </c>
      <c r="B23" s="347">
        <f>+'18-06'!B184</f>
        <v>42274.116</v>
      </c>
      <c r="C23" s="347">
        <f>+'18-06'!C184</f>
        <v>36351.48707</v>
      </c>
      <c r="D23" s="347">
        <f>+'18-06'!D184</f>
        <v>0</v>
      </c>
      <c r="E23" s="347">
        <f>+'18-06'!E184</f>
        <v>357</v>
      </c>
      <c r="F23" s="347">
        <f>+'18-06'!H184</f>
        <v>1695.6464</v>
      </c>
      <c r="G23" s="347">
        <f>+'18-06'!I184</f>
        <v>3869.982534</v>
      </c>
      <c r="H23" s="344"/>
      <c r="I23" s="338"/>
      <c r="J23" s="339">
        <v>38139.769307888215</v>
      </c>
      <c r="K23" s="319">
        <f t="shared" si="1"/>
        <v>36708.48707</v>
      </c>
      <c r="L23" s="340">
        <f t="shared" si="2"/>
        <v>0.9624727085</v>
      </c>
      <c r="M23" s="341"/>
      <c r="N23" s="341"/>
      <c r="O23" s="341"/>
      <c r="P23" s="340">
        <f t="shared" si="3"/>
        <v>-0.01752729154</v>
      </c>
      <c r="Q23" s="341"/>
      <c r="R23" s="341"/>
      <c r="S23" s="341"/>
      <c r="T23" s="341"/>
      <c r="U23" s="341"/>
      <c r="V23" s="341"/>
      <c r="W23" s="341"/>
      <c r="X23" s="341"/>
      <c r="Y23" s="341"/>
      <c r="Z23" s="341"/>
      <c r="AA23" s="341"/>
      <c r="AB23" s="341"/>
      <c r="AC23" s="341"/>
      <c r="AD23" s="341"/>
    </row>
    <row r="24" ht="26.25" customHeight="1">
      <c r="A24" s="330">
        <f>+'19-06'!I4</f>
        <v>44366</v>
      </c>
      <c r="B24" s="345">
        <f>+'19-06'!B120</f>
        <v>22591.0677</v>
      </c>
      <c r="C24" s="345">
        <f>+'19-06'!C120</f>
        <v>6390.470613</v>
      </c>
      <c r="D24" s="345">
        <f>+'19-06'!D120</f>
        <v>0</v>
      </c>
      <c r="E24" s="345">
        <f>+'19-06'!E120</f>
        <v>234</v>
      </c>
      <c r="F24" s="345">
        <f>+'19-06'!H120</f>
        <v>697.749892</v>
      </c>
      <c r="G24" s="345">
        <f>+'19-06'!I120</f>
        <v>15268.8472</v>
      </c>
      <c r="H24" s="191"/>
      <c r="I24" s="342"/>
      <c r="J24" s="319">
        <v>21582.032788401666</v>
      </c>
      <c r="K24" s="319">
        <f t="shared" si="1"/>
        <v>6624.470613</v>
      </c>
      <c r="L24" s="333">
        <f t="shared" si="2"/>
        <v>0.3069437748</v>
      </c>
      <c r="M24" s="317"/>
      <c r="N24" s="317"/>
      <c r="O24" s="317"/>
      <c r="P24" s="333">
        <f t="shared" si="3"/>
        <v>-0.6730562252</v>
      </c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</row>
    <row r="25" ht="26.25" customHeight="1">
      <c r="A25" s="330">
        <f>+'21-06'!I4</f>
        <v>44368</v>
      </c>
      <c r="B25" s="345">
        <f>+'21-06'!B150</f>
        <v>30427.09305</v>
      </c>
      <c r="C25" s="345">
        <f>+'21-06'!C150</f>
        <v>27468.27035</v>
      </c>
      <c r="D25" s="345">
        <f>+'21-06'!D150</f>
        <v>0</v>
      </c>
      <c r="E25" s="345">
        <f>+'21-06'!E150</f>
        <v>444</v>
      </c>
      <c r="F25" s="345">
        <f>+'21-06'!H150</f>
        <v>568.828196</v>
      </c>
      <c r="G25" s="345">
        <f>+'21-06'!I150</f>
        <v>1945.994504</v>
      </c>
      <c r="H25" s="191"/>
      <c r="I25" s="342"/>
      <c r="J25" s="319">
        <v>29321.935445072468</v>
      </c>
      <c r="K25" s="319">
        <f t="shared" si="1"/>
        <v>27912.27035</v>
      </c>
      <c r="L25" s="333">
        <f t="shared" si="2"/>
        <v>0.9519245551</v>
      </c>
      <c r="M25" s="317"/>
      <c r="N25" s="317"/>
      <c r="O25" s="317"/>
      <c r="P25" s="333">
        <f t="shared" si="3"/>
        <v>-0.02807544489</v>
      </c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</row>
    <row r="26" ht="26.25" customHeight="1">
      <c r="A26" s="330">
        <f>+'22-06'!I4</f>
        <v>44369</v>
      </c>
      <c r="B26" s="345">
        <f>+'22-06'!B134</f>
        <v>38694.12</v>
      </c>
      <c r="C26" s="345">
        <f>+'22-06'!C134</f>
        <v>35214.0553</v>
      </c>
      <c r="D26" s="345">
        <f>+'22-06'!D134</f>
        <v>0</v>
      </c>
      <c r="E26" s="345">
        <f>+'22-06'!E134</f>
        <v>223.8</v>
      </c>
      <c r="F26" s="345">
        <f>+'22-06'!H134</f>
        <v>831.647566</v>
      </c>
      <c r="G26" s="345">
        <f>+'22-06'!I134</f>
        <v>2424.617131</v>
      </c>
      <c r="H26" s="191"/>
      <c r="I26" s="342"/>
      <c r="J26" s="319">
        <v>36982.02235333333</v>
      </c>
      <c r="K26" s="319">
        <f t="shared" si="1"/>
        <v>35437.8553</v>
      </c>
      <c r="L26" s="333">
        <f t="shared" si="2"/>
        <v>0.9582454676</v>
      </c>
      <c r="M26" s="317"/>
      <c r="N26" s="317"/>
      <c r="O26" s="317"/>
      <c r="P26" s="333">
        <f t="shared" si="3"/>
        <v>-0.0217545324</v>
      </c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</row>
    <row r="27" ht="26.25" customHeight="1">
      <c r="A27" s="330">
        <f>+'23-06 '!I4</f>
        <v>44370</v>
      </c>
      <c r="B27" s="345">
        <f>+'23-06 '!B96</f>
        <v>34623.82602</v>
      </c>
      <c r="C27" s="345">
        <f>+'23-06 '!C96</f>
        <v>31836.99565</v>
      </c>
      <c r="D27" s="345">
        <f>+'23-06 '!D96</f>
        <v>0</v>
      </c>
      <c r="E27" s="345">
        <f>+'23-06 '!E96</f>
        <v>218.4</v>
      </c>
      <c r="F27" s="345">
        <f>+'23-06 '!H96</f>
        <v>576.0543282</v>
      </c>
      <c r="G27" s="345">
        <f>+'23-06 '!I96</f>
        <v>1992.376037</v>
      </c>
      <c r="H27" s="191"/>
      <c r="I27" s="342"/>
      <c r="J27" s="319">
        <v>33120.36735000001</v>
      </c>
      <c r="K27" s="319">
        <f t="shared" si="1"/>
        <v>32055.39565</v>
      </c>
      <c r="L27" s="333">
        <f t="shared" si="2"/>
        <v>0.9678454141</v>
      </c>
      <c r="M27" s="317"/>
      <c r="N27" s="317"/>
      <c r="O27" s="317"/>
      <c r="P27" s="333">
        <f t="shared" si="3"/>
        <v>-0.01215458589</v>
      </c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317"/>
      <c r="AC27" s="317"/>
      <c r="AD27" s="317"/>
    </row>
    <row r="28" ht="26.25" customHeight="1">
      <c r="A28" s="330" t="str">
        <f>+'24-06'!I4</f>
        <v>24/06/2021</v>
      </c>
      <c r="B28" s="345">
        <f>+'24-06'!B124</f>
        <v>44741.03968</v>
      </c>
      <c r="C28" s="345">
        <f>+'24-06'!C124</f>
        <v>40035.448</v>
      </c>
      <c r="D28" s="345">
        <f>+'24-06'!D124</f>
        <v>0</v>
      </c>
      <c r="E28" s="345">
        <f>+'24-06'!E124</f>
        <v>205.8</v>
      </c>
      <c r="F28" s="345">
        <f>+'24-06'!H124</f>
        <v>925.5324121</v>
      </c>
      <c r="G28" s="345">
        <f>+'24-06'!I124</f>
        <v>3574.25927</v>
      </c>
      <c r="H28" s="348"/>
      <c r="I28" s="342"/>
      <c r="J28" s="319">
        <v>43445.79589666669</v>
      </c>
      <c r="K28" s="319">
        <f t="shared" si="1"/>
        <v>40241.248</v>
      </c>
      <c r="L28" s="333">
        <f t="shared" si="2"/>
        <v>0.9262403224</v>
      </c>
      <c r="M28" s="317"/>
      <c r="N28" s="317"/>
      <c r="O28" s="317"/>
      <c r="P28" s="333">
        <f t="shared" si="3"/>
        <v>-0.0537596776</v>
      </c>
      <c r="Q28" s="317"/>
      <c r="R28" s="317"/>
      <c r="S28" s="317"/>
      <c r="T28" s="317"/>
      <c r="U28" s="317"/>
      <c r="V28" s="317"/>
      <c r="W28" s="317"/>
      <c r="X28" s="317"/>
      <c r="Y28" s="317"/>
      <c r="Z28" s="317"/>
      <c r="AA28" s="317"/>
      <c r="AB28" s="317"/>
      <c r="AC28" s="317"/>
      <c r="AD28" s="317"/>
    </row>
    <row r="29" ht="26.25" customHeight="1">
      <c r="A29" s="330">
        <f>+'25-06'!I4</f>
        <v>44372</v>
      </c>
      <c r="B29" s="345">
        <f>+'25-06'!B102</f>
        <v>34273.486</v>
      </c>
      <c r="C29" s="345">
        <f>+'25-06'!C102</f>
        <v>30120.62113</v>
      </c>
      <c r="D29" s="345">
        <f>+'25-06'!D102</f>
        <v>0</v>
      </c>
      <c r="E29" s="345">
        <f>+'25-06'!E102</f>
        <v>120.6</v>
      </c>
      <c r="F29" s="345">
        <f>+'25-06'!H102</f>
        <v>608.9615812</v>
      </c>
      <c r="G29" s="345">
        <f>+'25-06'!I102</f>
        <v>3423.303287</v>
      </c>
      <c r="H29" s="191"/>
      <c r="I29" s="342"/>
      <c r="J29" s="319">
        <v>32777.319299999996</v>
      </c>
      <c r="K29" s="319">
        <f t="shared" si="1"/>
        <v>30241.22113</v>
      </c>
      <c r="L29" s="333">
        <f t="shared" si="2"/>
        <v>0.9226264313</v>
      </c>
      <c r="M29" s="317"/>
      <c r="N29" s="317"/>
      <c r="O29" s="317"/>
      <c r="P29" s="333">
        <f t="shared" si="3"/>
        <v>-0.05737356874</v>
      </c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7"/>
      <c r="AC29" s="317"/>
      <c r="AD29" s="317"/>
    </row>
    <row r="30" ht="26.25" customHeight="1">
      <c r="A30" s="330">
        <f>+'26-06'!I4</f>
        <v>44373</v>
      </c>
      <c r="B30" s="345">
        <f>+'26-06'!B120</f>
        <v>37386.8361</v>
      </c>
      <c r="C30" s="345">
        <f>+'26-06'!C120</f>
        <v>33137.66063</v>
      </c>
      <c r="D30" s="345">
        <f>+'26-06'!D120</f>
        <v>0</v>
      </c>
      <c r="E30" s="345">
        <f>+'26-06'!E120</f>
        <v>251.4</v>
      </c>
      <c r="F30" s="345">
        <f>+'26-06'!H120</f>
        <v>616.5467821</v>
      </c>
      <c r="G30" s="345">
        <f>+'26-06'!I120</f>
        <v>3381.228687</v>
      </c>
      <c r="H30" s="191"/>
      <c r="I30" s="342"/>
      <c r="J30" s="319">
        <v>37439.116816666676</v>
      </c>
      <c r="K30" s="319">
        <f t="shared" si="1"/>
        <v>33389.06063</v>
      </c>
      <c r="L30" s="333">
        <f t="shared" si="2"/>
        <v>0.8918228706</v>
      </c>
      <c r="M30" s="317"/>
      <c r="N30" s="317"/>
      <c r="O30" s="317"/>
      <c r="P30" s="333">
        <f t="shared" si="3"/>
        <v>-0.08817712944</v>
      </c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7"/>
      <c r="AC30" s="317"/>
      <c r="AD30" s="317"/>
    </row>
    <row r="31" ht="26.25" customHeight="1">
      <c r="A31" s="330">
        <f>+'28-06'!I4</f>
        <v>44375</v>
      </c>
      <c r="B31" s="345">
        <f>+'28-06'!B45</f>
        <v>8552.19</v>
      </c>
      <c r="C31" s="345">
        <f>+'28-06'!C45</f>
        <v>6108.28509</v>
      </c>
      <c r="D31" s="345">
        <f>+'28-06'!D45</f>
        <v>0</v>
      </c>
      <c r="E31" s="345">
        <f>+'28-06'!E45</f>
        <v>28.8</v>
      </c>
      <c r="F31" s="345">
        <f>+'28-06'!H45</f>
        <v>928.767834</v>
      </c>
      <c r="G31" s="345">
        <f>+'28-06'!I45</f>
        <v>1486.337076</v>
      </c>
      <c r="H31" s="148"/>
      <c r="I31" s="342"/>
      <c r="J31" s="319">
        <v>7878.926999999989</v>
      </c>
      <c r="K31" s="319">
        <f t="shared" si="1"/>
        <v>6137.08509</v>
      </c>
      <c r="L31" s="333">
        <f t="shared" si="2"/>
        <v>0.778923969</v>
      </c>
      <c r="M31" s="317"/>
      <c r="N31" s="317"/>
      <c r="O31" s="317"/>
      <c r="P31" s="333">
        <f t="shared" si="3"/>
        <v>-0.201076031</v>
      </c>
      <c r="Q31" s="317"/>
      <c r="R31" s="317"/>
      <c r="S31" s="317"/>
      <c r="T31" s="317"/>
      <c r="U31" s="317"/>
      <c r="V31" s="317"/>
      <c r="W31" s="317"/>
      <c r="X31" s="317"/>
      <c r="Y31" s="317"/>
      <c r="Z31" s="317"/>
      <c r="AA31" s="317"/>
      <c r="AB31" s="317"/>
      <c r="AC31" s="317"/>
      <c r="AD31" s="317"/>
    </row>
    <row r="32" ht="26.25" customHeight="1">
      <c r="A32" s="330">
        <f>+'29062021'!G4</f>
        <v>44376</v>
      </c>
      <c r="B32" s="345">
        <f>+'29062021'!B66</f>
        <v>11417.0055</v>
      </c>
      <c r="C32" s="345">
        <f>+'29062021'!C66</f>
        <v>10106.20354</v>
      </c>
      <c r="D32" s="345">
        <f>+'29062021'!D66</f>
        <v>50.456974</v>
      </c>
      <c r="E32" s="345">
        <f>+'29062021'!E66</f>
        <v>130.2</v>
      </c>
      <c r="F32" s="345">
        <f>+'29062021'!F66</f>
        <v>445.7031318</v>
      </c>
      <c r="G32" s="345">
        <f>+'29062021'!G66</f>
        <v>684.4418502</v>
      </c>
      <c r="H32" s="348"/>
      <c r="I32" s="342"/>
      <c r="J32" s="319">
        <v>10849.046199999955</v>
      </c>
      <c r="K32" s="319">
        <f t="shared" si="1"/>
        <v>10236.40354</v>
      </c>
      <c r="L32" s="333">
        <f t="shared" si="2"/>
        <v>0.9435302749</v>
      </c>
      <c r="M32" s="317"/>
      <c r="N32" s="317"/>
      <c r="O32" s="317"/>
      <c r="P32" s="333">
        <f t="shared" si="3"/>
        <v>-0.03646972505</v>
      </c>
      <c r="Q32" s="317"/>
      <c r="R32" s="317"/>
      <c r="S32" s="317"/>
      <c r="T32" s="317"/>
      <c r="U32" s="317"/>
      <c r="V32" s="317"/>
      <c r="W32" s="317"/>
      <c r="X32" s="317"/>
      <c r="Y32" s="317"/>
      <c r="Z32" s="317"/>
      <c r="AA32" s="317"/>
      <c r="AB32" s="317"/>
      <c r="AC32" s="317"/>
      <c r="AD32" s="317"/>
    </row>
    <row r="33" ht="26.25" customHeight="1">
      <c r="A33" s="330"/>
      <c r="B33" s="345"/>
      <c r="C33" s="349"/>
      <c r="D33" s="349"/>
      <c r="E33" s="349"/>
      <c r="F33" s="349"/>
      <c r="G33" s="349"/>
      <c r="H33" s="348"/>
      <c r="I33" s="342"/>
      <c r="J33" s="350">
        <f t="shared" ref="J33:K33" si="5">SUM(J7:J32)</f>
        <v>724444.8069</v>
      </c>
      <c r="K33" s="350">
        <f t="shared" si="5"/>
        <v>656325.8648</v>
      </c>
      <c r="L33" s="333">
        <f t="shared" si="2"/>
        <v>0.9059708325</v>
      </c>
      <c r="M33" s="317"/>
      <c r="N33" s="317"/>
      <c r="O33" s="317"/>
      <c r="P33" s="333">
        <f t="shared" si="3"/>
        <v>-0.07402916751</v>
      </c>
      <c r="Q33" s="317"/>
      <c r="R33" s="317"/>
      <c r="S33" s="317"/>
      <c r="T33" s="317"/>
      <c r="U33" s="317"/>
      <c r="V33" s="317"/>
      <c r="W33" s="317"/>
      <c r="X33" s="317"/>
      <c r="Y33" s="317"/>
      <c r="Z33" s="317"/>
      <c r="AA33" s="317"/>
      <c r="AB33" s="317"/>
      <c r="AC33" s="317"/>
      <c r="AD33" s="317"/>
    </row>
    <row r="34" ht="26.25" customHeight="1">
      <c r="A34" s="330"/>
      <c r="B34" s="345"/>
      <c r="C34" s="349"/>
      <c r="D34" s="349"/>
      <c r="E34" s="349"/>
      <c r="F34" s="349"/>
      <c r="G34" s="349"/>
      <c r="H34" s="351"/>
      <c r="I34" s="352"/>
      <c r="J34" s="319"/>
      <c r="K34" s="319"/>
      <c r="L34" s="319"/>
      <c r="M34" s="317"/>
      <c r="N34" s="317"/>
      <c r="O34" s="317"/>
      <c r="P34" s="333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  <c r="AC34" s="317"/>
      <c r="AD34" s="317"/>
    </row>
    <row r="35" ht="26.25" customHeight="1">
      <c r="A35" s="330"/>
      <c r="B35" s="345"/>
      <c r="C35" s="349"/>
      <c r="D35" s="349"/>
      <c r="E35" s="349"/>
      <c r="F35" s="349"/>
      <c r="G35" s="349"/>
      <c r="H35" s="351"/>
      <c r="I35" s="352"/>
      <c r="J35" s="319"/>
      <c r="K35" s="319"/>
      <c r="L35" s="333"/>
      <c r="M35" s="317"/>
      <c r="N35" s="317"/>
      <c r="O35" s="317"/>
      <c r="P35" s="333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  <c r="AD35" s="317"/>
    </row>
    <row r="36" ht="29.25" customHeight="1">
      <c r="A36" s="353" t="s">
        <v>250</v>
      </c>
      <c r="B36" s="354">
        <f t="shared" ref="B36:G36" si="6">SUM(B7:B35)</f>
        <v>752844.3407</v>
      </c>
      <c r="C36" s="354">
        <f t="shared" si="6"/>
        <v>650258.6648</v>
      </c>
      <c r="D36" s="354">
        <f t="shared" si="6"/>
        <v>1383.362165</v>
      </c>
      <c r="E36" s="354">
        <f t="shared" si="6"/>
        <v>6067.2</v>
      </c>
      <c r="F36" s="354">
        <f t="shared" si="6"/>
        <v>24114.31025</v>
      </c>
      <c r="G36" s="354">
        <f t="shared" si="6"/>
        <v>71020.80349</v>
      </c>
      <c r="H36" s="351"/>
      <c r="I36" s="355"/>
      <c r="J36" s="319"/>
      <c r="K36" s="356"/>
      <c r="L36" s="319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D36" s="317"/>
    </row>
    <row r="37" ht="24.75" customHeight="1">
      <c r="A37" s="357" t="s">
        <v>49</v>
      </c>
      <c r="B37" s="358"/>
      <c r="C37" s="359">
        <f>+C36/B36</f>
        <v>0.8637358743</v>
      </c>
      <c r="D37" s="360">
        <f>+D36/B36</f>
        <v>0.001837514198</v>
      </c>
      <c r="E37" s="360">
        <f>+E36/B36</f>
        <v>0.008059036473</v>
      </c>
      <c r="F37" s="359">
        <f>+F36/B36</f>
        <v>0.0320309378</v>
      </c>
      <c r="G37" s="360">
        <f>+G36/B36</f>
        <v>0.09433663727</v>
      </c>
      <c r="H37" s="351"/>
      <c r="I37" s="317"/>
      <c r="J37" s="319"/>
      <c r="K37" s="317"/>
      <c r="L37" s="317"/>
      <c r="M37" s="317"/>
      <c r="N37" s="317"/>
      <c r="O37" s="317"/>
      <c r="P37" s="317"/>
      <c r="Q37" s="317"/>
      <c r="R37" s="317"/>
      <c r="S37" s="317"/>
      <c r="T37" s="317"/>
      <c r="U37" s="317"/>
      <c r="V37" s="317"/>
      <c r="W37" s="317"/>
      <c r="X37" s="317"/>
      <c r="Y37" s="317"/>
      <c r="Z37" s="317"/>
      <c r="AA37" s="317"/>
      <c r="AB37" s="317"/>
      <c r="AC37" s="317"/>
      <c r="AD37" s="317"/>
    </row>
    <row r="38" ht="24.0" customHeight="1">
      <c r="A38" s="361" t="s">
        <v>251</v>
      </c>
      <c r="B38" s="362"/>
      <c r="C38" s="363"/>
      <c r="D38" s="364">
        <v>0.0053</v>
      </c>
      <c r="E38" s="364">
        <v>0.0084</v>
      </c>
      <c r="F38" s="363"/>
      <c r="G38" s="365">
        <v>0.0061</v>
      </c>
      <c r="H38" s="351"/>
      <c r="I38" s="317"/>
      <c r="J38" s="319"/>
      <c r="K38" s="317"/>
      <c r="L38" s="317"/>
      <c r="M38" s="317"/>
      <c r="N38" s="317"/>
      <c r="O38" s="317"/>
      <c r="P38" s="317"/>
      <c r="Q38" s="317"/>
      <c r="R38" s="317"/>
      <c r="S38" s="317"/>
      <c r="T38" s="317"/>
      <c r="U38" s="317"/>
      <c r="V38" s="317"/>
      <c r="W38" s="317"/>
      <c r="X38" s="317"/>
      <c r="Y38" s="317"/>
      <c r="Z38" s="317"/>
      <c r="AA38" s="317"/>
      <c r="AB38" s="317"/>
      <c r="AC38" s="317"/>
      <c r="AD38" s="317"/>
    </row>
    <row r="39" ht="24.0" customHeight="1">
      <c r="A39" s="366"/>
      <c r="B39" s="367"/>
      <c r="C39" s="317"/>
      <c r="D39" s="317"/>
      <c r="E39" s="317"/>
      <c r="F39" s="317"/>
      <c r="G39" s="367"/>
      <c r="H39" s="368"/>
      <c r="I39" s="317"/>
      <c r="J39" s="319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</row>
    <row r="40" ht="23.25" customHeight="1">
      <c r="A40" s="369"/>
      <c r="B40" s="317"/>
      <c r="C40" s="317"/>
      <c r="D40" s="317" t="s">
        <v>252</v>
      </c>
      <c r="E40" s="317"/>
      <c r="F40" s="370">
        <f>+D36+E36+F36+G36</f>
        <v>102585.6759</v>
      </c>
      <c r="G40" s="317"/>
      <c r="H40" s="371"/>
      <c r="I40" s="317"/>
      <c r="J40" s="319"/>
      <c r="K40" s="317"/>
      <c r="L40" s="317"/>
      <c r="M40" s="317"/>
      <c r="N40" s="317"/>
      <c r="O40" s="317"/>
      <c r="P40" s="317"/>
      <c r="Q40" s="317"/>
      <c r="R40" s="317"/>
      <c r="S40" s="317"/>
      <c r="T40" s="317"/>
      <c r="U40" s="317"/>
      <c r="V40" s="317"/>
      <c r="W40" s="317"/>
      <c r="X40" s="317"/>
      <c r="Y40" s="317"/>
      <c r="Z40" s="317"/>
      <c r="AA40" s="317"/>
      <c r="AB40" s="317"/>
      <c r="AC40" s="317"/>
      <c r="AD40" s="317"/>
    </row>
    <row r="41" ht="20.25" customHeight="1">
      <c r="A41" s="369"/>
      <c r="B41" s="317"/>
      <c r="C41" s="317"/>
      <c r="D41" s="317" t="s">
        <v>253</v>
      </c>
      <c r="E41" s="317"/>
      <c r="F41" s="372">
        <f>+F40/B36</f>
        <v>0.1362641257</v>
      </c>
      <c r="G41" s="317"/>
      <c r="H41" s="332"/>
      <c r="I41" s="317"/>
      <c r="J41" s="319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</row>
    <row r="42" ht="20.25" customHeight="1">
      <c r="A42" s="369"/>
      <c r="B42" s="317"/>
      <c r="C42" s="317"/>
      <c r="D42" s="317" t="s">
        <v>254</v>
      </c>
      <c r="E42" s="317"/>
      <c r="F42" s="372">
        <f t="shared" ref="F42:F43" si="7">+D37+E37+G37</f>
        <v>0.1042331879</v>
      </c>
      <c r="G42" s="317"/>
      <c r="H42" s="332"/>
      <c r="I42" s="317"/>
      <c r="J42" s="319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</row>
    <row r="43" ht="20.25" customHeight="1">
      <c r="A43" s="369"/>
      <c r="B43" s="317"/>
      <c r="C43" s="362" t="s">
        <v>255</v>
      </c>
      <c r="D43" s="362"/>
      <c r="E43" s="362"/>
      <c r="F43" s="365">
        <f t="shared" si="7"/>
        <v>0.0198</v>
      </c>
      <c r="G43" s="317"/>
      <c r="H43" s="373"/>
      <c r="I43" s="317"/>
      <c r="J43" s="319"/>
      <c r="K43" s="317"/>
      <c r="L43" s="317"/>
      <c r="M43" s="317"/>
      <c r="N43" s="317"/>
      <c r="O43" s="317"/>
      <c r="P43" s="317"/>
      <c r="Q43" s="317"/>
      <c r="R43" s="317"/>
      <c r="S43" s="317"/>
      <c r="T43" s="317"/>
      <c r="U43" s="317"/>
      <c r="V43" s="317"/>
      <c r="W43" s="317"/>
      <c r="X43" s="317"/>
      <c r="Y43" s="317"/>
      <c r="Z43" s="317"/>
      <c r="AA43" s="317"/>
      <c r="AB43" s="317"/>
      <c r="AC43" s="317"/>
      <c r="AD43" s="317"/>
    </row>
    <row r="44" ht="20.25" customHeight="1">
      <c r="A44" s="369" t="s">
        <v>256</v>
      </c>
      <c r="B44" s="317"/>
      <c r="C44" s="317"/>
      <c r="D44" s="374">
        <v>9.0</v>
      </c>
      <c r="E44" s="317"/>
      <c r="F44" s="317"/>
      <c r="G44" s="317"/>
      <c r="H44" s="373"/>
      <c r="I44" s="317"/>
      <c r="J44" s="319"/>
      <c r="K44" s="317"/>
      <c r="L44" s="317"/>
      <c r="M44" s="317"/>
      <c r="N44" s="317"/>
      <c r="O44" s="317"/>
      <c r="P44" s="317"/>
      <c r="Q44" s="317"/>
      <c r="R44" s="317"/>
      <c r="S44" s="317"/>
      <c r="T44" s="317"/>
      <c r="U44" s="317"/>
      <c r="V44" s="317"/>
      <c r="W44" s="317"/>
      <c r="X44" s="317"/>
      <c r="Y44" s="317"/>
      <c r="Z44" s="317"/>
      <c r="AA44" s="317"/>
      <c r="AB44" s="317"/>
      <c r="AC44" s="317"/>
      <c r="AD44" s="317"/>
    </row>
    <row r="45" ht="20.25" customHeight="1">
      <c r="A45" s="369"/>
      <c r="B45" s="317"/>
      <c r="C45" s="317" t="s">
        <v>257</v>
      </c>
      <c r="D45" s="375">
        <f t="shared" ref="D45:E45" si="8">+$D$44*D36</f>
        <v>12450.25949</v>
      </c>
      <c r="E45" s="375">
        <f t="shared" si="8"/>
        <v>54604.8</v>
      </c>
      <c r="F45" s="375"/>
      <c r="G45" s="375">
        <f>+$D$44*G36</f>
        <v>639187.2314</v>
      </c>
      <c r="H45" s="373"/>
      <c r="I45" s="317"/>
      <c r="J45" s="319"/>
      <c r="K45" s="317"/>
      <c r="L45" s="317"/>
      <c r="M45" s="317"/>
      <c r="N45" s="317"/>
      <c r="O45" s="317"/>
      <c r="P45" s="317"/>
      <c r="Q45" s="317"/>
      <c r="R45" s="317"/>
      <c r="S45" s="317"/>
      <c r="T45" s="317"/>
      <c r="U45" s="317"/>
      <c r="V45" s="317"/>
      <c r="W45" s="317"/>
      <c r="X45" s="317"/>
      <c r="Y45" s="317"/>
      <c r="Z45" s="317"/>
      <c r="AA45" s="317"/>
      <c r="AB45" s="317"/>
      <c r="AC45" s="317"/>
      <c r="AD45" s="317"/>
    </row>
    <row r="46" ht="21.0" customHeight="1">
      <c r="A46" s="376"/>
      <c r="B46" s="377"/>
      <c r="C46" s="377"/>
      <c r="D46" s="377"/>
      <c r="E46" s="377"/>
      <c r="F46" s="377"/>
      <c r="G46" s="377"/>
      <c r="H46" s="378"/>
      <c r="I46" s="317"/>
      <c r="J46" s="319"/>
      <c r="K46" s="317"/>
      <c r="L46" s="317"/>
      <c r="M46" s="317"/>
      <c r="N46" s="317"/>
      <c r="O46" s="317"/>
      <c r="P46" s="317"/>
      <c r="Q46" s="317"/>
      <c r="R46" s="317"/>
      <c r="S46" s="317"/>
      <c r="T46" s="317"/>
      <c r="U46" s="317"/>
      <c r="V46" s="317"/>
      <c r="W46" s="317"/>
      <c r="X46" s="317"/>
      <c r="Y46" s="317"/>
      <c r="Z46" s="317"/>
      <c r="AA46" s="317"/>
      <c r="AB46" s="317"/>
      <c r="AC46" s="317"/>
      <c r="AD46" s="317"/>
    </row>
    <row r="47" ht="20.25" customHeight="1">
      <c r="A47" s="320"/>
      <c r="B47" s="317"/>
      <c r="C47" s="317"/>
      <c r="D47" s="317"/>
      <c r="E47" s="317"/>
      <c r="F47" s="317"/>
      <c r="G47" s="317"/>
      <c r="H47" s="318"/>
      <c r="I47" s="317"/>
      <c r="J47" s="319"/>
      <c r="K47" s="317"/>
      <c r="L47" s="317"/>
      <c r="M47" s="317"/>
      <c r="N47" s="317"/>
      <c r="O47" s="317"/>
      <c r="P47" s="317"/>
      <c r="Q47" s="317"/>
      <c r="R47" s="317"/>
      <c r="S47" s="317"/>
      <c r="T47" s="317"/>
      <c r="U47" s="317"/>
      <c r="V47" s="317"/>
      <c r="W47" s="317"/>
      <c r="X47" s="317"/>
      <c r="Y47" s="317"/>
      <c r="Z47" s="317"/>
      <c r="AA47" s="317"/>
      <c r="AB47" s="317"/>
      <c r="AC47" s="317"/>
      <c r="AD47" s="317"/>
    </row>
    <row r="48" ht="20.25" customHeight="1">
      <c r="A48" s="320"/>
      <c r="B48" s="317"/>
      <c r="C48" s="317"/>
      <c r="D48" s="317"/>
      <c r="E48" s="317"/>
      <c r="F48" s="379"/>
      <c r="G48" s="317"/>
      <c r="H48" s="318"/>
      <c r="I48" s="317"/>
      <c r="J48" s="319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</row>
    <row r="49" ht="20.25" customHeight="1">
      <c r="A49" s="320"/>
      <c r="B49" s="317"/>
      <c r="C49" s="317"/>
      <c r="D49" s="317"/>
      <c r="E49" s="379"/>
      <c r="F49" s="317"/>
      <c r="G49" s="317"/>
      <c r="H49" s="318"/>
      <c r="I49" s="317"/>
      <c r="J49" s="319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</row>
    <row r="50" ht="21.75" customHeight="1">
      <c r="A50" s="320"/>
      <c r="B50" s="317"/>
      <c r="C50" s="317"/>
      <c r="D50" s="380" t="s">
        <v>31</v>
      </c>
      <c r="E50" s="381" t="str">
        <f t="shared" ref="E50:E51" si="9">+#REF!+#REF!+#REF!+#REF!+#REF!+#REF!+#REF!+#REF!+#REF!+#REF!+#REF!+#REF!+#REF!+#REF!+#REF!+#REF!+#REF!+#REF!+#REF!+#REF!+#REF!+#REF!+#REF!+#REF!+#REF!+#REF!+#REF!+#REF!</f>
        <v>#REF!</v>
      </c>
      <c r="F50" s="317"/>
      <c r="G50" s="317"/>
      <c r="H50" s="318"/>
      <c r="I50" s="317"/>
      <c r="J50" s="319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</row>
    <row r="51" ht="21.75" customHeight="1">
      <c r="A51" s="320"/>
      <c r="B51" s="317"/>
      <c r="C51" s="317"/>
      <c r="D51" s="380" t="s">
        <v>34</v>
      </c>
      <c r="E51" s="381" t="str">
        <f t="shared" si="9"/>
        <v>#REF!</v>
      </c>
      <c r="F51" s="317"/>
      <c r="G51" s="317"/>
      <c r="H51" s="318"/>
      <c r="I51" s="317"/>
      <c r="J51" s="319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</row>
    <row r="52" ht="20.25" customHeight="1">
      <c r="A52" s="320"/>
      <c r="B52" s="317"/>
      <c r="C52" s="317"/>
      <c r="D52" s="317"/>
      <c r="E52" s="382" t="str">
        <f>SUM(E50:E51)</f>
        <v>#REF!</v>
      </c>
      <c r="F52" s="317"/>
      <c r="G52" s="317"/>
      <c r="H52" s="318"/>
      <c r="I52" s="317"/>
      <c r="J52" s="319"/>
      <c r="K52" s="317"/>
      <c r="L52" s="317"/>
      <c r="M52" s="317"/>
      <c r="N52" s="317"/>
      <c r="O52" s="317"/>
      <c r="P52" s="317"/>
      <c r="Q52" s="317"/>
      <c r="R52" s="317"/>
      <c r="S52" s="317"/>
      <c r="T52" s="317"/>
      <c r="U52" s="317"/>
      <c r="V52" s="317"/>
      <c r="W52" s="317"/>
      <c r="X52" s="317"/>
      <c r="Y52" s="317"/>
      <c r="Z52" s="317"/>
      <c r="AA52" s="317"/>
      <c r="AB52" s="317"/>
      <c r="AC52" s="317"/>
      <c r="AD52" s="317"/>
    </row>
    <row r="53" ht="20.25" customHeight="1">
      <c r="A53" s="320"/>
      <c r="B53" s="317"/>
      <c r="C53" s="317"/>
      <c r="D53" s="317"/>
      <c r="E53" s="317"/>
      <c r="F53" s="317"/>
      <c r="G53" s="317"/>
      <c r="H53" s="318"/>
      <c r="I53" s="317"/>
      <c r="J53" s="319"/>
      <c r="K53" s="317"/>
      <c r="L53" s="317"/>
      <c r="M53" s="317"/>
      <c r="N53" s="317"/>
      <c r="O53" s="317"/>
      <c r="P53" s="317"/>
      <c r="Q53" s="317"/>
      <c r="R53" s="317"/>
      <c r="S53" s="317"/>
      <c r="T53" s="317"/>
      <c r="U53" s="317"/>
      <c r="V53" s="317"/>
      <c r="W53" s="317"/>
      <c r="X53" s="317"/>
      <c r="Y53" s="317"/>
      <c r="Z53" s="317"/>
      <c r="AA53" s="317"/>
      <c r="AB53" s="317"/>
      <c r="AC53" s="317"/>
      <c r="AD53" s="317"/>
    </row>
    <row r="54" ht="20.25" customHeight="1">
      <c r="A54" s="320"/>
      <c r="B54" s="317"/>
      <c r="C54" s="317"/>
      <c r="D54" s="317"/>
      <c r="E54" s="317"/>
      <c r="F54" s="317"/>
      <c r="G54" s="317"/>
      <c r="H54" s="318"/>
      <c r="I54" s="317"/>
      <c r="J54" s="319"/>
      <c r="K54" s="317"/>
      <c r="L54" s="317"/>
      <c r="M54" s="317"/>
      <c r="N54" s="317"/>
      <c r="O54" s="317"/>
      <c r="P54" s="317"/>
      <c r="Q54" s="317"/>
      <c r="R54" s="317"/>
      <c r="S54" s="317"/>
      <c r="T54" s="317"/>
      <c r="U54" s="317"/>
      <c r="V54" s="317"/>
      <c r="W54" s="317"/>
      <c r="X54" s="317"/>
      <c r="Y54" s="317"/>
      <c r="Z54" s="317"/>
      <c r="AA54" s="317"/>
      <c r="AB54" s="317"/>
      <c r="AC54" s="317"/>
      <c r="AD54" s="317"/>
    </row>
    <row r="55" ht="20.25" customHeight="1">
      <c r="A55" s="320"/>
      <c r="B55" s="317"/>
      <c r="C55" s="317"/>
      <c r="D55" s="317"/>
      <c r="E55" s="317"/>
      <c r="F55" s="317"/>
      <c r="G55" s="317"/>
      <c r="H55" s="318"/>
      <c r="I55" s="317"/>
      <c r="J55" s="319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</row>
    <row r="56" ht="20.25" customHeight="1">
      <c r="A56" s="320"/>
      <c r="B56" s="317"/>
      <c r="C56" s="317"/>
      <c r="D56" s="317"/>
      <c r="E56" s="317"/>
      <c r="F56" s="317"/>
      <c r="G56" s="317"/>
      <c r="H56" s="318"/>
      <c r="I56" s="317"/>
      <c r="J56" s="319"/>
      <c r="K56" s="317"/>
      <c r="L56" s="317"/>
      <c r="M56" s="317"/>
      <c r="N56" s="317"/>
      <c r="O56" s="317"/>
      <c r="P56" s="317"/>
      <c r="Q56" s="317"/>
      <c r="R56" s="317"/>
      <c r="S56" s="317"/>
      <c r="T56" s="317"/>
      <c r="U56" s="317"/>
      <c r="V56" s="317"/>
      <c r="W56" s="317"/>
      <c r="X56" s="317"/>
      <c r="Y56" s="317"/>
      <c r="Z56" s="317"/>
      <c r="AA56" s="317"/>
      <c r="AB56" s="317"/>
      <c r="AC56" s="317"/>
      <c r="AD56" s="317"/>
    </row>
    <row r="57" ht="20.25" customHeight="1">
      <c r="A57" s="320"/>
      <c r="B57" s="317"/>
      <c r="C57" s="317"/>
      <c r="D57" s="317"/>
      <c r="E57" s="317"/>
      <c r="F57" s="317"/>
      <c r="G57" s="317"/>
      <c r="H57" s="318"/>
      <c r="I57" s="317"/>
      <c r="J57" s="319"/>
      <c r="K57" s="317"/>
      <c r="L57" s="317"/>
      <c r="M57" s="317"/>
      <c r="N57" s="317"/>
      <c r="O57" s="317"/>
      <c r="P57" s="317"/>
      <c r="Q57" s="317"/>
      <c r="R57" s="317"/>
      <c r="S57" s="317"/>
      <c r="T57" s="317"/>
      <c r="U57" s="317"/>
      <c r="V57" s="317"/>
      <c r="W57" s="317"/>
      <c r="X57" s="317"/>
      <c r="Y57" s="317"/>
      <c r="Z57" s="317"/>
      <c r="AA57" s="317"/>
      <c r="AB57" s="317"/>
      <c r="AC57" s="317"/>
      <c r="AD57" s="317"/>
    </row>
    <row r="58" ht="20.25" customHeight="1">
      <c r="A58" s="320"/>
      <c r="B58" s="317"/>
      <c r="C58" s="317"/>
      <c r="D58" s="317"/>
      <c r="E58" s="317"/>
      <c r="F58" s="317"/>
      <c r="G58" s="317"/>
      <c r="H58" s="318"/>
      <c r="I58" s="317"/>
      <c r="J58" s="319"/>
      <c r="K58" s="317"/>
      <c r="L58" s="317"/>
      <c r="M58" s="317"/>
      <c r="N58" s="317"/>
      <c r="O58" s="317"/>
      <c r="P58" s="317"/>
      <c r="Q58" s="317"/>
      <c r="R58" s="317"/>
      <c r="S58" s="317"/>
      <c r="T58" s="317"/>
      <c r="U58" s="317"/>
      <c r="V58" s="317"/>
      <c r="W58" s="317"/>
      <c r="X58" s="317"/>
      <c r="Y58" s="317"/>
      <c r="Z58" s="317"/>
      <c r="AA58" s="317"/>
      <c r="AB58" s="317"/>
      <c r="AC58" s="317"/>
      <c r="AD58" s="317"/>
    </row>
    <row r="59" ht="20.25" customHeight="1">
      <c r="A59" s="320"/>
      <c r="B59" s="317"/>
      <c r="C59" s="317"/>
      <c r="D59" s="317"/>
      <c r="E59" s="317"/>
      <c r="F59" s="317"/>
      <c r="G59" s="317"/>
      <c r="H59" s="318"/>
      <c r="I59" s="317"/>
      <c r="J59" s="319"/>
      <c r="K59" s="317"/>
      <c r="L59" s="317"/>
      <c r="M59" s="317"/>
      <c r="N59" s="317"/>
      <c r="O59" s="317"/>
      <c r="P59" s="317"/>
      <c r="Q59" s="317"/>
      <c r="R59" s="317"/>
      <c r="S59" s="317"/>
      <c r="T59" s="317"/>
      <c r="U59" s="317"/>
      <c r="V59" s="317"/>
      <c r="W59" s="317"/>
      <c r="X59" s="317"/>
      <c r="Y59" s="317"/>
      <c r="Z59" s="317"/>
      <c r="AA59" s="317"/>
      <c r="AB59" s="317"/>
      <c r="AC59" s="317"/>
      <c r="AD59" s="317"/>
    </row>
    <row r="60" ht="20.25" customHeight="1">
      <c r="A60" s="320"/>
      <c r="B60" s="317"/>
      <c r="C60" s="317"/>
      <c r="D60" s="317"/>
      <c r="E60" s="317"/>
      <c r="F60" s="317"/>
      <c r="G60" s="317"/>
      <c r="H60" s="318"/>
      <c r="I60" s="317"/>
      <c r="J60" s="319"/>
      <c r="K60" s="317"/>
      <c r="L60" s="317"/>
      <c r="M60" s="317"/>
      <c r="N60" s="317"/>
      <c r="O60" s="317"/>
      <c r="P60" s="317"/>
      <c r="Q60" s="317"/>
      <c r="R60" s="317"/>
      <c r="S60" s="317"/>
      <c r="T60" s="317"/>
      <c r="U60" s="317"/>
      <c r="V60" s="317"/>
      <c r="W60" s="317"/>
      <c r="X60" s="317"/>
      <c r="Y60" s="317"/>
      <c r="Z60" s="317"/>
      <c r="AA60" s="317"/>
      <c r="AB60" s="317"/>
      <c r="AC60" s="317"/>
      <c r="AD60" s="317"/>
    </row>
    <row r="61" ht="20.25" customHeight="1">
      <c r="A61" s="320"/>
      <c r="B61" s="317"/>
      <c r="C61" s="317"/>
      <c r="D61" s="317"/>
      <c r="E61" s="317"/>
      <c r="F61" s="317"/>
      <c r="G61" s="317"/>
      <c r="H61" s="318"/>
      <c r="I61" s="317"/>
      <c r="J61" s="319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</row>
    <row r="62" ht="20.25" customHeight="1">
      <c r="A62" s="320"/>
      <c r="B62" s="317"/>
      <c r="C62" s="317"/>
      <c r="D62" s="317"/>
      <c r="E62" s="317"/>
      <c r="F62" s="317"/>
      <c r="G62" s="317"/>
      <c r="H62" s="317"/>
      <c r="I62" s="317"/>
      <c r="J62" s="319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</row>
    <row r="63" ht="20.25" customHeight="1">
      <c r="A63" s="320"/>
      <c r="B63" s="317"/>
      <c r="C63" s="317"/>
      <c r="D63" s="317"/>
      <c r="E63" s="317"/>
      <c r="F63" s="317"/>
      <c r="G63" s="317"/>
      <c r="H63" s="318"/>
      <c r="I63" s="317"/>
      <c r="J63" s="319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</row>
    <row r="64" ht="20.25" customHeight="1">
      <c r="A64" s="317"/>
      <c r="B64" s="317"/>
      <c r="C64" s="317"/>
      <c r="D64" s="317"/>
      <c r="E64" s="317"/>
      <c r="F64" s="317"/>
      <c r="G64" s="317"/>
      <c r="H64" s="318"/>
      <c r="I64" s="317"/>
      <c r="J64" s="319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</row>
    <row r="65" ht="20.25" customHeight="1">
      <c r="A65" s="317"/>
      <c r="B65" s="317"/>
      <c r="C65" s="317"/>
      <c r="D65" s="317"/>
      <c r="E65" s="317"/>
      <c r="F65" s="317"/>
      <c r="G65" s="317"/>
      <c r="H65" s="317"/>
      <c r="I65" s="317"/>
      <c r="J65" s="319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</row>
    <row r="66" ht="20.25" customHeight="1">
      <c r="A66" s="317"/>
      <c r="B66" s="317"/>
      <c r="C66" s="317"/>
      <c r="D66" s="317"/>
      <c r="E66" s="317"/>
      <c r="F66" s="317"/>
      <c r="G66" s="317"/>
      <c r="H66" s="318"/>
      <c r="I66" s="317"/>
      <c r="J66" s="319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</row>
    <row r="67" ht="20.25" customHeight="1">
      <c r="A67" s="317"/>
      <c r="B67" s="317"/>
      <c r="C67" s="317"/>
      <c r="D67" s="317"/>
      <c r="E67" s="317"/>
      <c r="F67" s="317"/>
      <c r="G67" s="317"/>
      <c r="H67" s="318"/>
      <c r="I67" s="317"/>
      <c r="J67" s="319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</row>
    <row r="68" ht="20.25" customHeight="1">
      <c r="A68" s="317"/>
      <c r="B68" s="317"/>
      <c r="C68" s="317"/>
      <c r="D68" s="317"/>
      <c r="E68" s="317"/>
      <c r="F68" s="317"/>
      <c r="G68" s="317"/>
      <c r="H68" s="317"/>
      <c r="I68" s="317"/>
      <c r="J68" s="319"/>
      <c r="K68" s="317"/>
      <c r="L68" s="317"/>
      <c r="M68" s="317"/>
      <c r="N68" s="317"/>
      <c r="O68" s="317"/>
      <c r="P68" s="317"/>
      <c r="Q68" s="317"/>
      <c r="R68" s="317"/>
      <c r="S68" s="317"/>
      <c r="T68" s="317"/>
      <c r="U68" s="317"/>
      <c r="V68" s="317"/>
      <c r="W68" s="317"/>
      <c r="X68" s="317"/>
      <c r="Y68" s="317"/>
      <c r="Z68" s="317"/>
      <c r="AA68" s="317"/>
      <c r="AB68" s="317"/>
      <c r="AC68" s="317"/>
      <c r="AD68" s="317"/>
    </row>
    <row r="69" ht="20.25" customHeight="1">
      <c r="A69" s="317"/>
      <c r="B69" s="317"/>
      <c r="C69" s="317"/>
      <c r="D69" s="317"/>
      <c r="E69" s="317"/>
      <c r="F69" s="317"/>
      <c r="G69" s="317"/>
      <c r="H69" s="318"/>
      <c r="I69" s="317"/>
      <c r="J69" s="319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</row>
    <row r="70" ht="20.25" customHeight="1">
      <c r="A70" s="317"/>
      <c r="B70" s="317"/>
      <c r="C70" s="317"/>
      <c r="D70" s="317"/>
      <c r="E70" s="317"/>
      <c r="F70" s="317"/>
      <c r="G70" s="317"/>
      <c r="H70" s="318"/>
      <c r="I70" s="317"/>
      <c r="J70" s="319"/>
      <c r="K70" s="317"/>
      <c r="L70" s="317"/>
      <c r="M70" s="317"/>
      <c r="N70" s="317"/>
      <c r="O70" s="317"/>
      <c r="P70" s="317"/>
      <c r="Q70" s="317"/>
      <c r="R70" s="317"/>
      <c r="S70" s="317"/>
      <c r="T70" s="317"/>
      <c r="U70" s="317"/>
      <c r="V70" s="317"/>
      <c r="W70" s="317"/>
      <c r="X70" s="317"/>
      <c r="Y70" s="317"/>
      <c r="Z70" s="317"/>
      <c r="AA70" s="317"/>
      <c r="AB70" s="317"/>
      <c r="AC70" s="317"/>
      <c r="AD70" s="317"/>
    </row>
    <row r="71" ht="20.25" customHeight="1">
      <c r="A71" s="320"/>
      <c r="B71" s="317"/>
      <c r="C71" s="317"/>
      <c r="D71" s="317"/>
      <c r="E71" s="317"/>
      <c r="F71" s="317"/>
      <c r="G71" s="317"/>
      <c r="H71" s="318"/>
      <c r="I71" s="317"/>
      <c r="J71" s="319"/>
      <c r="K71" s="317"/>
      <c r="L71" s="317"/>
      <c r="M71" s="317"/>
      <c r="N71" s="317"/>
      <c r="O71" s="317"/>
      <c r="P71" s="317"/>
      <c r="Q71" s="317"/>
      <c r="R71" s="317"/>
      <c r="S71" s="317"/>
      <c r="T71" s="317"/>
      <c r="U71" s="317"/>
      <c r="V71" s="317"/>
      <c r="W71" s="317"/>
      <c r="X71" s="317"/>
      <c r="Y71" s="317"/>
      <c r="Z71" s="317"/>
      <c r="AA71" s="317"/>
      <c r="AB71" s="317"/>
      <c r="AC71" s="317"/>
      <c r="AD71" s="317"/>
    </row>
    <row r="72" ht="20.25" customHeight="1">
      <c r="A72" s="320"/>
      <c r="B72" s="317"/>
      <c r="C72" s="317"/>
      <c r="D72" s="317"/>
      <c r="E72" s="317"/>
      <c r="F72" s="317"/>
      <c r="G72" s="317"/>
      <c r="H72" s="318"/>
      <c r="I72" s="317"/>
      <c r="J72" s="319"/>
      <c r="K72" s="317"/>
      <c r="L72" s="317"/>
      <c r="M72" s="317"/>
      <c r="N72" s="317"/>
      <c r="O72" s="317"/>
      <c r="P72" s="317"/>
      <c r="Q72" s="317"/>
      <c r="R72" s="317"/>
      <c r="S72" s="317"/>
      <c r="T72" s="317"/>
      <c r="U72" s="317"/>
      <c r="V72" s="317"/>
      <c r="W72" s="317"/>
      <c r="X72" s="317"/>
      <c r="Y72" s="317"/>
      <c r="Z72" s="317"/>
      <c r="AA72" s="317"/>
      <c r="AB72" s="317"/>
      <c r="AC72" s="317"/>
      <c r="AD72" s="317"/>
    </row>
    <row r="73" ht="20.25" customHeight="1">
      <c r="A73" s="320"/>
      <c r="B73" s="317"/>
      <c r="C73" s="317"/>
      <c r="D73" s="317"/>
      <c r="E73" s="317"/>
      <c r="F73" s="317"/>
      <c r="G73" s="317"/>
      <c r="H73" s="318"/>
      <c r="I73" s="317"/>
      <c r="J73" s="319"/>
      <c r="K73" s="317"/>
      <c r="L73" s="317"/>
      <c r="M73" s="317"/>
      <c r="N73" s="317"/>
      <c r="O73" s="317"/>
      <c r="P73" s="317"/>
      <c r="Q73" s="317"/>
      <c r="R73" s="317"/>
      <c r="S73" s="317"/>
      <c r="T73" s="317"/>
      <c r="U73" s="317"/>
      <c r="V73" s="317"/>
      <c r="W73" s="317"/>
      <c r="X73" s="317"/>
      <c r="Y73" s="317"/>
      <c r="Z73" s="317"/>
      <c r="AA73" s="317"/>
      <c r="AB73" s="317"/>
      <c r="AC73" s="317"/>
      <c r="AD73" s="317"/>
    </row>
    <row r="74" ht="20.25" customHeight="1">
      <c r="A74" s="320"/>
      <c r="B74" s="317"/>
      <c r="C74" s="317"/>
      <c r="D74" s="317"/>
      <c r="E74" s="317"/>
      <c r="F74" s="317"/>
      <c r="G74" s="317"/>
      <c r="H74" s="318"/>
      <c r="I74" s="317"/>
      <c r="J74" s="319"/>
      <c r="K74" s="317"/>
      <c r="L74" s="317"/>
      <c r="M74" s="317"/>
      <c r="N74" s="317"/>
      <c r="O74" s="317"/>
      <c r="P74" s="317"/>
      <c r="Q74" s="317"/>
      <c r="R74" s="317"/>
      <c r="S74" s="317"/>
      <c r="T74" s="317"/>
      <c r="U74" s="317"/>
      <c r="V74" s="317"/>
      <c r="W74" s="317"/>
      <c r="X74" s="317"/>
      <c r="Y74" s="317"/>
      <c r="Z74" s="317"/>
      <c r="AA74" s="317"/>
      <c r="AB74" s="317"/>
      <c r="AC74" s="317"/>
      <c r="AD74" s="317"/>
    </row>
    <row r="75" ht="20.25" customHeight="1">
      <c r="A75" s="320"/>
      <c r="B75" s="317"/>
      <c r="C75" s="317"/>
      <c r="D75" s="317"/>
      <c r="E75" s="317"/>
      <c r="F75" s="317"/>
      <c r="G75" s="317"/>
      <c r="H75" s="318"/>
      <c r="I75" s="317"/>
      <c r="J75" s="319"/>
      <c r="K75" s="317"/>
      <c r="L75" s="317"/>
      <c r="M75" s="317"/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7"/>
      <c r="AA75" s="317"/>
      <c r="AB75" s="317"/>
      <c r="AC75" s="317"/>
      <c r="AD75" s="317"/>
    </row>
    <row r="76" ht="20.25" customHeight="1">
      <c r="A76" s="320"/>
      <c r="B76" s="317"/>
      <c r="C76" s="317"/>
      <c r="D76" s="317"/>
      <c r="E76" s="317"/>
      <c r="F76" s="317"/>
      <c r="G76" s="317"/>
      <c r="H76" s="318"/>
      <c r="I76" s="317"/>
      <c r="J76" s="319"/>
      <c r="K76" s="317"/>
      <c r="L76" s="317"/>
      <c r="M76" s="317"/>
      <c r="N76" s="317"/>
      <c r="O76" s="317"/>
      <c r="P76" s="317"/>
      <c r="Q76" s="317"/>
      <c r="R76" s="317"/>
      <c r="S76" s="317"/>
      <c r="T76" s="317"/>
      <c r="U76" s="317"/>
      <c r="V76" s="317"/>
      <c r="W76" s="317"/>
      <c r="X76" s="317"/>
      <c r="Y76" s="317"/>
      <c r="Z76" s="317"/>
      <c r="AA76" s="317"/>
      <c r="AB76" s="317"/>
      <c r="AC76" s="317"/>
      <c r="AD76" s="317"/>
    </row>
    <row r="77" ht="20.25" customHeight="1">
      <c r="A77" s="320"/>
      <c r="B77" s="317"/>
      <c r="C77" s="317"/>
      <c r="D77" s="317"/>
      <c r="E77" s="317"/>
      <c r="F77" s="317"/>
      <c r="G77" s="317"/>
      <c r="H77" s="318"/>
      <c r="I77" s="317"/>
      <c r="J77" s="319"/>
      <c r="K77" s="317"/>
      <c r="L77" s="317"/>
      <c r="M77" s="317"/>
      <c r="N77" s="317"/>
      <c r="O77" s="317"/>
      <c r="P77" s="317"/>
      <c r="Q77" s="317"/>
      <c r="R77" s="317"/>
      <c r="S77" s="317"/>
      <c r="T77" s="317"/>
      <c r="U77" s="317"/>
      <c r="V77" s="317"/>
      <c r="W77" s="317"/>
      <c r="X77" s="317"/>
      <c r="Y77" s="317"/>
      <c r="Z77" s="317"/>
      <c r="AA77" s="317"/>
      <c r="AB77" s="317"/>
      <c r="AC77" s="317"/>
      <c r="AD77" s="317"/>
    </row>
    <row r="78" ht="20.25" customHeight="1">
      <c r="A78" s="320"/>
      <c r="B78" s="317"/>
      <c r="C78" s="317"/>
      <c r="D78" s="317"/>
      <c r="E78" s="317"/>
      <c r="F78" s="317"/>
      <c r="G78" s="317"/>
      <c r="H78" s="318"/>
      <c r="I78" s="317"/>
      <c r="J78" s="319"/>
      <c r="K78" s="317"/>
      <c r="L78" s="317"/>
      <c r="M78" s="317"/>
      <c r="N78" s="317"/>
      <c r="O78" s="317"/>
      <c r="P78" s="317"/>
      <c r="Q78" s="317"/>
      <c r="R78" s="317"/>
      <c r="S78" s="317"/>
      <c r="T78" s="317"/>
      <c r="U78" s="317"/>
      <c r="V78" s="317"/>
      <c r="W78" s="317"/>
      <c r="X78" s="317"/>
      <c r="Y78" s="317"/>
      <c r="Z78" s="317"/>
      <c r="AA78" s="317"/>
      <c r="AB78" s="317"/>
      <c r="AC78" s="317"/>
      <c r="AD78" s="317"/>
    </row>
    <row r="79" ht="20.25" customHeight="1">
      <c r="A79" s="320"/>
      <c r="B79" s="317"/>
      <c r="C79" s="317"/>
      <c r="D79" s="317"/>
      <c r="E79" s="317"/>
      <c r="F79" s="317"/>
      <c r="G79" s="317"/>
      <c r="H79" s="318"/>
      <c r="I79" s="317"/>
      <c r="J79" s="319"/>
      <c r="K79" s="317"/>
      <c r="L79" s="317"/>
      <c r="M79" s="317"/>
      <c r="N79" s="317"/>
      <c r="O79" s="317"/>
      <c r="P79" s="317"/>
      <c r="Q79" s="317"/>
      <c r="R79" s="317"/>
      <c r="S79" s="317"/>
      <c r="T79" s="317"/>
      <c r="U79" s="317"/>
      <c r="V79" s="317"/>
      <c r="W79" s="317"/>
      <c r="X79" s="317"/>
      <c r="Y79" s="317"/>
      <c r="Z79" s="317"/>
      <c r="AA79" s="317"/>
      <c r="AB79" s="317"/>
      <c r="AC79" s="317"/>
      <c r="AD79" s="317"/>
    </row>
    <row r="80" ht="20.25" customHeight="1">
      <c r="A80" s="320"/>
      <c r="B80" s="317"/>
      <c r="C80" s="317"/>
      <c r="D80" s="317"/>
      <c r="E80" s="317"/>
      <c r="F80" s="317"/>
      <c r="G80" s="317"/>
      <c r="H80" s="318"/>
      <c r="I80" s="317"/>
      <c r="J80" s="319"/>
      <c r="K80" s="317"/>
      <c r="L80" s="317"/>
      <c r="M80" s="317"/>
      <c r="N80" s="317"/>
      <c r="O80" s="317"/>
      <c r="P80" s="317"/>
      <c r="Q80" s="317"/>
      <c r="R80" s="317"/>
      <c r="S80" s="317"/>
      <c r="T80" s="317"/>
      <c r="U80" s="317"/>
      <c r="V80" s="317"/>
      <c r="W80" s="317"/>
      <c r="X80" s="317"/>
      <c r="Y80" s="317"/>
      <c r="Z80" s="317"/>
      <c r="AA80" s="317"/>
      <c r="AB80" s="317"/>
      <c r="AC80" s="317"/>
      <c r="AD80" s="317"/>
    </row>
    <row r="81" ht="20.25" customHeight="1">
      <c r="A81" s="320"/>
      <c r="B81" s="317"/>
      <c r="C81" s="317"/>
      <c r="D81" s="317"/>
      <c r="E81" s="317"/>
      <c r="F81" s="317"/>
      <c r="G81" s="317"/>
      <c r="H81" s="318"/>
      <c r="I81" s="317"/>
      <c r="J81" s="319"/>
      <c r="K81" s="317"/>
      <c r="L81" s="317"/>
      <c r="M81" s="317"/>
      <c r="N81" s="317"/>
      <c r="O81" s="317"/>
      <c r="P81" s="317"/>
      <c r="Q81" s="317"/>
      <c r="R81" s="317"/>
      <c r="S81" s="317"/>
      <c r="T81" s="317"/>
      <c r="U81" s="317"/>
      <c r="V81" s="317"/>
      <c r="W81" s="317"/>
      <c r="X81" s="317"/>
      <c r="Y81" s="317"/>
      <c r="Z81" s="317"/>
      <c r="AA81" s="317"/>
      <c r="AB81" s="317"/>
      <c r="AC81" s="317"/>
      <c r="AD81" s="317"/>
    </row>
    <row r="82" ht="20.25" customHeight="1">
      <c r="A82" s="320"/>
      <c r="B82" s="317"/>
      <c r="C82" s="317"/>
      <c r="D82" s="317"/>
      <c r="E82" s="317"/>
      <c r="F82" s="317"/>
      <c r="G82" s="317"/>
      <c r="H82" s="318"/>
      <c r="I82" s="317"/>
      <c r="J82" s="319"/>
      <c r="K82" s="317"/>
      <c r="L82" s="317"/>
      <c r="M82" s="317"/>
      <c r="N82" s="317"/>
      <c r="O82" s="317"/>
      <c r="P82" s="317"/>
      <c r="Q82" s="317"/>
      <c r="R82" s="317"/>
      <c r="S82" s="317"/>
      <c r="T82" s="317"/>
      <c r="U82" s="317"/>
      <c r="V82" s="317"/>
      <c r="W82" s="317"/>
      <c r="X82" s="317"/>
      <c r="Y82" s="317"/>
      <c r="Z82" s="317"/>
      <c r="AA82" s="317"/>
      <c r="AB82" s="317"/>
      <c r="AC82" s="317"/>
      <c r="AD82" s="317"/>
    </row>
    <row r="83" ht="20.25" customHeight="1">
      <c r="A83" s="320"/>
      <c r="B83" s="317"/>
      <c r="C83" s="317"/>
      <c r="D83" s="317"/>
      <c r="E83" s="317"/>
      <c r="F83" s="317"/>
      <c r="G83" s="317"/>
      <c r="H83" s="318"/>
      <c r="I83" s="317"/>
      <c r="J83" s="319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</row>
    <row r="84" ht="20.25" customHeight="1">
      <c r="A84" s="320"/>
      <c r="B84" s="317"/>
      <c r="C84" s="317"/>
      <c r="D84" s="317"/>
      <c r="E84" s="317"/>
      <c r="F84" s="317"/>
      <c r="G84" s="317"/>
      <c r="H84" s="318"/>
      <c r="I84" s="317"/>
      <c r="J84" s="319"/>
      <c r="K84" s="317"/>
      <c r="L84" s="317"/>
      <c r="M84" s="317"/>
      <c r="N84" s="317"/>
      <c r="O84" s="317"/>
      <c r="P84" s="317"/>
      <c r="Q84" s="317"/>
      <c r="R84" s="317"/>
      <c r="S84" s="317"/>
      <c r="T84" s="317"/>
      <c r="U84" s="317"/>
      <c r="V84" s="317"/>
      <c r="W84" s="317"/>
      <c r="X84" s="317"/>
      <c r="Y84" s="317"/>
      <c r="Z84" s="317"/>
      <c r="AA84" s="317"/>
      <c r="AB84" s="317"/>
      <c r="AC84" s="317"/>
      <c r="AD84" s="317"/>
    </row>
    <row r="85" ht="20.25" customHeight="1">
      <c r="A85" s="320"/>
      <c r="B85" s="317"/>
      <c r="C85" s="317"/>
      <c r="D85" s="317"/>
      <c r="E85" s="317"/>
      <c r="F85" s="317"/>
      <c r="G85" s="317"/>
      <c r="H85" s="318"/>
      <c r="I85" s="317"/>
      <c r="J85" s="319"/>
      <c r="K85" s="317"/>
      <c r="L85" s="317"/>
      <c r="M85" s="317"/>
      <c r="N85" s="317"/>
      <c r="O85" s="317"/>
      <c r="P85" s="317"/>
      <c r="Q85" s="317"/>
      <c r="R85" s="317"/>
      <c r="S85" s="317"/>
      <c r="T85" s="317"/>
      <c r="U85" s="317"/>
      <c r="V85" s="317"/>
      <c r="W85" s="317"/>
      <c r="X85" s="317"/>
      <c r="Y85" s="317"/>
      <c r="Z85" s="317"/>
      <c r="AA85" s="317"/>
      <c r="AB85" s="317"/>
      <c r="AC85" s="317"/>
      <c r="AD85" s="317"/>
    </row>
    <row r="86" ht="20.25" customHeight="1">
      <c r="A86" s="320"/>
      <c r="B86" s="317"/>
      <c r="C86" s="317"/>
      <c r="D86" s="317"/>
      <c r="E86" s="317"/>
      <c r="F86" s="317"/>
      <c r="G86" s="317"/>
      <c r="H86" s="318"/>
      <c r="I86" s="317"/>
      <c r="J86" s="319"/>
      <c r="K86" s="317"/>
      <c r="L86" s="317"/>
      <c r="M86" s="317"/>
      <c r="N86" s="317"/>
      <c r="O86" s="317"/>
      <c r="P86" s="317"/>
      <c r="Q86" s="317"/>
      <c r="R86" s="317"/>
      <c r="S86" s="317"/>
      <c r="T86" s="317"/>
      <c r="U86" s="317"/>
      <c r="V86" s="317"/>
      <c r="W86" s="317"/>
      <c r="X86" s="317"/>
      <c r="Y86" s="317"/>
      <c r="Z86" s="317"/>
      <c r="AA86" s="317"/>
      <c r="AB86" s="317"/>
      <c r="AC86" s="317"/>
      <c r="AD86" s="317"/>
    </row>
    <row r="87" ht="20.25" customHeight="1">
      <c r="A87" s="320"/>
      <c r="B87" s="317"/>
      <c r="C87" s="317"/>
      <c r="D87" s="317"/>
      <c r="E87" s="317"/>
      <c r="F87" s="317"/>
      <c r="G87" s="317"/>
      <c r="H87" s="318"/>
      <c r="I87" s="317"/>
      <c r="J87" s="319"/>
      <c r="K87" s="317"/>
      <c r="L87" s="317"/>
      <c r="M87" s="317"/>
      <c r="N87" s="317"/>
      <c r="O87" s="317"/>
      <c r="P87" s="317"/>
      <c r="Q87" s="317"/>
      <c r="R87" s="317"/>
      <c r="S87" s="317"/>
      <c r="T87" s="317"/>
      <c r="U87" s="317"/>
      <c r="V87" s="317"/>
      <c r="W87" s="317"/>
      <c r="X87" s="317"/>
      <c r="Y87" s="317"/>
      <c r="Z87" s="317"/>
      <c r="AA87" s="317"/>
      <c r="AB87" s="317"/>
      <c r="AC87" s="317"/>
      <c r="AD87" s="317"/>
    </row>
    <row r="88" ht="20.25" customHeight="1">
      <c r="A88" s="320"/>
      <c r="B88" s="317"/>
      <c r="C88" s="317"/>
      <c r="D88" s="317"/>
      <c r="E88" s="317"/>
      <c r="F88" s="317"/>
      <c r="G88" s="317"/>
      <c r="H88" s="318"/>
      <c r="I88" s="317"/>
      <c r="J88" s="319"/>
      <c r="K88" s="317"/>
      <c r="L88" s="317"/>
      <c r="M88" s="317"/>
      <c r="N88" s="317"/>
      <c r="O88" s="317"/>
      <c r="P88" s="317"/>
      <c r="Q88" s="317"/>
      <c r="R88" s="317"/>
      <c r="S88" s="317"/>
      <c r="T88" s="317"/>
      <c r="U88" s="317"/>
      <c r="V88" s="317"/>
      <c r="W88" s="317"/>
      <c r="X88" s="317"/>
      <c r="Y88" s="317"/>
      <c r="Z88" s="317"/>
      <c r="AA88" s="317"/>
      <c r="AB88" s="317"/>
      <c r="AC88" s="317"/>
      <c r="AD88" s="317"/>
    </row>
    <row r="89" ht="20.25" customHeight="1">
      <c r="A89" s="320"/>
      <c r="B89" s="317"/>
      <c r="C89" s="317"/>
      <c r="D89" s="317"/>
      <c r="E89" s="317"/>
      <c r="F89" s="317"/>
      <c r="G89" s="317"/>
      <c r="H89" s="318"/>
      <c r="I89" s="317"/>
      <c r="J89" s="319"/>
      <c r="K89" s="317"/>
      <c r="L89" s="317"/>
      <c r="M89" s="317"/>
      <c r="N89" s="317"/>
      <c r="O89" s="317"/>
      <c r="P89" s="317"/>
      <c r="Q89" s="317"/>
      <c r="R89" s="317"/>
      <c r="S89" s="317"/>
      <c r="T89" s="317"/>
      <c r="U89" s="317"/>
      <c r="V89" s="317"/>
      <c r="W89" s="317"/>
      <c r="X89" s="317"/>
      <c r="Y89" s="317"/>
      <c r="Z89" s="317"/>
      <c r="AA89" s="317"/>
      <c r="AB89" s="317"/>
      <c r="AC89" s="317"/>
      <c r="AD89" s="317"/>
    </row>
    <row r="90" ht="20.25" customHeight="1">
      <c r="A90" s="320"/>
      <c r="B90" s="317"/>
      <c r="C90" s="317"/>
      <c r="D90" s="317"/>
      <c r="E90" s="317"/>
      <c r="F90" s="317"/>
      <c r="G90" s="317"/>
      <c r="H90" s="318"/>
      <c r="I90" s="317"/>
      <c r="J90" s="319"/>
      <c r="K90" s="317"/>
      <c r="L90" s="317"/>
      <c r="M90" s="317"/>
      <c r="N90" s="317"/>
      <c r="O90" s="317"/>
      <c r="P90" s="317"/>
      <c r="Q90" s="317"/>
      <c r="R90" s="317"/>
      <c r="S90" s="317"/>
      <c r="T90" s="317"/>
      <c r="U90" s="317"/>
      <c r="V90" s="317"/>
      <c r="W90" s="317"/>
      <c r="X90" s="317"/>
      <c r="Y90" s="317"/>
      <c r="Z90" s="317"/>
      <c r="AA90" s="317"/>
      <c r="AB90" s="317"/>
      <c r="AC90" s="317"/>
      <c r="AD90" s="317"/>
    </row>
    <row r="91" ht="20.25" customHeight="1">
      <c r="A91" s="320"/>
      <c r="B91" s="317"/>
      <c r="C91" s="317"/>
      <c r="D91" s="317"/>
      <c r="E91" s="317"/>
      <c r="F91" s="317"/>
      <c r="G91" s="317"/>
      <c r="H91" s="318"/>
      <c r="I91" s="317"/>
      <c r="J91" s="319"/>
      <c r="K91" s="317"/>
      <c r="L91" s="317"/>
      <c r="M91" s="317"/>
      <c r="N91" s="317"/>
      <c r="O91" s="317"/>
      <c r="P91" s="317"/>
      <c r="Q91" s="317"/>
      <c r="R91" s="317"/>
      <c r="S91" s="317"/>
      <c r="T91" s="317"/>
      <c r="U91" s="317"/>
      <c r="V91" s="317"/>
      <c r="W91" s="317"/>
      <c r="X91" s="317"/>
      <c r="Y91" s="317"/>
      <c r="Z91" s="317"/>
      <c r="AA91" s="317"/>
      <c r="AB91" s="317"/>
      <c r="AC91" s="317"/>
      <c r="AD91" s="317"/>
    </row>
    <row r="92" ht="20.25" customHeight="1">
      <c r="A92" s="320"/>
      <c r="B92" s="317"/>
      <c r="C92" s="317"/>
      <c r="D92" s="317"/>
      <c r="E92" s="317"/>
      <c r="F92" s="317"/>
      <c r="G92" s="317"/>
      <c r="H92" s="318"/>
      <c r="I92" s="317"/>
      <c r="J92" s="319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7"/>
      <c r="AC92" s="317"/>
      <c r="AD92" s="317"/>
    </row>
    <row r="93" ht="20.25" customHeight="1">
      <c r="A93" s="320"/>
      <c r="B93" s="317"/>
      <c r="C93" s="317"/>
      <c r="D93" s="317"/>
      <c r="E93" s="317"/>
      <c r="F93" s="317"/>
      <c r="G93" s="317"/>
      <c r="H93" s="318"/>
      <c r="I93" s="317"/>
      <c r="J93" s="319"/>
      <c r="K93" s="317"/>
      <c r="L93" s="317"/>
      <c r="M93" s="317"/>
      <c r="N93" s="317"/>
      <c r="O93" s="317"/>
      <c r="P93" s="317"/>
      <c r="Q93" s="317"/>
      <c r="R93" s="317"/>
      <c r="S93" s="317"/>
      <c r="T93" s="317"/>
      <c r="U93" s="317"/>
      <c r="V93" s="317"/>
      <c r="W93" s="317"/>
      <c r="X93" s="317"/>
      <c r="Y93" s="317"/>
      <c r="Z93" s="317"/>
      <c r="AA93" s="317"/>
      <c r="AB93" s="317"/>
      <c r="AC93" s="317"/>
      <c r="AD93" s="317"/>
    </row>
    <row r="94" ht="20.25" customHeight="1">
      <c r="A94" s="320"/>
      <c r="B94" s="317"/>
      <c r="C94" s="317"/>
      <c r="D94" s="317"/>
      <c r="E94" s="317"/>
      <c r="F94" s="317"/>
      <c r="G94" s="317"/>
      <c r="H94" s="318"/>
      <c r="I94" s="317"/>
      <c r="J94" s="319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  <c r="V94" s="317"/>
      <c r="W94" s="317"/>
      <c r="X94" s="317"/>
      <c r="Y94" s="317"/>
      <c r="Z94" s="317"/>
      <c r="AA94" s="317"/>
      <c r="AB94" s="317"/>
      <c r="AC94" s="317"/>
      <c r="AD94" s="317"/>
    </row>
    <row r="95" ht="20.25" customHeight="1">
      <c r="A95" s="320"/>
      <c r="B95" s="317"/>
      <c r="C95" s="317"/>
      <c r="D95" s="317"/>
      <c r="E95" s="317"/>
      <c r="F95" s="317"/>
      <c r="G95" s="317"/>
      <c r="H95" s="318"/>
      <c r="I95" s="317"/>
      <c r="J95" s="319"/>
      <c r="K95" s="317"/>
      <c r="L95" s="317"/>
      <c r="M95" s="317"/>
      <c r="N95" s="317"/>
      <c r="O95" s="317"/>
      <c r="P95" s="317"/>
      <c r="Q95" s="317"/>
      <c r="R95" s="317"/>
      <c r="S95" s="317"/>
      <c r="T95" s="317"/>
      <c r="U95" s="317"/>
      <c r="V95" s="317"/>
      <c r="W95" s="317"/>
      <c r="X95" s="317"/>
      <c r="Y95" s="317"/>
      <c r="Z95" s="317"/>
      <c r="AA95" s="317"/>
      <c r="AB95" s="317"/>
      <c r="AC95" s="317"/>
      <c r="AD95" s="317"/>
    </row>
    <row r="96" ht="20.25" customHeight="1">
      <c r="A96" s="320"/>
      <c r="B96" s="317"/>
      <c r="C96" s="317"/>
      <c r="D96" s="317"/>
      <c r="E96" s="317"/>
      <c r="F96" s="317"/>
      <c r="G96" s="317"/>
      <c r="H96" s="318"/>
      <c r="I96" s="317"/>
      <c r="J96" s="319"/>
      <c r="K96" s="317"/>
      <c r="L96" s="317"/>
      <c r="M96" s="317"/>
      <c r="N96" s="317"/>
      <c r="O96" s="317"/>
      <c r="P96" s="317"/>
      <c r="Q96" s="317"/>
      <c r="R96" s="317"/>
      <c r="S96" s="317"/>
      <c r="T96" s="317"/>
      <c r="U96" s="317"/>
      <c r="V96" s="317"/>
      <c r="W96" s="317"/>
      <c r="X96" s="317"/>
      <c r="Y96" s="317"/>
      <c r="Z96" s="317"/>
      <c r="AA96" s="317"/>
      <c r="AB96" s="317"/>
      <c r="AC96" s="317"/>
      <c r="AD96" s="317"/>
    </row>
    <row r="97" ht="20.25" customHeight="1">
      <c r="A97" s="320"/>
      <c r="B97" s="317"/>
      <c r="C97" s="317"/>
      <c r="D97" s="317"/>
      <c r="E97" s="317"/>
      <c r="F97" s="317"/>
      <c r="G97" s="317"/>
      <c r="H97" s="318"/>
      <c r="I97" s="317"/>
      <c r="J97" s="319"/>
      <c r="K97" s="317"/>
      <c r="L97" s="317"/>
      <c r="M97" s="317"/>
      <c r="N97" s="317"/>
      <c r="O97" s="317"/>
      <c r="P97" s="317"/>
      <c r="Q97" s="317"/>
      <c r="R97" s="317"/>
      <c r="S97" s="317"/>
      <c r="T97" s="317"/>
      <c r="U97" s="317"/>
      <c r="V97" s="317"/>
      <c r="W97" s="317"/>
      <c r="X97" s="317"/>
      <c r="Y97" s="317"/>
      <c r="Z97" s="317"/>
      <c r="AA97" s="317"/>
      <c r="AB97" s="317"/>
      <c r="AC97" s="317"/>
      <c r="AD97" s="317"/>
    </row>
    <row r="98" ht="20.25" customHeight="1">
      <c r="A98" s="320"/>
      <c r="B98" s="317"/>
      <c r="C98" s="317"/>
      <c r="D98" s="317"/>
      <c r="E98" s="317"/>
      <c r="F98" s="317"/>
      <c r="G98" s="317"/>
      <c r="H98" s="318"/>
      <c r="I98" s="317"/>
      <c r="J98" s="319"/>
      <c r="K98" s="317"/>
      <c r="L98" s="317"/>
      <c r="M98" s="317"/>
      <c r="N98" s="317"/>
      <c r="O98" s="317"/>
      <c r="P98" s="317"/>
      <c r="Q98" s="317"/>
      <c r="R98" s="317"/>
      <c r="S98" s="317"/>
      <c r="T98" s="317"/>
      <c r="U98" s="317"/>
      <c r="V98" s="317"/>
      <c r="W98" s="317"/>
      <c r="X98" s="317"/>
      <c r="Y98" s="317"/>
      <c r="Z98" s="317"/>
      <c r="AA98" s="317"/>
      <c r="AB98" s="317"/>
      <c r="AC98" s="317"/>
      <c r="AD98" s="317"/>
    </row>
    <row r="99" ht="20.25" customHeight="1">
      <c r="A99" s="320"/>
      <c r="B99" s="317"/>
      <c r="C99" s="317"/>
      <c r="D99" s="317"/>
      <c r="E99" s="317"/>
      <c r="F99" s="317"/>
      <c r="G99" s="317"/>
      <c r="H99" s="318"/>
      <c r="I99" s="317"/>
      <c r="J99" s="319"/>
      <c r="K99" s="317"/>
      <c r="L99" s="317"/>
      <c r="M99" s="317"/>
      <c r="N99" s="317"/>
      <c r="O99" s="317"/>
      <c r="P99" s="317"/>
      <c r="Q99" s="317"/>
      <c r="R99" s="317"/>
      <c r="S99" s="317"/>
      <c r="T99" s="317"/>
      <c r="U99" s="317"/>
      <c r="V99" s="317"/>
      <c r="W99" s="317"/>
      <c r="X99" s="317"/>
      <c r="Y99" s="317"/>
      <c r="Z99" s="317"/>
      <c r="AA99" s="317"/>
      <c r="AB99" s="317"/>
      <c r="AC99" s="317"/>
      <c r="AD99" s="317"/>
    </row>
    <row r="100" ht="20.25" customHeight="1">
      <c r="A100" s="320"/>
      <c r="B100" s="317"/>
      <c r="C100" s="317"/>
      <c r="D100" s="317"/>
      <c r="E100" s="317"/>
      <c r="F100" s="317"/>
      <c r="G100" s="317"/>
      <c r="H100" s="318"/>
      <c r="I100" s="317"/>
      <c r="J100" s="319"/>
      <c r="K100" s="317"/>
      <c r="L100" s="317"/>
      <c r="M100" s="317"/>
      <c r="N100" s="317"/>
      <c r="O100" s="317"/>
      <c r="P100" s="317"/>
      <c r="Q100" s="317"/>
      <c r="R100" s="317"/>
      <c r="S100" s="317"/>
      <c r="T100" s="317"/>
      <c r="U100" s="317"/>
      <c r="V100" s="317"/>
      <c r="W100" s="317"/>
      <c r="X100" s="317"/>
      <c r="Y100" s="317"/>
      <c r="Z100" s="317"/>
      <c r="AA100" s="317"/>
      <c r="AB100" s="317"/>
      <c r="AC100" s="317"/>
      <c r="AD100" s="317"/>
    </row>
    <row r="101" ht="20.25" customHeight="1">
      <c r="A101" s="320"/>
      <c r="B101" s="317"/>
      <c r="C101" s="317"/>
      <c r="D101" s="317"/>
      <c r="E101" s="317"/>
      <c r="F101" s="317"/>
      <c r="G101" s="317"/>
      <c r="H101" s="318"/>
      <c r="I101" s="317"/>
      <c r="J101" s="319"/>
      <c r="K101" s="317"/>
      <c r="L101" s="317"/>
      <c r="M101" s="317"/>
      <c r="N101" s="317"/>
      <c r="O101" s="317"/>
      <c r="P101" s="317"/>
      <c r="Q101" s="317"/>
      <c r="R101" s="317"/>
      <c r="S101" s="317"/>
      <c r="T101" s="317"/>
      <c r="U101" s="317"/>
      <c r="V101" s="317"/>
      <c r="W101" s="317"/>
      <c r="X101" s="317"/>
      <c r="Y101" s="317"/>
      <c r="Z101" s="317"/>
      <c r="AA101" s="317"/>
      <c r="AB101" s="317"/>
      <c r="AC101" s="317"/>
      <c r="AD101" s="317"/>
    </row>
    <row r="102" ht="20.25" customHeight="1">
      <c r="A102" s="320"/>
      <c r="B102" s="317"/>
      <c r="C102" s="317"/>
      <c r="D102" s="317"/>
      <c r="E102" s="317"/>
      <c r="F102" s="317"/>
      <c r="G102" s="317"/>
      <c r="H102" s="318"/>
      <c r="I102" s="317"/>
      <c r="J102" s="319"/>
      <c r="K102" s="317"/>
      <c r="L102" s="317"/>
      <c r="M102" s="317"/>
      <c r="N102" s="317"/>
      <c r="O102" s="317"/>
      <c r="P102" s="317"/>
      <c r="Q102" s="317"/>
      <c r="R102" s="317"/>
      <c r="S102" s="317"/>
      <c r="T102" s="317"/>
      <c r="U102" s="317"/>
      <c r="V102" s="317"/>
      <c r="W102" s="317"/>
      <c r="X102" s="317"/>
      <c r="Y102" s="317"/>
      <c r="Z102" s="317"/>
      <c r="AA102" s="317"/>
      <c r="AB102" s="317"/>
      <c r="AC102" s="317"/>
      <c r="AD102" s="317"/>
    </row>
    <row r="103" ht="20.25" customHeight="1">
      <c r="A103" s="320"/>
      <c r="B103" s="317"/>
      <c r="C103" s="317"/>
      <c r="D103" s="317"/>
      <c r="E103" s="317"/>
      <c r="F103" s="317"/>
      <c r="G103" s="317"/>
      <c r="H103" s="318"/>
      <c r="I103" s="317"/>
      <c r="J103" s="319"/>
      <c r="K103" s="317"/>
      <c r="L103" s="317"/>
      <c r="M103" s="317"/>
      <c r="N103" s="317"/>
      <c r="O103" s="317"/>
      <c r="P103" s="317"/>
      <c r="Q103" s="317"/>
      <c r="R103" s="317"/>
      <c r="S103" s="317"/>
      <c r="T103" s="317"/>
      <c r="U103" s="317"/>
      <c r="V103" s="317"/>
      <c r="W103" s="317"/>
      <c r="X103" s="317"/>
      <c r="Y103" s="317"/>
      <c r="Z103" s="317"/>
      <c r="AA103" s="317"/>
      <c r="AB103" s="317"/>
      <c r="AC103" s="317"/>
      <c r="AD103" s="317"/>
    </row>
    <row r="104" ht="20.25" customHeight="1">
      <c r="A104" s="320"/>
      <c r="B104" s="317"/>
      <c r="C104" s="317"/>
      <c r="D104" s="317"/>
      <c r="E104" s="317"/>
      <c r="F104" s="317"/>
      <c r="G104" s="317"/>
      <c r="H104" s="318"/>
      <c r="I104" s="317"/>
      <c r="J104" s="319"/>
      <c r="K104" s="317"/>
      <c r="L104" s="317"/>
      <c r="M104" s="317"/>
      <c r="N104" s="317"/>
      <c r="O104" s="317"/>
      <c r="P104" s="317"/>
      <c r="Q104" s="317"/>
      <c r="R104" s="317"/>
      <c r="S104" s="317"/>
      <c r="T104" s="317"/>
      <c r="U104" s="317"/>
      <c r="V104" s="317"/>
      <c r="W104" s="317"/>
      <c r="X104" s="317"/>
      <c r="Y104" s="317"/>
      <c r="Z104" s="317"/>
      <c r="AA104" s="317"/>
      <c r="AB104" s="317"/>
      <c r="AC104" s="317"/>
      <c r="AD104" s="317"/>
    </row>
    <row r="105" ht="20.25" customHeight="1">
      <c r="A105" s="320"/>
      <c r="B105" s="317"/>
      <c r="C105" s="317"/>
      <c r="D105" s="317"/>
      <c r="E105" s="317"/>
      <c r="F105" s="317"/>
      <c r="G105" s="317"/>
      <c r="H105" s="318"/>
      <c r="I105" s="317"/>
      <c r="J105" s="319"/>
      <c r="K105" s="317"/>
      <c r="L105" s="317"/>
      <c r="M105" s="317"/>
      <c r="N105" s="317"/>
      <c r="O105" s="317"/>
      <c r="P105" s="317"/>
      <c r="Q105" s="317"/>
      <c r="R105" s="317"/>
      <c r="S105" s="317"/>
      <c r="T105" s="317"/>
      <c r="U105" s="317"/>
      <c r="V105" s="317"/>
      <c r="W105" s="317"/>
      <c r="X105" s="317"/>
      <c r="Y105" s="317"/>
      <c r="Z105" s="317"/>
      <c r="AA105" s="317"/>
      <c r="AB105" s="317"/>
      <c r="AC105" s="317"/>
      <c r="AD105" s="317"/>
    </row>
    <row r="106" ht="20.25" customHeight="1">
      <c r="A106" s="320"/>
      <c r="B106" s="317"/>
      <c r="C106" s="317"/>
      <c r="D106" s="317"/>
      <c r="E106" s="317"/>
      <c r="F106" s="317"/>
      <c r="G106" s="317"/>
      <c r="H106" s="318"/>
      <c r="I106" s="317"/>
      <c r="J106" s="319"/>
      <c r="K106" s="317"/>
      <c r="L106" s="317"/>
      <c r="M106" s="317"/>
      <c r="N106" s="317"/>
      <c r="O106" s="317"/>
      <c r="P106" s="317"/>
      <c r="Q106" s="317"/>
      <c r="R106" s="317"/>
      <c r="S106" s="317"/>
      <c r="T106" s="317"/>
      <c r="U106" s="317"/>
      <c r="V106" s="317"/>
      <c r="W106" s="317"/>
      <c r="X106" s="317"/>
      <c r="Y106" s="317"/>
      <c r="Z106" s="317"/>
      <c r="AA106" s="317"/>
      <c r="AB106" s="317"/>
      <c r="AC106" s="317"/>
      <c r="AD106" s="317"/>
    </row>
    <row r="107" ht="20.25" customHeight="1">
      <c r="A107" s="320"/>
      <c r="B107" s="317"/>
      <c r="C107" s="317"/>
      <c r="D107" s="317"/>
      <c r="E107" s="317"/>
      <c r="F107" s="317"/>
      <c r="G107" s="317"/>
      <c r="H107" s="318"/>
      <c r="I107" s="317"/>
      <c r="J107" s="319"/>
      <c r="K107" s="317"/>
      <c r="L107" s="317"/>
      <c r="M107" s="317"/>
      <c r="N107" s="317"/>
      <c r="O107" s="317"/>
      <c r="P107" s="317"/>
      <c r="Q107" s="317"/>
      <c r="R107" s="317"/>
      <c r="S107" s="317"/>
      <c r="T107" s="317"/>
      <c r="U107" s="317"/>
      <c r="V107" s="317"/>
      <c r="W107" s="317"/>
      <c r="X107" s="317"/>
      <c r="Y107" s="317"/>
      <c r="Z107" s="317"/>
      <c r="AA107" s="317"/>
      <c r="AB107" s="317"/>
      <c r="AC107" s="317"/>
      <c r="AD107" s="317"/>
    </row>
    <row r="108" ht="20.25" customHeight="1">
      <c r="A108" s="320"/>
      <c r="B108" s="317"/>
      <c r="C108" s="317"/>
      <c r="D108" s="317"/>
      <c r="E108" s="317"/>
      <c r="F108" s="317"/>
      <c r="G108" s="317"/>
      <c r="H108" s="318"/>
      <c r="I108" s="317"/>
      <c r="J108" s="319"/>
      <c r="K108" s="317"/>
      <c r="L108" s="317"/>
      <c r="M108" s="317"/>
      <c r="N108" s="317"/>
      <c r="O108" s="317"/>
      <c r="P108" s="317"/>
      <c r="Q108" s="317"/>
      <c r="R108" s="317"/>
      <c r="S108" s="317"/>
      <c r="T108" s="317"/>
      <c r="U108" s="317"/>
      <c r="V108" s="317"/>
      <c r="W108" s="317"/>
      <c r="X108" s="317"/>
      <c r="Y108" s="317"/>
      <c r="Z108" s="317"/>
      <c r="AA108" s="317"/>
      <c r="AB108" s="317"/>
      <c r="AC108" s="317"/>
      <c r="AD108" s="317"/>
    </row>
    <row r="109" ht="20.25" customHeight="1">
      <c r="A109" s="320"/>
      <c r="B109" s="317"/>
      <c r="C109" s="317"/>
      <c r="D109" s="317"/>
      <c r="E109" s="317"/>
      <c r="F109" s="317"/>
      <c r="G109" s="317"/>
      <c r="H109" s="318"/>
      <c r="I109" s="317"/>
      <c r="J109" s="319"/>
      <c r="K109" s="317"/>
      <c r="L109" s="317"/>
      <c r="M109" s="317"/>
      <c r="N109" s="317"/>
      <c r="O109" s="317"/>
      <c r="P109" s="317"/>
      <c r="Q109" s="317"/>
      <c r="R109" s="317"/>
      <c r="S109" s="317"/>
      <c r="T109" s="317"/>
      <c r="U109" s="317"/>
      <c r="V109" s="317"/>
      <c r="W109" s="317"/>
      <c r="X109" s="317"/>
      <c r="Y109" s="317"/>
      <c r="Z109" s="317"/>
      <c r="AA109" s="317"/>
      <c r="AB109" s="317"/>
      <c r="AC109" s="317"/>
      <c r="AD109" s="317"/>
    </row>
    <row r="110" ht="20.25" customHeight="1">
      <c r="A110" s="320"/>
      <c r="B110" s="317"/>
      <c r="C110" s="317"/>
      <c r="D110" s="317"/>
      <c r="E110" s="317"/>
      <c r="F110" s="317"/>
      <c r="G110" s="317"/>
      <c r="H110" s="318"/>
      <c r="I110" s="317"/>
      <c r="J110" s="319"/>
      <c r="K110" s="317"/>
      <c r="L110" s="317"/>
      <c r="M110" s="317"/>
      <c r="N110" s="317"/>
      <c r="O110" s="317"/>
      <c r="P110" s="317"/>
      <c r="Q110" s="317"/>
      <c r="R110" s="317"/>
      <c r="S110" s="317"/>
      <c r="T110" s="317"/>
      <c r="U110" s="317"/>
      <c r="V110" s="317"/>
      <c r="W110" s="317"/>
      <c r="X110" s="317"/>
      <c r="Y110" s="317"/>
      <c r="Z110" s="317"/>
      <c r="AA110" s="317"/>
      <c r="AB110" s="317"/>
      <c r="AC110" s="317"/>
      <c r="AD110" s="317"/>
    </row>
    <row r="111" ht="20.25" customHeight="1">
      <c r="A111" s="320"/>
      <c r="B111" s="317"/>
      <c r="C111" s="317"/>
      <c r="D111" s="317"/>
      <c r="E111" s="317"/>
      <c r="F111" s="317"/>
      <c r="G111" s="317"/>
      <c r="H111" s="318"/>
      <c r="I111" s="317"/>
      <c r="J111" s="319"/>
      <c r="K111" s="317"/>
      <c r="L111" s="317"/>
      <c r="M111" s="317"/>
      <c r="N111" s="317"/>
      <c r="O111" s="317"/>
      <c r="P111" s="317"/>
      <c r="Q111" s="317"/>
      <c r="R111" s="317"/>
      <c r="S111" s="317"/>
      <c r="T111" s="317"/>
      <c r="U111" s="317"/>
      <c r="V111" s="317"/>
      <c r="W111" s="317"/>
      <c r="X111" s="317"/>
      <c r="Y111" s="317"/>
      <c r="Z111" s="317"/>
      <c r="AA111" s="317"/>
      <c r="AB111" s="317"/>
      <c r="AC111" s="317"/>
      <c r="AD111" s="317"/>
    </row>
    <row r="112" ht="20.25" customHeight="1">
      <c r="A112" s="320"/>
      <c r="B112" s="317"/>
      <c r="C112" s="317"/>
      <c r="D112" s="317"/>
      <c r="E112" s="317"/>
      <c r="F112" s="317"/>
      <c r="G112" s="317"/>
      <c r="H112" s="318"/>
      <c r="I112" s="317"/>
      <c r="J112" s="319"/>
      <c r="K112" s="317"/>
      <c r="L112" s="317"/>
      <c r="M112" s="317"/>
      <c r="N112" s="317"/>
      <c r="O112" s="317"/>
      <c r="P112" s="317"/>
      <c r="Q112" s="317"/>
      <c r="R112" s="317"/>
      <c r="S112" s="317"/>
      <c r="T112" s="317"/>
      <c r="U112" s="317"/>
      <c r="V112" s="317"/>
      <c r="W112" s="317"/>
      <c r="X112" s="317"/>
      <c r="Y112" s="317"/>
      <c r="Z112" s="317"/>
      <c r="AA112" s="317"/>
      <c r="AB112" s="317"/>
      <c r="AC112" s="317"/>
      <c r="AD112" s="317"/>
    </row>
    <row r="113" ht="20.25" customHeight="1">
      <c r="A113" s="320"/>
      <c r="B113" s="317"/>
      <c r="C113" s="317"/>
      <c r="D113" s="317"/>
      <c r="E113" s="317"/>
      <c r="F113" s="317"/>
      <c r="G113" s="317"/>
      <c r="H113" s="318"/>
      <c r="I113" s="317"/>
      <c r="J113" s="319"/>
      <c r="K113" s="317"/>
      <c r="L113" s="317"/>
      <c r="M113" s="317"/>
      <c r="N113" s="317"/>
      <c r="O113" s="317"/>
      <c r="P113" s="317"/>
      <c r="Q113" s="317"/>
      <c r="R113" s="317"/>
      <c r="S113" s="317"/>
      <c r="T113" s="317"/>
      <c r="U113" s="317"/>
      <c r="V113" s="317"/>
      <c r="W113" s="317"/>
      <c r="X113" s="317"/>
      <c r="Y113" s="317"/>
      <c r="Z113" s="317"/>
      <c r="AA113" s="317"/>
      <c r="AB113" s="317"/>
      <c r="AC113" s="317"/>
      <c r="AD113" s="317"/>
    </row>
    <row r="114" ht="20.25" customHeight="1">
      <c r="A114" s="320"/>
      <c r="B114" s="317"/>
      <c r="C114" s="317"/>
      <c r="D114" s="317"/>
      <c r="E114" s="317"/>
      <c r="F114" s="317"/>
      <c r="G114" s="317"/>
      <c r="H114" s="318"/>
      <c r="I114" s="317"/>
      <c r="J114" s="319"/>
      <c r="K114" s="317"/>
      <c r="L114" s="317"/>
      <c r="M114" s="317"/>
      <c r="N114" s="317"/>
      <c r="O114" s="317"/>
      <c r="P114" s="317"/>
      <c r="Q114" s="317"/>
      <c r="R114" s="317"/>
      <c r="S114" s="317"/>
      <c r="T114" s="317"/>
      <c r="U114" s="317"/>
      <c r="V114" s="317"/>
      <c r="W114" s="317"/>
      <c r="X114" s="317"/>
      <c r="Y114" s="317"/>
      <c r="Z114" s="317"/>
      <c r="AA114" s="317"/>
      <c r="AB114" s="317"/>
      <c r="AC114" s="317"/>
      <c r="AD114" s="317"/>
    </row>
    <row r="115" ht="20.25" customHeight="1">
      <c r="A115" s="320"/>
      <c r="B115" s="317"/>
      <c r="C115" s="317"/>
      <c r="D115" s="317"/>
      <c r="E115" s="317"/>
      <c r="F115" s="317"/>
      <c r="G115" s="317"/>
      <c r="H115" s="318"/>
      <c r="I115" s="317"/>
      <c r="J115" s="319"/>
      <c r="K115" s="317"/>
      <c r="L115" s="317"/>
      <c r="M115" s="317"/>
      <c r="N115" s="317"/>
      <c r="O115" s="317"/>
      <c r="P115" s="317"/>
      <c r="Q115" s="317"/>
      <c r="R115" s="317"/>
      <c r="S115" s="317"/>
      <c r="T115" s="317"/>
      <c r="U115" s="317"/>
      <c r="V115" s="317"/>
      <c r="W115" s="317"/>
      <c r="X115" s="317"/>
      <c r="Y115" s="317"/>
      <c r="Z115" s="317"/>
      <c r="AA115" s="317"/>
      <c r="AB115" s="317"/>
      <c r="AC115" s="317"/>
      <c r="AD115" s="317"/>
    </row>
    <row r="116" ht="20.25" customHeight="1">
      <c r="A116" s="320"/>
      <c r="B116" s="317"/>
      <c r="C116" s="317"/>
      <c r="D116" s="317"/>
      <c r="E116" s="317"/>
      <c r="F116" s="317"/>
      <c r="G116" s="317"/>
      <c r="H116" s="318"/>
      <c r="I116" s="317"/>
      <c r="J116" s="319"/>
      <c r="K116" s="317"/>
      <c r="L116" s="317"/>
      <c r="M116" s="317"/>
      <c r="N116" s="317"/>
      <c r="O116" s="317"/>
      <c r="P116" s="317"/>
      <c r="Q116" s="317"/>
      <c r="R116" s="317"/>
      <c r="S116" s="317"/>
      <c r="T116" s="317"/>
      <c r="U116" s="317"/>
      <c r="V116" s="317"/>
      <c r="W116" s="317"/>
      <c r="X116" s="317"/>
      <c r="Y116" s="317"/>
      <c r="Z116" s="317"/>
      <c r="AA116" s="317"/>
      <c r="AB116" s="317"/>
      <c r="AC116" s="317"/>
      <c r="AD116" s="317"/>
    </row>
    <row r="117" ht="20.25" customHeight="1">
      <c r="A117" s="320"/>
      <c r="B117" s="317"/>
      <c r="C117" s="317"/>
      <c r="D117" s="317"/>
      <c r="E117" s="317"/>
      <c r="F117" s="317"/>
      <c r="G117" s="317"/>
      <c r="H117" s="318"/>
      <c r="I117" s="317"/>
      <c r="J117" s="319"/>
      <c r="K117" s="317"/>
      <c r="L117" s="317"/>
      <c r="M117" s="317"/>
      <c r="N117" s="317"/>
      <c r="O117" s="317"/>
      <c r="P117" s="317"/>
      <c r="Q117" s="317"/>
      <c r="R117" s="317"/>
      <c r="S117" s="317"/>
      <c r="T117" s="317"/>
      <c r="U117" s="317"/>
      <c r="V117" s="317"/>
      <c r="W117" s="317"/>
      <c r="X117" s="317"/>
      <c r="Y117" s="317"/>
      <c r="Z117" s="317"/>
      <c r="AA117" s="317"/>
      <c r="AB117" s="317"/>
      <c r="AC117" s="317"/>
      <c r="AD117" s="317"/>
    </row>
    <row r="118" ht="20.25" customHeight="1">
      <c r="A118" s="320"/>
      <c r="B118" s="317"/>
      <c r="C118" s="317"/>
      <c r="D118" s="317"/>
      <c r="E118" s="317"/>
      <c r="F118" s="317"/>
      <c r="G118" s="317"/>
      <c r="H118" s="318"/>
      <c r="I118" s="317"/>
      <c r="J118" s="319"/>
      <c r="K118" s="317"/>
      <c r="L118" s="317"/>
      <c r="M118" s="317"/>
      <c r="N118" s="317"/>
      <c r="O118" s="317"/>
      <c r="P118" s="317"/>
      <c r="Q118" s="317"/>
      <c r="R118" s="317"/>
      <c r="S118" s="317"/>
      <c r="T118" s="317"/>
      <c r="U118" s="317"/>
      <c r="V118" s="317"/>
      <c r="W118" s="317"/>
      <c r="X118" s="317"/>
      <c r="Y118" s="317"/>
      <c r="Z118" s="317"/>
      <c r="AA118" s="317"/>
      <c r="AB118" s="317"/>
      <c r="AC118" s="317"/>
      <c r="AD118" s="317"/>
    </row>
    <row r="119" ht="20.25" customHeight="1">
      <c r="A119" s="320"/>
      <c r="B119" s="317"/>
      <c r="C119" s="317"/>
      <c r="D119" s="317"/>
      <c r="E119" s="317"/>
      <c r="F119" s="317"/>
      <c r="G119" s="317"/>
      <c r="H119" s="318"/>
      <c r="I119" s="317"/>
      <c r="J119" s="319"/>
      <c r="K119" s="317"/>
      <c r="L119" s="317"/>
      <c r="M119" s="317"/>
      <c r="N119" s="317"/>
      <c r="O119" s="317"/>
      <c r="P119" s="317"/>
      <c r="Q119" s="317"/>
      <c r="R119" s="317"/>
      <c r="S119" s="317"/>
      <c r="T119" s="317"/>
      <c r="U119" s="317"/>
      <c r="V119" s="317"/>
      <c r="W119" s="317"/>
      <c r="X119" s="317"/>
      <c r="Y119" s="317"/>
      <c r="Z119" s="317"/>
      <c r="AA119" s="317"/>
      <c r="AB119" s="317"/>
      <c r="AC119" s="317"/>
      <c r="AD119" s="317"/>
    </row>
    <row r="120" ht="20.25" customHeight="1">
      <c r="A120" s="320"/>
      <c r="B120" s="317"/>
      <c r="C120" s="317"/>
      <c r="D120" s="317"/>
      <c r="E120" s="317"/>
      <c r="F120" s="317"/>
      <c r="G120" s="317"/>
      <c r="H120" s="318"/>
      <c r="I120" s="317"/>
      <c r="J120" s="319"/>
      <c r="K120" s="317"/>
      <c r="L120" s="317"/>
      <c r="M120" s="317"/>
      <c r="N120" s="317"/>
      <c r="O120" s="317"/>
      <c r="P120" s="317"/>
      <c r="Q120" s="317"/>
      <c r="R120" s="317"/>
      <c r="S120" s="317"/>
      <c r="T120" s="317"/>
      <c r="U120" s="317"/>
      <c r="V120" s="317"/>
      <c r="W120" s="317"/>
      <c r="X120" s="317"/>
      <c r="Y120" s="317"/>
      <c r="Z120" s="317"/>
      <c r="AA120" s="317"/>
      <c r="AB120" s="317"/>
      <c r="AC120" s="317"/>
      <c r="AD120" s="317"/>
    </row>
    <row r="121" ht="20.25" customHeight="1">
      <c r="A121" s="320"/>
      <c r="B121" s="317"/>
      <c r="C121" s="317"/>
      <c r="D121" s="317"/>
      <c r="E121" s="317"/>
      <c r="F121" s="317"/>
      <c r="G121" s="317"/>
      <c r="H121" s="318"/>
      <c r="I121" s="317"/>
      <c r="J121" s="319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7"/>
      <c r="AC121" s="317"/>
      <c r="AD121" s="317"/>
    </row>
    <row r="122" ht="20.25" customHeight="1">
      <c r="A122" s="320"/>
      <c r="B122" s="317"/>
      <c r="C122" s="317"/>
      <c r="D122" s="317"/>
      <c r="E122" s="317"/>
      <c r="F122" s="317"/>
      <c r="G122" s="317"/>
      <c r="H122" s="318"/>
      <c r="I122" s="317"/>
      <c r="J122" s="319"/>
      <c r="K122" s="317"/>
      <c r="L122" s="317"/>
      <c r="M122" s="317"/>
      <c r="N122" s="317"/>
      <c r="O122" s="317"/>
      <c r="P122" s="317"/>
      <c r="Q122" s="317"/>
      <c r="R122" s="317"/>
      <c r="S122" s="317"/>
      <c r="T122" s="317"/>
      <c r="U122" s="317"/>
      <c r="V122" s="317"/>
      <c r="W122" s="317"/>
      <c r="X122" s="317"/>
      <c r="Y122" s="317"/>
      <c r="Z122" s="317"/>
      <c r="AA122" s="317"/>
      <c r="AB122" s="317"/>
      <c r="AC122" s="317"/>
      <c r="AD122" s="317"/>
    </row>
    <row r="123" ht="20.25" customHeight="1">
      <c r="A123" s="320"/>
      <c r="B123" s="317"/>
      <c r="C123" s="317"/>
      <c r="D123" s="317"/>
      <c r="E123" s="317"/>
      <c r="F123" s="317"/>
      <c r="G123" s="317"/>
      <c r="H123" s="318"/>
      <c r="I123" s="317"/>
      <c r="J123" s="319"/>
      <c r="K123" s="317"/>
      <c r="L123" s="317"/>
      <c r="M123" s="317"/>
      <c r="N123" s="317"/>
      <c r="O123" s="317"/>
      <c r="P123" s="317"/>
      <c r="Q123" s="317"/>
      <c r="R123" s="317"/>
      <c r="S123" s="317"/>
      <c r="T123" s="317"/>
      <c r="U123" s="317"/>
      <c r="V123" s="317"/>
      <c r="W123" s="317"/>
      <c r="X123" s="317"/>
      <c r="Y123" s="317"/>
      <c r="Z123" s="317"/>
      <c r="AA123" s="317"/>
      <c r="AB123" s="317"/>
      <c r="AC123" s="317"/>
      <c r="AD123" s="317"/>
    </row>
    <row r="124" ht="20.25" customHeight="1">
      <c r="A124" s="320"/>
      <c r="B124" s="317"/>
      <c r="C124" s="317"/>
      <c r="D124" s="317"/>
      <c r="E124" s="317"/>
      <c r="F124" s="317"/>
      <c r="G124" s="317"/>
      <c r="H124" s="318"/>
      <c r="I124" s="317"/>
      <c r="J124" s="319"/>
      <c r="K124" s="317"/>
      <c r="L124" s="317"/>
      <c r="M124" s="317"/>
      <c r="N124" s="317"/>
      <c r="O124" s="317"/>
      <c r="P124" s="317"/>
      <c r="Q124" s="317"/>
      <c r="R124" s="317"/>
      <c r="S124" s="317"/>
      <c r="T124" s="317"/>
      <c r="U124" s="317"/>
      <c r="V124" s="317"/>
      <c r="W124" s="317"/>
      <c r="X124" s="317"/>
      <c r="Y124" s="317"/>
      <c r="Z124" s="317"/>
      <c r="AA124" s="317"/>
      <c r="AB124" s="317"/>
      <c r="AC124" s="317"/>
      <c r="AD124" s="317"/>
    </row>
    <row r="125" ht="20.25" customHeight="1">
      <c r="A125" s="320"/>
      <c r="B125" s="317"/>
      <c r="C125" s="317"/>
      <c r="D125" s="317"/>
      <c r="E125" s="317"/>
      <c r="F125" s="317"/>
      <c r="G125" s="317"/>
      <c r="H125" s="318"/>
      <c r="I125" s="317"/>
      <c r="J125" s="319"/>
      <c r="K125" s="317"/>
      <c r="L125" s="317"/>
      <c r="M125" s="317"/>
      <c r="N125" s="317"/>
      <c r="O125" s="317"/>
      <c r="P125" s="317"/>
      <c r="Q125" s="317"/>
      <c r="R125" s="317"/>
      <c r="S125" s="317"/>
      <c r="T125" s="317"/>
      <c r="U125" s="317"/>
      <c r="V125" s="317"/>
      <c r="W125" s="317"/>
      <c r="X125" s="317"/>
      <c r="Y125" s="317"/>
      <c r="Z125" s="317"/>
      <c r="AA125" s="317"/>
      <c r="AB125" s="317"/>
      <c r="AC125" s="317"/>
      <c r="AD125" s="317"/>
    </row>
    <row r="126" ht="20.25" customHeight="1">
      <c r="A126" s="320"/>
      <c r="B126" s="317"/>
      <c r="C126" s="317"/>
      <c r="D126" s="317"/>
      <c r="E126" s="317"/>
      <c r="F126" s="317"/>
      <c r="G126" s="317"/>
      <c r="H126" s="318"/>
      <c r="I126" s="317"/>
      <c r="J126" s="319"/>
      <c r="K126" s="317"/>
      <c r="L126" s="317"/>
      <c r="M126" s="317"/>
      <c r="N126" s="317"/>
      <c r="O126" s="317"/>
      <c r="P126" s="317"/>
      <c r="Q126" s="317"/>
      <c r="R126" s="317"/>
      <c r="S126" s="317"/>
      <c r="T126" s="317"/>
      <c r="U126" s="317"/>
      <c r="V126" s="317"/>
      <c r="W126" s="317"/>
      <c r="X126" s="317"/>
      <c r="Y126" s="317"/>
      <c r="Z126" s="317"/>
      <c r="AA126" s="317"/>
      <c r="AB126" s="317"/>
      <c r="AC126" s="317"/>
      <c r="AD126" s="317"/>
    </row>
    <row r="127" ht="20.25" customHeight="1">
      <c r="A127" s="320"/>
      <c r="B127" s="317"/>
      <c r="C127" s="317"/>
      <c r="D127" s="317"/>
      <c r="E127" s="317"/>
      <c r="F127" s="317"/>
      <c r="G127" s="317"/>
      <c r="H127" s="318"/>
      <c r="I127" s="317"/>
      <c r="J127" s="319"/>
      <c r="K127" s="317"/>
      <c r="L127" s="317"/>
      <c r="M127" s="317"/>
      <c r="N127" s="317"/>
      <c r="O127" s="317"/>
      <c r="P127" s="317"/>
      <c r="Q127" s="317"/>
      <c r="R127" s="317"/>
      <c r="S127" s="317"/>
      <c r="T127" s="317"/>
      <c r="U127" s="317"/>
      <c r="V127" s="317"/>
      <c r="W127" s="317"/>
      <c r="X127" s="317"/>
      <c r="Y127" s="317"/>
      <c r="Z127" s="317"/>
      <c r="AA127" s="317"/>
      <c r="AB127" s="317"/>
      <c r="AC127" s="317"/>
      <c r="AD127" s="317"/>
    </row>
    <row r="128" ht="20.25" customHeight="1">
      <c r="A128" s="320"/>
      <c r="B128" s="317"/>
      <c r="C128" s="317"/>
      <c r="D128" s="317"/>
      <c r="E128" s="317"/>
      <c r="F128" s="317"/>
      <c r="G128" s="317"/>
      <c r="H128" s="318"/>
      <c r="I128" s="317"/>
      <c r="J128" s="319"/>
      <c r="K128" s="317"/>
      <c r="L128" s="317"/>
      <c r="M128" s="317"/>
      <c r="N128" s="317"/>
      <c r="O128" s="317"/>
      <c r="P128" s="317"/>
      <c r="Q128" s="317"/>
      <c r="R128" s="317"/>
      <c r="S128" s="317"/>
      <c r="T128" s="317"/>
      <c r="U128" s="317"/>
      <c r="V128" s="317"/>
      <c r="W128" s="317"/>
      <c r="X128" s="317"/>
      <c r="Y128" s="317"/>
      <c r="Z128" s="317"/>
      <c r="AA128" s="317"/>
      <c r="AB128" s="317"/>
      <c r="AC128" s="317"/>
      <c r="AD128" s="317"/>
    </row>
    <row r="129" ht="20.25" customHeight="1">
      <c r="A129" s="320"/>
      <c r="B129" s="317"/>
      <c r="C129" s="317"/>
      <c r="D129" s="317"/>
      <c r="E129" s="317"/>
      <c r="F129" s="317"/>
      <c r="G129" s="317"/>
      <c r="H129" s="318"/>
      <c r="I129" s="317"/>
      <c r="J129" s="319"/>
      <c r="K129" s="317"/>
      <c r="L129" s="317"/>
      <c r="M129" s="317"/>
      <c r="N129" s="317"/>
      <c r="O129" s="317"/>
      <c r="P129" s="317"/>
      <c r="Q129" s="317"/>
      <c r="R129" s="317"/>
      <c r="S129" s="317"/>
      <c r="T129" s="317"/>
      <c r="U129" s="317"/>
      <c r="V129" s="317"/>
      <c r="W129" s="317"/>
      <c r="X129" s="317"/>
      <c r="Y129" s="317"/>
      <c r="Z129" s="317"/>
      <c r="AA129" s="317"/>
      <c r="AB129" s="317"/>
      <c r="AC129" s="317"/>
      <c r="AD129" s="317"/>
    </row>
    <row r="130" ht="20.25" customHeight="1">
      <c r="A130" s="320"/>
      <c r="B130" s="317"/>
      <c r="C130" s="317"/>
      <c r="D130" s="317"/>
      <c r="E130" s="317"/>
      <c r="F130" s="317"/>
      <c r="G130" s="317"/>
      <c r="H130" s="318"/>
      <c r="I130" s="317"/>
      <c r="J130" s="319"/>
      <c r="K130" s="317"/>
      <c r="L130" s="317"/>
      <c r="M130" s="317"/>
      <c r="N130" s="317"/>
      <c r="O130" s="317"/>
      <c r="P130" s="317"/>
      <c r="Q130" s="317"/>
      <c r="R130" s="317"/>
      <c r="S130" s="317"/>
      <c r="T130" s="317"/>
      <c r="U130" s="317"/>
      <c r="V130" s="317"/>
      <c r="W130" s="317"/>
      <c r="X130" s="317"/>
      <c r="Y130" s="317"/>
      <c r="Z130" s="317"/>
      <c r="AA130" s="317"/>
      <c r="AB130" s="317"/>
      <c r="AC130" s="317"/>
      <c r="AD130" s="317"/>
    </row>
    <row r="131" ht="20.25" customHeight="1">
      <c r="A131" s="320"/>
      <c r="B131" s="317"/>
      <c r="C131" s="317"/>
      <c r="D131" s="317"/>
      <c r="E131" s="317"/>
      <c r="F131" s="317"/>
      <c r="G131" s="317"/>
      <c r="H131" s="318"/>
      <c r="I131" s="317"/>
      <c r="J131" s="319"/>
      <c r="K131" s="317"/>
      <c r="L131" s="317"/>
      <c r="M131" s="317"/>
      <c r="N131" s="317"/>
      <c r="O131" s="317"/>
      <c r="P131" s="317"/>
      <c r="Q131" s="317"/>
      <c r="R131" s="317"/>
      <c r="S131" s="317"/>
      <c r="T131" s="317"/>
      <c r="U131" s="317"/>
      <c r="V131" s="317"/>
      <c r="W131" s="317"/>
      <c r="X131" s="317"/>
      <c r="Y131" s="317"/>
      <c r="Z131" s="317"/>
      <c r="AA131" s="317"/>
      <c r="AB131" s="317"/>
      <c r="AC131" s="317"/>
      <c r="AD131" s="317"/>
    </row>
    <row r="132" ht="20.25" customHeight="1">
      <c r="A132" s="320"/>
      <c r="B132" s="317"/>
      <c r="C132" s="317"/>
      <c r="D132" s="317"/>
      <c r="E132" s="317"/>
      <c r="F132" s="317"/>
      <c r="G132" s="317"/>
      <c r="H132" s="318"/>
      <c r="I132" s="317"/>
      <c r="J132" s="319"/>
      <c r="K132" s="317"/>
      <c r="L132" s="317"/>
      <c r="M132" s="317"/>
      <c r="N132" s="317"/>
      <c r="O132" s="317"/>
      <c r="P132" s="317"/>
      <c r="Q132" s="317"/>
      <c r="R132" s="317"/>
      <c r="S132" s="317"/>
      <c r="T132" s="317"/>
      <c r="U132" s="317"/>
      <c r="V132" s="317"/>
      <c r="W132" s="317"/>
      <c r="X132" s="317"/>
      <c r="Y132" s="317"/>
      <c r="Z132" s="317"/>
      <c r="AA132" s="317"/>
      <c r="AB132" s="317"/>
      <c r="AC132" s="317"/>
      <c r="AD132" s="317"/>
    </row>
    <row r="133" ht="20.25" customHeight="1">
      <c r="A133" s="320"/>
      <c r="B133" s="317"/>
      <c r="C133" s="317"/>
      <c r="D133" s="317"/>
      <c r="E133" s="317"/>
      <c r="F133" s="317"/>
      <c r="G133" s="317"/>
      <c r="H133" s="318"/>
      <c r="I133" s="317"/>
      <c r="J133" s="319"/>
      <c r="K133" s="317"/>
      <c r="L133" s="317"/>
      <c r="M133" s="317"/>
      <c r="N133" s="317"/>
      <c r="O133" s="317"/>
      <c r="P133" s="317"/>
      <c r="Q133" s="317"/>
      <c r="R133" s="317"/>
      <c r="S133" s="317"/>
      <c r="T133" s="317"/>
      <c r="U133" s="317"/>
      <c r="V133" s="317"/>
      <c r="W133" s="317"/>
      <c r="X133" s="317"/>
      <c r="Y133" s="317"/>
      <c r="Z133" s="317"/>
      <c r="AA133" s="317"/>
      <c r="AB133" s="317"/>
      <c r="AC133" s="317"/>
      <c r="AD133" s="317"/>
    </row>
    <row r="134" ht="20.25" customHeight="1">
      <c r="A134" s="320"/>
      <c r="B134" s="317"/>
      <c r="C134" s="317"/>
      <c r="D134" s="317"/>
      <c r="E134" s="317"/>
      <c r="F134" s="317"/>
      <c r="G134" s="317"/>
      <c r="H134" s="318"/>
      <c r="I134" s="317"/>
      <c r="J134" s="319"/>
      <c r="K134" s="317"/>
      <c r="L134" s="317"/>
      <c r="M134" s="317"/>
      <c r="N134" s="317"/>
      <c r="O134" s="317"/>
      <c r="P134" s="317"/>
      <c r="Q134" s="317"/>
      <c r="R134" s="317"/>
      <c r="S134" s="317"/>
      <c r="T134" s="317"/>
      <c r="U134" s="317"/>
      <c r="V134" s="317"/>
      <c r="W134" s="317"/>
      <c r="X134" s="317"/>
      <c r="Y134" s="317"/>
      <c r="Z134" s="317"/>
      <c r="AA134" s="317"/>
      <c r="AB134" s="317"/>
      <c r="AC134" s="317"/>
      <c r="AD134" s="317"/>
    </row>
    <row r="135" ht="20.25" customHeight="1">
      <c r="A135" s="320"/>
      <c r="B135" s="317"/>
      <c r="C135" s="317"/>
      <c r="D135" s="317"/>
      <c r="E135" s="317"/>
      <c r="F135" s="317"/>
      <c r="G135" s="317"/>
      <c r="H135" s="318"/>
      <c r="I135" s="317"/>
      <c r="J135" s="319"/>
      <c r="K135" s="317"/>
      <c r="L135" s="317"/>
      <c r="M135" s="317"/>
      <c r="N135" s="317"/>
      <c r="O135" s="317"/>
      <c r="P135" s="317"/>
      <c r="Q135" s="317"/>
      <c r="R135" s="317"/>
      <c r="S135" s="317"/>
      <c r="T135" s="317"/>
      <c r="U135" s="317"/>
      <c r="V135" s="317"/>
      <c r="W135" s="317"/>
      <c r="X135" s="317"/>
      <c r="Y135" s="317"/>
      <c r="Z135" s="317"/>
      <c r="AA135" s="317"/>
      <c r="AB135" s="317"/>
      <c r="AC135" s="317"/>
      <c r="AD135" s="317"/>
    </row>
    <row r="136" ht="20.25" customHeight="1">
      <c r="A136" s="320"/>
      <c r="B136" s="317"/>
      <c r="C136" s="317"/>
      <c r="D136" s="317"/>
      <c r="E136" s="317"/>
      <c r="F136" s="317"/>
      <c r="G136" s="317"/>
      <c r="H136" s="318"/>
      <c r="I136" s="317"/>
      <c r="J136" s="319"/>
      <c r="K136" s="317"/>
      <c r="L136" s="317"/>
      <c r="M136" s="317"/>
      <c r="N136" s="317"/>
      <c r="O136" s="317"/>
      <c r="P136" s="317"/>
      <c r="Q136" s="317"/>
      <c r="R136" s="317"/>
      <c r="S136" s="317"/>
      <c r="T136" s="317"/>
      <c r="U136" s="317"/>
      <c r="V136" s="317"/>
      <c r="W136" s="317"/>
      <c r="X136" s="317"/>
      <c r="Y136" s="317"/>
      <c r="Z136" s="317"/>
      <c r="AA136" s="317"/>
      <c r="AB136" s="317"/>
      <c r="AC136" s="317"/>
      <c r="AD136" s="317"/>
    </row>
    <row r="137" ht="20.25" customHeight="1">
      <c r="A137" s="320"/>
      <c r="B137" s="317"/>
      <c r="C137" s="317"/>
      <c r="D137" s="317"/>
      <c r="E137" s="317"/>
      <c r="F137" s="317"/>
      <c r="G137" s="317"/>
      <c r="H137" s="318"/>
      <c r="I137" s="317"/>
      <c r="J137" s="319"/>
      <c r="K137" s="317"/>
      <c r="L137" s="317"/>
      <c r="M137" s="317"/>
      <c r="N137" s="317"/>
      <c r="O137" s="317"/>
      <c r="P137" s="317"/>
      <c r="Q137" s="317"/>
      <c r="R137" s="317"/>
      <c r="S137" s="317"/>
      <c r="T137" s="317"/>
      <c r="U137" s="317"/>
      <c r="V137" s="317"/>
      <c r="W137" s="317"/>
      <c r="X137" s="317"/>
      <c r="Y137" s="317"/>
      <c r="Z137" s="317"/>
      <c r="AA137" s="317"/>
      <c r="AB137" s="317"/>
      <c r="AC137" s="317"/>
      <c r="AD137" s="317"/>
    </row>
    <row r="138" ht="20.25" customHeight="1">
      <c r="A138" s="320"/>
      <c r="B138" s="317"/>
      <c r="C138" s="317"/>
      <c r="D138" s="317"/>
      <c r="E138" s="317"/>
      <c r="F138" s="317"/>
      <c r="G138" s="317"/>
      <c r="H138" s="318"/>
      <c r="I138" s="317"/>
      <c r="J138" s="319"/>
      <c r="K138" s="317"/>
      <c r="L138" s="317"/>
      <c r="M138" s="317"/>
      <c r="N138" s="317"/>
      <c r="O138" s="317"/>
      <c r="P138" s="317"/>
      <c r="Q138" s="317"/>
      <c r="R138" s="317"/>
      <c r="S138" s="317"/>
      <c r="T138" s="317"/>
      <c r="U138" s="317"/>
      <c r="V138" s="317"/>
      <c r="W138" s="317"/>
      <c r="X138" s="317"/>
      <c r="Y138" s="317"/>
      <c r="Z138" s="317"/>
      <c r="AA138" s="317"/>
      <c r="AB138" s="317"/>
      <c r="AC138" s="317"/>
      <c r="AD138" s="317"/>
    </row>
    <row r="139" ht="20.25" customHeight="1">
      <c r="A139" s="320"/>
      <c r="B139" s="317"/>
      <c r="C139" s="317"/>
      <c r="D139" s="317"/>
      <c r="E139" s="317"/>
      <c r="F139" s="317"/>
      <c r="G139" s="317"/>
      <c r="H139" s="318"/>
      <c r="I139" s="317"/>
      <c r="J139" s="319"/>
      <c r="K139" s="317"/>
      <c r="L139" s="317"/>
      <c r="M139" s="317"/>
      <c r="N139" s="317"/>
      <c r="O139" s="317"/>
      <c r="P139" s="317"/>
      <c r="Q139" s="317"/>
      <c r="R139" s="317"/>
      <c r="S139" s="317"/>
      <c r="T139" s="317"/>
      <c r="U139" s="317"/>
      <c r="V139" s="317"/>
      <c r="W139" s="317"/>
      <c r="X139" s="317"/>
      <c r="Y139" s="317"/>
      <c r="Z139" s="317"/>
      <c r="AA139" s="317"/>
      <c r="AB139" s="317"/>
      <c r="AC139" s="317"/>
      <c r="AD139" s="317"/>
    </row>
    <row r="140" ht="20.25" customHeight="1">
      <c r="A140" s="320"/>
      <c r="B140" s="317"/>
      <c r="C140" s="317"/>
      <c r="D140" s="317"/>
      <c r="E140" s="317"/>
      <c r="F140" s="317"/>
      <c r="G140" s="317"/>
      <c r="H140" s="318"/>
      <c r="I140" s="317"/>
      <c r="J140" s="319"/>
      <c r="K140" s="317"/>
      <c r="L140" s="317"/>
      <c r="M140" s="317"/>
      <c r="N140" s="317"/>
      <c r="O140" s="317"/>
      <c r="P140" s="317"/>
      <c r="Q140" s="317"/>
      <c r="R140" s="317"/>
      <c r="S140" s="317"/>
      <c r="T140" s="317"/>
      <c r="U140" s="317"/>
      <c r="V140" s="317"/>
      <c r="W140" s="317"/>
      <c r="X140" s="317"/>
      <c r="Y140" s="317"/>
      <c r="Z140" s="317"/>
      <c r="AA140" s="317"/>
      <c r="AB140" s="317"/>
      <c r="AC140" s="317"/>
      <c r="AD140" s="317"/>
    </row>
    <row r="141" ht="20.25" customHeight="1">
      <c r="A141" s="320"/>
      <c r="B141" s="317"/>
      <c r="C141" s="317"/>
      <c r="D141" s="317"/>
      <c r="E141" s="317"/>
      <c r="F141" s="317"/>
      <c r="G141" s="317"/>
      <c r="H141" s="318"/>
      <c r="I141" s="317"/>
      <c r="J141" s="319"/>
      <c r="K141" s="317"/>
      <c r="L141" s="317"/>
      <c r="M141" s="317"/>
      <c r="N141" s="317"/>
      <c r="O141" s="317"/>
      <c r="P141" s="317"/>
      <c r="Q141" s="317"/>
      <c r="R141" s="317"/>
      <c r="S141" s="317"/>
      <c r="T141" s="317"/>
      <c r="U141" s="317"/>
      <c r="V141" s="317"/>
      <c r="W141" s="317"/>
      <c r="X141" s="317"/>
      <c r="Y141" s="317"/>
      <c r="Z141" s="317"/>
      <c r="AA141" s="317"/>
      <c r="AB141" s="317"/>
      <c r="AC141" s="317"/>
      <c r="AD141" s="317"/>
    </row>
    <row r="142" ht="20.25" customHeight="1">
      <c r="A142" s="320"/>
      <c r="B142" s="317"/>
      <c r="C142" s="317"/>
      <c r="D142" s="317"/>
      <c r="E142" s="317"/>
      <c r="F142" s="317"/>
      <c r="G142" s="317"/>
      <c r="H142" s="318"/>
      <c r="I142" s="317"/>
      <c r="J142" s="319"/>
      <c r="K142" s="317"/>
      <c r="L142" s="317"/>
      <c r="M142" s="317"/>
      <c r="N142" s="317"/>
      <c r="O142" s="317"/>
      <c r="P142" s="317"/>
      <c r="Q142" s="317"/>
      <c r="R142" s="317"/>
      <c r="S142" s="317"/>
      <c r="T142" s="317"/>
      <c r="U142" s="317"/>
      <c r="V142" s="317"/>
      <c r="W142" s="317"/>
      <c r="X142" s="317"/>
      <c r="Y142" s="317"/>
      <c r="Z142" s="317"/>
      <c r="AA142" s="317"/>
      <c r="AB142" s="317"/>
      <c r="AC142" s="317"/>
      <c r="AD142" s="317"/>
    </row>
    <row r="143" ht="20.25" customHeight="1">
      <c r="A143" s="320"/>
      <c r="B143" s="317"/>
      <c r="C143" s="317"/>
      <c r="D143" s="317"/>
      <c r="E143" s="317"/>
      <c r="F143" s="317"/>
      <c r="G143" s="317"/>
      <c r="H143" s="318"/>
      <c r="I143" s="317"/>
      <c r="J143" s="319"/>
      <c r="K143" s="317"/>
      <c r="L143" s="317"/>
      <c r="M143" s="317"/>
      <c r="N143" s="317"/>
      <c r="O143" s="317"/>
      <c r="P143" s="317"/>
      <c r="Q143" s="317"/>
      <c r="R143" s="317"/>
      <c r="S143" s="317"/>
      <c r="T143" s="317"/>
      <c r="U143" s="317"/>
      <c r="V143" s="317"/>
      <c r="W143" s="317"/>
      <c r="X143" s="317"/>
      <c r="Y143" s="317"/>
      <c r="Z143" s="317"/>
      <c r="AA143" s="317"/>
      <c r="AB143" s="317"/>
      <c r="AC143" s="317"/>
      <c r="AD143" s="317"/>
    </row>
    <row r="144" ht="20.25" customHeight="1">
      <c r="A144" s="320"/>
      <c r="B144" s="317"/>
      <c r="C144" s="317"/>
      <c r="D144" s="317"/>
      <c r="E144" s="317"/>
      <c r="F144" s="317"/>
      <c r="G144" s="317"/>
      <c r="H144" s="318"/>
      <c r="I144" s="317"/>
      <c r="J144" s="319"/>
      <c r="K144" s="317"/>
      <c r="L144" s="317"/>
      <c r="M144" s="317"/>
      <c r="N144" s="317"/>
      <c r="O144" s="317"/>
      <c r="P144" s="317"/>
      <c r="Q144" s="317"/>
      <c r="R144" s="317"/>
      <c r="S144" s="317"/>
      <c r="T144" s="317"/>
      <c r="U144" s="317"/>
      <c r="V144" s="317"/>
      <c r="W144" s="317"/>
      <c r="X144" s="317"/>
      <c r="Y144" s="317"/>
      <c r="Z144" s="317"/>
      <c r="AA144" s="317"/>
      <c r="AB144" s="317"/>
      <c r="AC144" s="317"/>
      <c r="AD144" s="317"/>
    </row>
    <row r="145" ht="20.25" customHeight="1">
      <c r="A145" s="320"/>
      <c r="B145" s="317"/>
      <c r="C145" s="317"/>
      <c r="D145" s="317"/>
      <c r="E145" s="317"/>
      <c r="F145" s="317"/>
      <c r="G145" s="317"/>
      <c r="H145" s="318"/>
      <c r="I145" s="317"/>
      <c r="J145" s="319"/>
      <c r="K145" s="317"/>
      <c r="L145" s="317"/>
      <c r="M145" s="317"/>
      <c r="N145" s="317"/>
      <c r="O145" s="317"/>
      <c r="P145" s="317"/>
      <c r="Q145" s="317"/>
      <c r="R145" s="317"/>
      <c r="S145" s="317"/>
      <c r="T145" s="317"/>
      <c r="U145" s="317"/>
      <c r="V145" s="317"/>
      <c r="W145" s="317"/>
      <c r="X145" s="317"/>
      <c r="Y145" s="317"/>
      <c r="Z145" s="317"/>
      <c r="AA145" s="317"/>
      <c r="AB145" s="317"/>
      <c r="AC145" s="317"/>
      <c r="AD145" s="317"/>
    </row>
    <row r="146" ht="20.25" customHeight="1">
      <c r="A146" s="320"/>
      <c r="B146" s="317"/>
      <c r="C146" s="317"/>
      <c r="D146" s="317"/>
      <c r="E146" s="317"/>
      <c r="F146" s="317"/>
      <c r="G146" s="317"/>
      <c r="H146" s="318"/>
      <c r="I146" s="317"/>
      <c r="J146" s="319"/>
      <c r="K146" s="317"/>
      <c r="L146" s="317"/>
      <c r="M146" s="317"/>
      <c r="N146" s="317"/>
      <c r="O146" s="317"/>
      <c r="P146" s="317"/>
      <c r="Q146" s="317"/>
      <c r="R146" s="317"/>
      <c r="S146" s="317"/>
      <c r="T146" s="317"/>
      <c r="U146" s="317"/>
      <c r="V146" s="317"/>
      <c r="W146" s="317"/>
      <c r="X146" s="317"/>
      <c r="Y146" s="317"/>
      <c r="Z146" s="317"/>
      <c r="AA146" s="317"/>
      <c r="AB146" s="317"/>
      <c r="AC146" s="317"/>
      <c r="AD146" s="317"/>
    </row>
    <row r="147" ht="20.25" customHeight="1">
      <c r="A147" s="320"/>
      <c r="B147" s="317"/>
      <c r="C147" s="317"/>
      <c r="D147" s="317"/>
      <c r="E147" s="317"/>
      <c r="F147" s="317"/>
      <c r="G147" s="317"/>
      <c r="H147" s="318"/>
      <c r="I147" s="317"/>
      <c r="J147" s="319"/>
      <c r="K147" s="317"/>
      <c r="L147" s="317"/>
      <c r="M147" s="317"/>
      <c r="N147" s="317"/>
      <c r="O147" s="317"/>
      <c r="P147" s="317"/>
      <c r="Q147" s="317"/>
      <c r="R147" s="317"/>
      <c r="S147" s="317"/>
      <c r="T147" s="317"/>
      <c r="U147" s="317"/>
      <c r="V147" s="317"/>
      <c r="W147" s="317"/>
      <c r="X147" s="317"/>
      <c r="Y147" s="317"/>
      <c r="Z147" s="317"/>
      <c r="AA147" s="317"/>
      <c r="AB147" s="317"/>
      <c r="AC147" s="317"/>
      <c r="AD147" s="317"/>
    </row>
    <row r="148" ht="20.25" customHeight="1">
      <c r="A148" s="320"/>
      <c r="B148" s="317"/>
      <c r="C148" s="317"/>
      <c r="D148" s="317"/>
      <c r="E148" s="317"/>
      <c r="F148" s="317"/>
      <c r="G148" s="317"/>
      <c r="H148" s="318"/>
      <c r="I148" s="317"/>
      <c r="J148" s="319"/>
      <c r="K148" s="317"/>
      <c r="L148" s="317"/>
      <c r="M148" s="317"/>
      <c r="N148" s="317"/>
      <c r="O148" s="317"/>
      <c r="P148" s="317"/>
      <c r="Q148" s="317"/>
      <c r="R148" s="317"/>
      <c r="S148" s="317"/>
      <c r="T148" s="317"/>
      <c r="U148" s="317"/>
      <c r="V148" s="317"/>
      <c r="W148" s="317"/>
      <c r="X148" s="317"/>
      <c r="Y148" s="317"/>
      <c r="Z148" s="317"/>
      <c r="AA148" s="317"/>
      <c r="AB148" s="317"/>
      <c r="AC148" s="317"/>
      <c r="AD148" s="317"/>
    </row>
    <row r="149" ht="20.25" customHeight="1">
      <c r="A149" s="320"/>
      <c r="B149" s="317"/>
      <c r="C149" s="317"/>
      <c r="D149" s="317"/>
      <c r="E149" s="317"/>
      <c r="F149" s="317"/>
      <c r="G149" s="317"/>
      <c r="H149" s="318"/>
      <c r="I149" s="317"/>
      <c r="J149" s="319"/>
      <c r="K149" s="317"/>
      <c r="L149" s="317"/>
      <c r="M149" s="317"/>
      <c r="N149" s="317"/>
      <c r="O149" s="317"/>
      <c r="P149" s="317"/>
      <c r="Q149" s="317"/>
      <c r="R149" s="317"/>
      <c r="S149" s="317"/>
      <c r="T149" s="317"/>
      <c r="U149" s="317"/>
      <c r="V149" s="317"/>
      <c r="W149" s="317"/>
      <c r="X149" s="317"/>
      <c r="Y149" s="317"/>
      <c r="Z149" s="317"/>
      <c r="AA149" s="317"/>
      <c r="AB149" s="317"/>
      <c r="AC149" s="317"/>
      <c r="AD149" s="317"/>
    </row>
    <row r="150" ht="20.25" customHeight="1">
      <c r="A150" s="320"/>
      <c r="B150" s="317"/>
      <c r="C150" s="317"/>
      <c r="D150" s="317"/>
      <c r="E150" s="317"/>
      <c r="F150" s="317"/>
      <c r="G150" s="317"/>
      <c r="H150" s="318"/>
      <c r="I150" s="317"/>
      <c r="J150" s="319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7"/>
      <c r="AC150" s="317"/>
      <c r="AD150" s="317"/>
    </row>
    <row r="151" ht="20.25" customHeight="1">
      <c r="A151" s="320"/>
      <c r="B151" s="317"/>
      <c r="C151" s="317"/>
      <c r="D151" s="317"/>
      <c r="E151" s="317"/>
      <c r="F151" s="317"/>
      <c r="G151" s="317"/>
      <c r="H151" s="318"/>
      <c r="I151" s="317"/>
      <c r="J151" s="319"/>
      <c r="K151" s="317"/>
      <c r="L151" s="317"/>
      <c r="M151" s="317"/>
      <c r="N151" s="317"/>
      <c r="O151" s="317"/>
      <c r="P151" s="317"/>
      <c r="Q151" s="317"/>
      <c r="R151" s="317"/>
      <c r="S151" s="317"/>
      <c r="T151" s="317"/>
      <c r="U151" s="317"/>
      <c r="V151" s="317"/>
      <c r="W151" s="317"/>
      <c r="X151" s="317"/>
      <c r="Y151" s="317"/>
      <c r="Z151" s="317"/>
      <c r="AA151" s="317"/>
      <c r="AB151" s="317"/>
      <c r="AC151" s="317"/>
      <c r="AD151" s="317"/>
    </row>
    <row r="152" ht="20.25" customHeight="1">
      <c r="A152" s="320"/>
      <c r="B152" s="317"/>
      <c r="C152" s="317"/>
      <c r="D152" s="317"/>
      <c r="E152" s="317"/>
      <c r="F152" s="317"/>
      <c r="G152" s="317"/>
      <c r="H152" s="318"/>
      <c r="I152" s="317"/>
      <c r="J152" s="319"/>
      <c r="K152" s="317"/>
      <c r="L152" s="317"/>
      <c r="M152" s="317"/>
      <c r="N152" s="317"/>
      <c r="O152" s="317"/>
      <c r="P152" s="317"/>
      <c r="Q152" s="317"/>
      <c r="R152" s="317"/>
      <c r="S152" s="317"/>
      <c r="T152" s="317"/>
      <c r="U152" s="317"/>
      <c r="V152" s="317"/>
      <c r="W152" s="317"/>
      <c r="X152" s="317"/>
      <c r="Y152" s="317"/>
      <c r="Z152" s="317"/>
      <c r="AA152" s="317"/>
      <c r="AB152" s="317"/>
      <c r="AC152" s="317"/>
      <c r="AD152" s="317"/>
    </row>
    <row r="153" ht="20.25" customHeight="1">
      <c r="A153" s="320"/>
      <c r="B153" s="317"/>
      <c r="C153" s="317"/>
      <c r="D153" s="317"/>
      <c r="E153" s="317"/>
      <c r="F153" s="317"/>
      <c r="G153" s="317"/>
      <c r="H153" s="318"/>
      <c r="I153" s="317"/>
      <c r="J153" s="319"/>
      <c r="K153" s="317"/>
      <c r="L153" s="317"/>
      <c r="M153" s="317"/>
      <c r="N153" s="317"/>
      <c r="O153" s="317"/>
      <c r="P153" s="317"/>
      <c r="Q153" s="317"/>
      <c r="R153" s="317"/>
      <c r="S153" s="317"/>
      <c r="T153" s="317"/>
      <c r="U153" s="317"/>
      <c r="V153" s="317"/>
      <c r="W153" s="317"/>
      <c r="X153" s="317"/>
      <c r="Y153" s="317"/>
      <c r="Z153" s="317"/>
      <c r="AA153" s="317"/>
      <c r="AB153" s="317"/>
      <c r="AC153" s="317"/>
      <c r="AD153" s="317"/>
    </row>
    <row r="154" ht="20.25" customHeight="1">
      <c r="A154" s="320"/>
      <c r="B154" s="317"/>
      <c r="C154" s="317"/>
      <c r="D154" s="317"/>
      <c r="E154" s="317"/>
      <c r="F154" s="317"/>
      <c r="G154" s="317"/>
      <c r="H154" s="318"/>
      <c r="I154" s="317"/>
      <c r="J154" s="319"/>
      <c r="K154" s="317"/>
      <c r="L154" s="317"/>
      <c r="M154" s="317"/>
      <c r="N154" s="317"/>
      <c r="O154" s="317"/>
      <c r="P154" s="317"/>
      <c r="Q154" s="317"/>
      <c r="R154" s="317"/>
      <c r="S154" s="317"/>
      <c r="T154" s="317"/>
      <c r="U154" s="317"/>
      <c r="V154" s="317"/>
      <c r="W154" s="317"/>
      <c r="X154" s="317"/>
      <c r="Y154" s="317"/>
      <c r="Z154" s="317"/>
      <c r="AA154" s="317"/>
      <c r="AB154" s="317"/>
      <c r="AC154" s="317"/>
      <c r="AD154" s="317"/>
    </row>
    <row r="155" ht="20.25" customHeight="1">
      <c r="A155" s="320"/>
      <c r="B155" s="317"/>
      <c r="C155" s="317"/>
      <c r="D155" s="317"/>
      <c r="E155" s="317"/>
      <c r="F155" s="317"/>
      <c r="G155" s="317"/>
      <c r="H155" s="318"/>
      <c r="I155" s="317"/>
      <c r="J155" s="319"/>
      <c r="K155" s="317"/>
      <c r="L155" s="317"/>
      <c r="M155" s="317"/>
      <c r="N155" s="317"/>
      <c r="O155" s="317"/>
      <c r="P155" s="317"/>
      <c r="Q155" s="317"/>
      <c r="R155" s="317"/>
      <c r="S155" s="317"/>
      <c r="T155" s="317"/>
      <c r="U155" s="317"/>
      <c r="V155" s="317"/>
      <c r="W155" s="317"/>
      <c r="X155" s="317"/>
      <c r="Y155" s="317"/>
      <c r="Z155" s="317"/>
      <c r="AA155" s="317"/>
      <c r="AB155" s="317"/>
      <c r="AC155" s="317"/>
      <c r="AD155" s="317"/>
    </row>
    <row r="156" ht="20.25" customHeight="1">
      <c r="A156" s="320"/>
      <c r="B156" s="317"/>
      <c r="C156" s="317"/>
      <c r="D156" s="317"/>
      <c r="E156" s="317"/>
      <c r="F156" s="317"/>
      <c r="G156" s="317"/>
      <c r="H156" s="318"/>
      <c r="I156" s="317"/>
      <c r="J156" s="319"/>
      <c r="K156" s="317"/>
      <c r="L156" s="317"/>
      <c r="M156" s="317"/>
      <c r="N156" s="317"/>
      <c r="O156" s="317"/>
      <c r="P156" s="317"/>
      <c r="Q156" s="317"/>
      <c r="R156" s="317"/>
      <c r="S156" s="317"/>
      <c r="T156" s="317"/>
      <c r="U156" s="317"/>
      <c r="V156" s="317"/>
      <c r="W156" s="317"/>
      <c r="X156" s="317"/>
      <c r="Y156" s="317"/>
      <c r="Z156" s="317"/>
      <c r="AA156" s="317"/>
      <c r="AB156" s="317"/>
      <c r="AC156" s="317"/>
      <c r="AD156" s="317"/>
    </row>
    <row r="157" ht="20.25" customHeight="1">
      <c r="A157" s="320"/>
      <c r="B157" s="317"/>
      <c r="C157" s="317"/>
      <c r="D157" s="317"/>
      <c r="E157" s="317"/>
      <c r="F157" s="317"/>
      <c r="G157" s="317"/>
      <c r="H157" s="318"/>
      <c r="I157" s="317"/>
      <c r="J157" s="319"/>
      <c r="K157" s="317"/>
      <c r="L157" s="317"/>
      <c r="M157" s="317"/>
      <c r="N157" s="317"/>
      <c r="O157" s="317"/>
      <c r="P157" s="317"/>
      <c r="Q157" s="317"/>
      <c r="R157" s="317"/>
      <c r="S157" s="317"/>
      <c r="T157" s="317"/>
      <c r="U157" s="317"/>
      <c r="V157" s="317"/>
      <c r="W157" s="317"/>
      <c r="X157" s="317"/>
      <c r="Y157" s="317"/>
      <c r="Z157" s="317"/>
      <c r="AA157" s="317"/>
      <c r="AB157" s="317"/>
      <c r="AC157" s="317"/>
      <c r="AD157" s="317"/>
    </row>
    <row r="158" ht="20.25" customHeight="1">
      <c r="A158" s="320"/>
      <c r="B158" s="317"/>
      <c r="C158" s="317"/>
      <c r="D158" s="317"/>
      <c r="E158" s="317"/>
      <c r="F158" s="317"/>
      <c r="G158" s="317"/>
      <c r="H158" s="318"/>
      <c r="I158" s="317"/>
      <c r="J158" s="319"/>
      <c r="K158" s="317"/>
      <c r="L158" s="317"/>
      <c r="M158" s="317"/>
      <c r="N158" s="317"/>
      <c r="O158" s="317"/>
      <c r="P158" s="317"/>
      <c r="Q158" s="317"/>
      <c r="R158" s="317"/>
      <c r="S158" s="317"/>
      <c r="T158" s="317"/>
      <c r="U158" s="317"/>
      <c r="V158" s="317"/>
      <c r="W158" s="317"/>
      <c r="X158" s="317"/>
      <c r="Y158" s="317"/>
      <c r="Z158" s="317"/>
      <c r="AA158" s="317"/>
      <c r="AB158" s="317"/>
      <c r="AC158" s="317"/>
      <c r="AD158" s="317"/>
    </row>
    <row r="159" ht="20.25" customHeight="1">
      <c r="A159" s="320"/>
      <c r="B159" s="317"/>
      <c r="C159" s="317"/>
      <c r="D159" s="317"/>
      <c r="E159" s="317"/>
      <c r="F159" s="317"/>
      <c r="G159" s="317"/>
      <c r="H159" s="318"/>
      <c r="I159" s="317"/>
      <c r="J159" s="319"/>
      <c r="K159" s="317"/>
      <c r="L159" s="317"/>
      <c r="M159" s="317"/>
      <c r="N159" s="317"/>
      <c r="O159" s="317"/>
      <c r="P159" s="317"/>
      <c r="Q159" s="317"/>
      <c r="R159" s="317"/>
      <c r="S159" s="317"/>
      <c r="T159" s="317"/>
      <c r="U159" s="317"/>
      <c r="V159" s="317"/>
      <c r="W159" s="317"/>
      <c r="X159" s="317"/>
      <c r="Y159" s="317"/>
      <c r="Z159" s="317"/>
      <c r="AA159" s="317"/>
      <c r="AB159" s="317"/>
      <c r="AC159" s="317"/>
      <c r="AD159" s="317"/>
    </row>
    <row r="160" ht="20.25" customHeight="1">
      <c r="A160" s="320"/>
      <c r="B160" s="317"/>
      <c r="C160" s="317"/>
      <c r="D160" s="317"/>
      <c r="E160" s="317"/>
      <c r="F160" s="317"/>
      <c r="G160" s="317"/>
      <c r="H160" s="318"/>
      <c r="I160" s="317"/>
      <c r="J160" s="319"/>
      <c r="K160" s="317"/>
      <c r="L160" s="317"/>
      <c r="M160" s="317"/>
      <c r="N160" s="317"/>
      <c r="O160" s="317"/>
      <c r="P160" s="317"/>
      <c r="Q160" s="317"/>
      <c r="R160" s="317"/>
      <c r="S160" s="317"/>
      <c r="T160" s="317"/>
      <c r="U160" s="317"/>
      <c r="V160" s="317"/>
      <c r="W160" s="317"/>
      <c r="X160" s="317"/>
      <c r="Y160" s="317"/>
      <c r="Z160" s="317"/>
      <c r="AA160" s="317"/>
      <c r="AB160" s="317"/>
      <c r="AC160" s="317"/>
      <c r="AD160" s="317"/>
    </row>
    <row r="161" ht="20.25" customHeight="1">
      <c r="A161" s="320"/>
      <c r="B161" s="317"/>
      <c r="C161" s="317"/>
      <c r="D161" s="317"/>
      <c r="E161" s="317"/>
      <c r="F161" s="317"/>
      <c r="G161" s="317"/>
      <c r="H161" s="318"/>
      <c r="I161" s="317"/>
      <c r="J161" s="319"/>
      <c r="K161" s="317"/>
      <c r="L161" s="317"/>
      <c r="M161" s="317"/>
      <c r="N161" s="317"/>
      <c r="O161" s="317"/>
      <c r="P161" s="317"/>
      <c r="Q161" s="317"/>
      <c r="R161" s="317"/>
      <c r="S161" s="317"/>
      <c r="T161" s="317"/>
      <c r="U161" s="317"/>
      <c r="V161" s="317"/>
      <c r="W161" s="317"/>
      <c r="X161" s="317"/>
      <c r="Y161" s="317"/>
      <c r="Z161" s="317"/>
      <c r="AA161" s="317"/>
      <c r="AB161" s="317"/>
      <c r="AC161" s="317"/>
      <c r="AD161" s="317"/>
    </row>
    <row r="162" ht="20.25" customHeight="1">
      <c r="A162" s="320"/>
      <c r="B162" s="317"/>
      <c r="C162" s="317"/>
      <c r="D162" s="317"/>
      <c r="E162" s="317"/>
      <c r="F162" s="317"/>
      <c r="G162" s="317"/>
      <c r="H162" s="318"/>
      <c r="I162" s="317"/>
      <c r="J162" s="319"/>
      <c r="K162" s="317"/>
      <c r="L162" s="317"/>
      <c r="M162" s="317"/>
      <c r="N162" s="317"/>
      <c r="O162" s="317"/>
      <c r="P162" s="317"/>
      <c r="Q162" s="317"/>
      <c r="R162" s="317"/>
      <c r="S162" s="317"/>
      <c r="T162" s="317"/>
      <c r="U162" s="317"/>
      <c r="V162" s="317"/>
      <c r="W162" s="317"/>
      <c r="X162" s="317"/>
      <c r="Y162" s="317"/>
      <c r="Z162" s="317"/>
      <c r="AA162" s="317"/>
      <c r="AB162" s="317"/>
      <c r="AC162" s="317"/>
      <c r="AD162" s="317"/>
    </row>
    <row r="163" ht="20.25" customHeight="1">
      <c r="A163" s="320"/>
      <c r="B163" s="317"/>
      <c r="C163" s="317"/>
      <c r="D163" s="317"/>
      <c r="E163" s="317"/>
      <c r="F163" s="317"/>
      <c r="G163" s="317"/>
      <c r="H163" s="318"/>
      <c r="I163" s="317"/>
      <c r="J163" s="319"/>
      <c r="K163" s="317"/>
      <c r="L163" s="317"/>
      <c r="M163" s="317"/>
      <c r="N163" s="317"/>
      <c r="O163" s="317"/>
      <c r="P163" s="317"/>
      <c r="Q163" s="317"/>
      <c r="R163" s="317"/>
      <c r="S163" s="317"/>
      <c r="T163" s="317"/>
      <c r="U163" s="317"/>
      <c r="V163" s="317"/>
      <c r="W163" s="317"/>
      <c r="X163" s="317"/>
      <c r="Y163" s="317"/>
      <c r="Z163" s="317"/>
      <c r="AA163" s="317"/>
      <c r="AB163" s="317"/>
      <c r="AC163" s="317"/>
      <c r="AD163" s="317"/>
    </row>
    <row r="164" ht="20.25" customHeight="1">
      <c r="A164" s="320"/>
      <c r="B164" s="317"/>
      <c r="C164" s="317"/>
      <c r="D164" s="317"/>
      <c r="E164" s="317"/>
      <c r="F164" s="317"/>
      <c r="G164" s="317"/>
      <c r="H164" s="318"/>
      <c r="I164" s="317"/>
      <c r="J164" s="319"/>
      <c r="K164" s="317"/>
      <c r="L164" s="317"/>
      <c r="M164" s="317"/>
      <c r="N164" s="317"/>
      <c r="O164" s="317"/>
      <c r="P164" s="317"/>
      <c r="Q164" s="317"/>
      <c r="R164" s="317"/>
      <c r="S164" s="317"/>
      <c r="T164" s="317"/>
      <c r="U164" s="317"/>
      <c r="V164" s="317"/>
      <c r="W164" s="317"/>
      <c r="X164" s="317"/>
      <c r="Y164" s="317"/>
      <c r="Z164" s="317"/>
      <c r="AA164" s="317"/>
      <c r="AB164" s="317"/>
      <c r="AC164" s="317"/>
      <c r="AD164" s="317"/>
    </row>
    <row r="165" ht="20.25" customHeight="1">
      <c r="A165" s="320"/>
      <c r="B165" s="317"/>
      <c r="C165" s="317"/>
      <c r="D165" s="317"/>
      <c r="E165" s="317"/>
      <c r="F165" s="317"/>
      <c r="G165" s="317"/>
      <c r="H165" s="318"/>
      <c r="I165" s="317"/>
      <c r="J165" s="319"/>
      <c r="K165" s="317"/>
      <c r="L165" s="317"/>
      <c r="M165" s="317"/>
      <c r="N165" s="317"/>
      <c r="O165" s="317"/>
      <c r="P165" s="317"/>
      <c r="Q165" s="317"/>
      <c r="R165" s="317"/>
      <c r="S165" s="317"/>
      <c r="T165" s="317"/>
      <c r="U165" s="317"/>
      <c r="V165" s="317"/>
      <c r="W165" s="317"/>
      <c r="X165" s="317"/>
      <c r="Y165" s="317"/>
      <c r="Z165" s="317"/>
      <c r="AA165" s="317"/>
      <c r="AB165" s="317"/>
      <c r="AC165" s="317"/>
      <c r="AD165" s="317"/>
    </row>
    <row r="166" ht="20.25" customHeight="1">
      <c r="A166" s="320"/>
      <c r="B166" s="317"/>
      <c r="C166" s="317"/>
      <c r="D166" s="317"/>
      <c r="E166" s="317"/>
      <c r="F166" s="317"/>
      <c r="G166" s="317"/>
      <c r="H166" s="318"/>
      <c r="I166" s="317"/>
      <c r="J166" s="319"/>
      <c r="K166" s="317"/>
      <c r="L166" s="317"/>
      <c r="M166" s="317"/>
      <c r="N166" s="317"/>
      <c r="O166" s="317"/>
      <c r="P166" s="317"/>
      <c r="Q166" s="317"/>
      <c r="R166" s="317"/>
      <c r="S166" s="317"/>
      <c r="T166" s="317"/>
      <c r="U166" s="317"/>
      <c r="V166" s="317"/>
      <c r="W166" s="317"/>
      <c r="X166" s="317"/>
      <c r="Y166" s="317"/>
      <c r="Z166" s="317"/>
      <c r="AA166" s="317"/>
      <c r="AB166" s="317"/>
      <c r="AC166" s="317"/>
      <c r="AD166" s="317"/>
    </row>
    <row r="167" ht="20.25" customHeight="1">
      <c r="A167" s="320"/>
      <c r="B167" s="317"/>
      <c r="C167" s="317"/>
      <c r="D167" s="317"/>
      <c r="E167" s="317"/>
      <c r="F167" s="317"/>
      <c r="G167" s="317"/>
      <c r="H167" s="318"/>
      <c r="I167" s="317"/>
      <c r="J167" s="319"/>
      <c r="K167" s="317"/>
      <c r="L167" s="317"/>
      <c r="M167" s="317"/>
      <c r="N167" s="317"/>
      <c r="O167" s="317"/>
      <c r="P167" s="317"/>
      <c r="Q167" s="317"/>
      <c r="R167" s="317"/>
      <c r="S167" s="317"/>
      <c r="T167" s="317"/>
      <c r="U167" s="317"/>
      <c r="V167" s="317"/>
      <c r="W167" s="317"/>
      <c r="X167" s="317"/>
      <c r="Y167" s="317"/>
      <c r="Z167" s="317"/>
      <c r="AA167" s="317"/>
      <c r="AB167" s="317"/>
      <c r="AC167" s="317"/>
      <c r="AD167" s="317"/>
    </row>
    <row r="168" ht="20.25" customHeight="1">
      <c r="A168" s="320"/>
      <c r="B168" s="317"/>
      <c r="C168" s="317"/>
      <c r="D168" s="317"/>
      <c r="E168" s="317"/>
      <c r="F168" s="317"/>
      <c r="G168" s="317"/>
      <c r="H168" s="318"/>
      <c r="I168" s="317"/>
      <c r="J168" s="319"/>
      <c r="K168" s="317"/>
      <c r="L168" s="317"/>
      <c r="M168" s="317"/>
      <c r="N168" s="317"/>
      <c r="O168" s="317"/>
      <c r="P168" s="317"/>
      <c r="Q168" s="317"/>
      <c r="R168" s="317"/>
      <c r="S168" s="317"/>
      <c r="T168" s="317"/>
      <c r="U168" s="317"/>
      <c r="V168" s="317"/>
      <c r="W168" s="317"/>
      <c r="X168" s="317"/>
      <c r="Y168" s="317"/>
      <c r="Z168" s="317"/>
      <c r="AA168" s="317"/>
      <c r="AB168" s="317"/>
      <c r="AC168" s="317"/>
      <c r="AD168" s="317"/>
    </row>
    <row r="169" ht="20.25" customHeight="1">
      <c r="A169" s="320"/>
      <c r="B169" s="317"/>
      <c r="C169" s="317"/>
      <c r="D169" s="317"/>
      <c r="E169" s="317"/>
      <c r="F169" s="317"/>
      <c r="G169" s="317"/>
      <c r="H169" s="318"/>
      <c r="I169" s="317"/>
      <c r="J169" s="319"/>
      <c r="K169" s="317"/>
      <c r="L169" s="317"/>
      <c r="M169" s="317"/>
      <c r="N169" s="317"/>
      <c r="O169" s="317"/>
      <c r="P169" s="317"/>
      <c r="Q169" s="317"/>
      <c r="R169" s="317"/>
      <c r="S169" s="317"/>
      <c r="T169" s="317"/>
      <c r="U169" s="317"/>
      <c r="V169" s="317"/>
      <c r="W169" s="317"/>
      <c r="X169" s="317"/>
      <c r="Y169" s="317"/>
      <c r="Z169" s="317"/>
      <c r="AA169" s="317"/>
      <c r="AB169" s="317"/>
      <c r="AC169" s="317"/>
      <c r="AD169" s="317"/>
    </row>
    <row r="170" ht="20.25" customHeight="1">
      <c r="A170" s="320"/>
      <c r="B170" s="317"/>
      <c r="C170" s="317"/>
      <c r="D170" s="317"/>
      <c r="E170" s="317"/>
      <c r="F170" s="317"/>
      <c r="G170" s="317"/>
      <c r="H170" s="318"/>
      <c r="I170" s="317"/>
      <c r="J170" s="319"/>
      <c r="K170" s="317"/>
      <c r="L170" s="317"/>
      <c r="M170" s="317"/>
      <c r="N170" s="317"/>
      <c r="O170" s="317"/>
      <c r="P170" s="317"/>
      <c r="Q170" s="317"/>
      <c r="R170" s="317"/>
      <c r="S170" s="317"/>
      <c r="T170" s="317"/>
      <c r="U170" s="317"/>
      <c r="V170" s="317"/>
      <c r="W170" s="317"/>
      <c r="X170" s="317"/>
      <c r="Y170" s="317"/>
      <c r="Z170" s="317"/>
      <c r="AA170" s="317"/>
      <c r="AB170" s="317"/>
      <c r="AC170" s="317"/>
      <c r="AD170" s="317"/>
    </row>
    <row r="171" ht="20.25" customHeight="1">
      <c r="A171" s="320"/>
      <c r="B171" s="317"/>
      <c r="C171" s="317"/>
      <c r="D171" s="317"/>
      <c r="E171" s="317"/>
      <c r="F171" s="317"/>
      <c r="G171" s="317"/>
      <c r="H171" s="318"/>
      <c r="I171" s="317"/>
      <c r="J171" s="319"/>
      <c r="K171" s="317"/>
      <c r="L171" s="317"/>
      <c r="M171" s="317"/>
      <c r="N171" s="317"/>
      <c r="O171" s="317"/>
      <c r="P171" s="317"/>
      <c r="Q171" s="317"/>
      <c r="R171" s="317"/>
      <c r="S171" s="317"/>
      <c r="T171" s="317"/>
      <c r="U171" s="317"/>
      <c r="V171" s="317"/>
      <c r="W171" s="317"/>
      <c r="X171" s="317"/>
      <c r="Y171" s="317"/>
      <c r="Z171" s="317"/>
      <c r="AA171" s="317"/>
      <c r="AB171" s="317"/>
      <c r="AC171" s="317"/>
      <c r="AD171" s="317"/>
    </row>
    <row r="172" ht="20.25" customHeight="1">
      <c r="A172" s="320"/>
      <c r="B172" s="317"/>
      <c r="C172" s="317"/>
      <c r="D172" s="317"/>
      <c r="E172" s="317"/>
      <c r="F172" s="317"/>
      <c r="G172" s="317"/>
      <c r="H172" s="318"/>
      <c r="I172" s="317"/>
      <c r="J172" s="319"/>
      <c r="K172" s="317"/>
      <c r="L172" s="317"/>
      <c r="M172" s="317"/>
      <c r="N172" s="317"/>
      <c r="O172" s="317"/>
      <c r="P172" s="317"/>
      <c r="Q172" s="317"/>
      <c r="R172" s="317"/>
      <c r="S172" s="317"/>
      <c r="T172" s="317"/>
      <c r="U172" s="317"/>
      <c r="V172" s="317"/>
      <c r="W172" s="317"/>
      <c r="X172" s="317"/>
      <c r="Y172" s="317"/>
      <c r="Z172" s="317"/>
      <c r="AA172" s="317"/>
      <c r="AB172" s="317"/>
      <c r="AC172" s="317"/>
      <c r="AD172" s="317"/>
    </row>
    <row r="173" ht="20.25" customHeight="1">
      <c r="A173" s="320"/>
      <c r="B173" s="317"/>
      <c r="C173" s="317"/>
      <c r="D173" s="317"/>
      <c r="E173" s="317"/>
      <c r="F173" s="317"/>
      <c r="G173" s="317"/>
      <c r="H173" s="318"/>
      <c r="I173" s="317"/>
      <c r="J173" s="319"/>
      <c r="K173" s="317"/>
      <c r="L173" s="317"/>
      <c r="M173" s="317"/>
      <c r="N173" s="317"/>
      <c r="O173" s="317"/>
      <c r="P173" s="317"/>
      <c r="Q173" s="317"/>
      <c r="R173" s="317"/>
      <c r="S173" s="317"/>
      <c r="T173" s="317"/>
      <c r="U173" s="317"/>
      <c r="V173" s="317"/>
      <c r="W173" s="317"/>
      <c r="X173" s="317"/>
      <c r="Y173" s="317"/>
      <c r="Z173" s="317"/>
      <c r="AA173" s="317"/>
      <c r="AB173" s="317"/>
      <c r="AC173" s="317"/>
      <c r="AD173" s="317"/>
    </row>
    <row r="174" ht="20.25" customHeight="1">
      <c r="A174" s="320"/>
      <c r="B174" s="317"/>
      <c r="C174" s="317"/>
      <c r="D174" s="317"/>
      <c r="E174" s="317"/>
      <c r="F174" s="317"/>
      <c r="G174" s="317"/>
      <c r="H174" s="318"/>
      <c r="I174" s="317"/>
      <c r="J174" s="319"/>
      <c r="K174" s="317"/>
      <c r="L174" s="317"/>
      <c r="M174" s="317"/>
      <c r="N174" s="317"/>
      <c r="O174" s="317"/>
      <c r="P174" s="317"/>
      <c r="Q174" s="317"/>
      <c r="R174" s="317"/>
      <c r="S174" s="317"/>
      <c r="T174" s="317"/>
      <c r="U174" s="317"/>
      <c r="V174" s="317"/>
      <c r="W174" s="317"/>
      <c r="X174" s="317"/>
      <c r="Y174" s="317"/>
      <c r="Z174" s="317"/>
      <c r="AA174" s="317"/>
      <c r="AB174" s="317"/>
      <c r="AC174" s="317"/>
      <c r="AD174" s="317"/>
    </row>
    <row r="175" ht="20.25" customHeight="1">
      <c r="A175" s="320"/>
      <c r="B175" s="317"/>
      <c r="C175" s="317"/>
      <c r="D175" s="317"/>
      <c r="E175" s="317"/>
      <c r="F175" s="317"/>
      <c r="G175" s="317"/>
      <c r="H175" s="318"/>
      <c r="I175" s="317"/>
      <c r="J175" s="319"/>
      <c r="K175" s="317"/>
      <c r="L175" s="317"/>
      <c r="M175" s="317"/>
      <c r="N175" s="317"/>
      <c r="O175" s="317"/>
      <c r="P175" s="317"/>
      <c r="Q175" s="317"/>
      <c r="R175" s="317"/>
      <c r="S175" s="317"/>
      <c r="T175" s="317"/>
      <c r="U175" s="317"/>
      <c r="V175" s="317"/>
      <c r="W175" s="317"/>
      <c r="X175" s="317"/>
      <c r="Y175" s="317"/>
      <c r="Z175" s="317"/>
      <c r="AA175" s="317"/>
      <c r="AB175" s="317"/>
      <c r="AC175" s="317"/>
      <c r="AD175" s="317"/>
    </row>
    <row r="176" ht="20.25" customHeight="1">
      <c r="A176" s="320"/>
      <c r="B176" s="317"/>
      <c r="C176" s="317"/>
      <c r="D176" s="317"/>
      <c r="E176" s="317"/>
      <c r="F176" s="317"/>
      <c r="G176" s="317"/>
      <c r="H176" s="318"/>
      <c r="I176" s="317"/>
      <c r="J176" s="319"/>
      <c r="K176" s="317"/>
      <c r="L176" s="317"/>
      <c r="M176" s="317"/>
      <c r="N176" s="317"/>
      <c r="O176" s="317"/>
      <c r="P176" s="317"/>
      <c r="Q176" s="317"/>
      <c r="R176" s="317"/>
      <c r="S176" s="317"/>
      <c r="T176" s="317"/>
      <c r="U176" s="317"/>
      <c r="V176" s="317"/>
      <c r="W176" s="317"/>
      <c r="X176" s="317"/>
      <c r="Y176" s="317"/>
      <c r="Z176" s="317"/>
      <c r="AA176" s="317"/>
      <c r="AB176" s="317"/>
      <c r="AC176" s="317"/>
      <c r="AD176" s="317"/>
    </row>
    <row r="177" ht="20.25" customHeight="1">
      <c r="A177" s="320"/>
      <c r="B177" s="317"/>
      <c r="C177" s="317"/>
      <c r="D177" s="317"/>
      <c r="E177" s="317"/>
      <c r="F177" s="317"/>
      <c r="G177" s="317"/>
      <c r="H177" s="318"/>
      <c r="I177" s="317"/>
      <c r="J177" s="319"/>
      <c r="K177" s="317"/>
      <c r="L177" s="317"/>
      <c r="M177" s="317"/>
      <c r="N177" s="317"/>
      <c r="O177" s="317"/>
      <c r="P177" s="317"/>
      <c r="Q177" s="317"/>
      <c r="R177" s="317"/>
      <c r="S177" s="317"/>
      <c r="T177" s="317"/>
      <c r="U177" s="317"/>
      <c r="V177" s="317"/>
      <c r="W177" s="317"/>
      <c r="X177" s="317"/>
      <c r="Y177" s="317"/>
      <c r="Z177" s="317"/>
      <c r="AA177" s="317"/>
      <c r="AB177" s="317"/>
      <c r="AC177" s="317"/>
      <c r="AD177" s="317"/>
    </row>
    <row r="178" ht="20.25" customHeight="1">
      <c r="A178" s="320"/>
      <c r="B178" s="317"/>
      <c r="C178" s="317"/>
      <c r="D178" s="317"/>
      <c r="E178" s="317"/>
      <c r="F178" s="317"/>
      <c r="G178" s="317"/>
      <c r="H178" s="318"/>
      <c r="I178" s="317"/>
      <c r="J178" s="319"/>
      <c r="K178" s="317"/>
      <c r="L178" s="317"/>
      <c r="M178" s="317"/>
      <c r="N178" s="317"/>
      <c r="O178" s="317"/>
      <c r="P178" s="317"/>
      <c r="Q178" s="317"/>
      <c r="R178" s="317"/>
      <c r="S178" s="317"/>
      <c r="T178" s="317"/>
      <c r="U178" s="317"/>
      <c r="V178" s="317"/>
      <c r="W178" s="317"/>
      <c r="X178" s="317"/>
      <c r="Y178" s="317"/>
      <c r="Z178" s="317"/>
      <c r="AA178" s="317"/>
      <c r="AB178" s="317"/>
      <c r="AC178" s="317"/>
      <c r="AD178" s="317"/>
    </row>
    <row r="179" ht="20.25" customHeight="1">
      <c r="A179" s="320"/>
      <c r="B179" s="317"/>
      <c r="C179" s="317"/>
      <c r="D179" s="317"/>
      <c r="E179" s="317"/>
      <c r="F179" s="317"/>
      <c r="G179" s="317"/>
      <c r="H179" s="318"/>
      <c r="I179" s="317"/>
      <c r="J179" s="319"/>
      <c r="K179" s="317"/>
      <c r="L179" s="317"/>
      <c r="M179" s="317"/>
      <c r="N179" s="317"/>
      <c r="O179" s="317"/>
      <c r="P179" s="317"/>
      <c r="Q179" s="317"/>
      <c r="R179" s="317"/>
      <c r="S179" s="317"/>
      <c r="T179" s="317"/>
      <c r="U179" s="317"/>
      <c r="V179" s="317"/>
      <c r="W179" s="317"/>
      <c r="X179" s="317"/>
      <c r="Y179" s="317"/>
      <c r="Z179" s="317"/>
      <c r="AA179" s="317"/>
      <c r="AB179" s="317"/>
      <c r="AC179" s="317"/>
      <c r="AD179" s="317"/>
    </row>
    <row r="180" ht="20.25" customHeight="1">
      <c r="A180" s="320"/>
      <c r="B180" s="317"/>
      <c r="C180" s="317"/>
      <c r="D180" s="317"/>
      <c r="E180" s="317"/>
      <c r="F180" s="317"/>
      <c r="G180" s="317"/>
      <c r="H180" s="318"/>
      <c r="I180" s="317"/>
      <c r="J180" s="319"/>
      <c r="K180" s="317"/>
      <c r="L180" s="317"/>
      <c r="M180" s="317"/>
      <c r="N180" s="317"/>
      <c r="O180" s="317"/>
      <c r="P180" s="317"/>
      <c r="Q180" s="317"/>
      <c r="R180" s="317"/>
      <c r="S180" s="317"/>
      <c r="T180" s="317"/>
      <c r="U180" s="317"/>
      <c r="V180" s="317"/>
      <c r="W180" s="317"/>
      <c r="X180" s="317"/>
      <c r="Y180" s="317"/>
      <c r="Z180" s="317"/>
      <c r="AA180" s="317"/>
      <c r="AB180" s="317"/>
      <c r="AC180" s="317"/>
      <c r="AD180" s="317"/>
    </row>
    <row r="181" ht="20.25" customHeight="1">
      <c r="A181" s="320"/>
      <c r="B181" s="317"/>
      <c r="C181" s="317"/>
      <c r="D181" s="317"/>
      <c r="E181" s="317"/>
      <c r="F181" s="317"/>
      <c r="G181" s="317"/>
      <c r="H181" s="318"/>
      <c r="I181" s="317"/>
      <c r="J181" s="319"/>
      <c r="K181" s="317"/>
      <c r="L181" s="317"/>
      <c r="M181" s="317"/>
      <c r="N181" s="317"/>
      <c r="O181" s="317"/>
      <c r="P181" s="317"/>
      <c r="Q181" s="317"/>
      <c r="R181" s="317"/>
      <c r="S181" s="317"/>
      <c r="T181" s="317"/>
      <c r="U181" s="317"/>
      <c r="V181" s="317"/>
      <c r="W181" s="317"/>
      <c r="X181" s="317"/>
      <c r="Y181" s="317"/>
      <c r="Z181" s="317"/>
      <c r="AA181" s="317"/>
      <c r="AB181" s="317"/>
      <c r="AC181" s="317"/>
      <c r="AD181" s="317"/>
    </row>
    <row r="182" ht="20.25" customHeight="1">
      <c r="A182" s="320"/>
      <c r="B182" s="317"/>
      <c r="C182" s="317"/>
      <c r="D182" s="317"/>
      <c r="E182" s="317"/>
      <c r="F182" s="317"/>
      <c r="G182" s="317"/>
      <c r="H182" s="318"/>
      <c r="I182" s="317"/>
      <c r="J182" s="319"/>
      <c r="K182" s="317"/>
      <c r="L182" s="317"/>
      <c r="M182" s="317"/>
      <c r="N182" s="317"/>
      <c r="O182" s="317"/>
      <c r="P182" s="317"/>
      <c r="Q182" s="317"/>
      <c r="R182" s="317"/>
      <c r="S182" s="317"/>
      <c r="T182" s="317"/>
      <c r="U182" s="317"/>
      <c r="V182" s="317"/>
      <c r="W182" s="317"/>
      <c r="X182" s="317"/>
      <c r="Y182" s="317"/>
      <c r="Z182" s="317"/>
      <c r="AA182" s="317"/>
      <c r="AB182" s="317"/>
      <c r="AC182" s="317"/>
      <c r="AD182" s="317"/>
    </row>
    <row r="183" ht="20.25" customHeight="1">
      <c r="A183" s="320"/>
      <c r="B183" s="317"/>
      <c r="C183" s="317"/>
      <c r="D183" s="317"/>
      <c r="E183" s="317"/>
      <c r="F183" s="317"/>
      <c r="G183" s="317"/>
      <c r="H183" s="318"/>
      <c r="I183" s="317"/>
      <c r="J183" s="319"/>
      <c r="K183" s="317"/>
      <c r="L183" s="317"/>
      <c r="M183" s="317"/>
      <c r="N183" s="317"/>
      <c r="O183" s="317"/>
      <c r="P183" s="317"/>
      <c r="Q183" s="317"/>
      <c r="R183" s="317"/>
      <c r="S183" s="317"/>
      <c r="T183" s="317"/>
      <c r="U183" s="317"/>
      <c r="V183" s="317"/>
      <c r="W183" s="317"/>
      <c r="X183" s="317"/>
      <c r="Y183" s="317"/>
      <c r="Z183" s="317"/>
      <c r="AA183" s="317"/>
      <c r="AB183" s="317"/>
      <c r="AC183" s="317"/>
      <c r="AD183" s="317"/>
    </row>
    <row r="184" ht="20.25" customHeight="1">
      <c r="A184" s="320"/>
      <c r="B184" s="317"/>
      <c r="C184" s="317"/>
      <c r="D184" s="317"/>
      <c r="E184" s="317"/>
      <c r="F184" s="317"/>
      <c r="G184" s="317"/>
      <c r="H184" s="318"/>
      <c r="I184" s="317"/>
      <c r="J184" s="319"/>
      <c r="K184" s="317"/>
      <c r="L184" s="317"/>
      <c r="M184" s="317"/>
      <c r="N184" s="317"/>
      <c r="O184" s="317"/>
      <c r="P184" s="317"/>
      <c r="Q184" s="317"/>
      <c r="R184" s="317"/>
      <c r="S184" s="317"/>
      <c r="T184" s="317"/>
      <c r="U184" s="317"/>
      <c r="V184" s="317"/>
      <c r="W184" s="317"/>
      <c r="X184" s="317"/>
      <c r="Y184" s="317"/>
      <c r="Z184" s="317"/>
      <c r="AA184" s="317"/>
      <c r="AB184" s="317"/>
      <c r="AC184" s="317"/>
      <c r="AD184" s="317"/>
    </row>
    <row r="185" ht="20.25" customHeight="1">
      <c r="A185" s="320"/>
      <c r="B185" s="317"/>
      <c r="C185" s="317"/>
      <c r="D185" s="317"/>
      <c r="E185" s="317"/>
      <c r="F185" s="317"/>
      <c r="G185" s="317"/>
      <c r="H185" s="318"/>
      <c r="I185" s="317"/>
      <c r="J185" s="319"/>
      <c r="K185" s="317"/>
      <c r="L185" s="317"/>
      <c r="M185" s="317"/>
      <c r="N185" s="317"/>
      <c r="O185" s="317"/>
      <c r="P185" s="317"/>
      <c r="Q185" s="317"/>
      <c r="R185" s="317"/>
      <c r="S185" s="317"/>
      <c r="T185" s="317"/>
      <c r="U185" s="317"/>
      <c r="V185" s="317"/>
      <c r="W185" s="317"/>
      <c r="X185" s="317"/>
      <c r="Y185" s="317"/>
      <c r="Z185" s="317"/>
      <c r="AA185" s="317"/>
      <c r="AB185" s="317"/>
      <c r="AC185" s="317"/>
      <c r="AD185" s="317"/>
    </row>
    <row r="186" ht="20.25" customHeight="1">
      <c r="A186" s="320"/>
      <c r="B186" s="317"/>
      <c r="C186" s="317"/>
      <c r="D186" s="317"/>
      <c r="E186" s="317"/>
      <c r="F186" s="317"/>
      <c r="G186" s="317"/>
      <c r="H186" s="318"/>
      <c r="I186" s="317"/>
      <c r="J186" s="319"/>
      <c r="K186" s="317"/>
      <c r="L186" s="317"/>
      <c r="M186" s="317"/>
      <c r="N186" s="317"/>
      <c r="O186" s="317"/>
      <c r="P186" s="317"/>
      <c r="Q186" s="317"/>
      <c r="R186" s="317"/>
      <c r="S186" s="317"/>
      <c r="T186" s="317"/>
      <c r="U186" s="317"/>
      <c r="V186" s="317"/>
      <c r="W186" s="317"/>
      <c r="X186" s="317"/>
      <c r="Y186" s="317"/>
      <c r="Z186" s="317"/>
      <c r="AA186" s="317"/>
      <c r="AB186" s="317"/>
      <c r="AC186" s="317"/>
      <c r="AD186" s="317"/>
    </row>
    <row r="187" ht="20.25" customHeight="1">
      <c r="A187" s="320"/>
      <c r="B187" s="317"/>
      <c r="C187" s="317"/>
      <c r="D187" s="317"/>
      <c r="E187" s="317"/>
      <c r="F187" s="317"/>
      <c r="G187" s="317"/>
      <c r="H187" s="318"/>
      <c r="I187" s="317"/>
      <c r="J187" s="319"/>
      <c r="K187" s="317"/>
      <c r="L187" s="317"/>
      <c r="M187" s="317"/>
      <c r="N187" s="317"/>
      <c r="O187" s="317"/>
      <c r="P187" s="317"/>
      <c r="Q187" s="317"/>
      <c r="R187" s="317"/>
      <c r="S187" s="317"/>
      <c r="T187" s="317"/>
      <c r="U187" s="317"/>
      <c r="V187" s="317"/>
      <c r="W187" s="317"/>
      <c r="X187" s="317"/>
      <c r="Y187" s="317"/>
      <c r="Z187" s="317"/>
      <c r="AA187" s="317"/>
      <c r="AB187" s="317"/>
      <c r="AC187" s="317"/>
      <c r="AD187" s="317"/>
    </row>
    <row r="188" ht="20.25" customHeight="1">
      <c r="A188" s="320"/>
      <c r="B188" s="317"/>
      <c r="C188" s="317"/>
      <c r="D188" s="317"/>
      <c r="E188" s="317"/>
      <c r="F188" s="317"/>
      <c r="G188" s="317"/>
      <c r="H188" s="318"/>
      <c r="I188" s="317"/>
      <c r="J188" s="319"/>
      <c r="K188" s="317"/>
      <c r="L188" s="317"/>
      <c r="M188" s="317"/>
      <c r="N188" s="317"/>
      <c r="O188" s="317"/>
      <c r="P188" s="317"/>
      <c r="Q188" s="317"/>
      <c r="R188" s="317"/>
      <c r="S188" s="317"/>
      <c r="T188" s="317"/>
      <c r="U188" s="317"/>
      <c r="V188" s="317"/>
      <c r="W188" s="317"/>
      <c r="X188" s="317"/>
      <c r="Y188" s="317"/>
      <c r="Z188" s="317"/>
      <c r="AA188" s="317"/>
      <c r="AB188" s="317"/>
      <c r="AC188" s="317"/>
      <c r="AD188" s="317"/>
    </row>
    <row r="189" ht="20.25" customHeight="1">
      <c r="A189" s="320"/>
      <c r="B189" s="317"/>
      <c r="C189" s="317"/>
      <c r="D189" s="317"/>
      <c r="E189" s="317"/>
      <c r="F189" s="317"/>
      <c r="G189" s="317"/>
      <c r="H189" s="318"/>
      <c r="I189" s="317"/>
      <c r="J189" s="319"/>
      <c r="K189" s="317"/>
      <c r="L189" s="317"/>
      <c r="M189" s="317"/>
      <c r="N189" s="317"/>
      <c r="O189" s="317"/>
      <c r="P189" s="317"/>
      <c r="Q189" s="317"/>
      <c r="R189" s="317"/>
      <c r="S189" s="317"/>
      <c r="T189" s="317"/>
      <c r="U189" s="317"/>
      <c r="V189" s="317"/>
      <c r="W189" s="317"/>
      <c r="X189" s="317"/>
      <c r="Y189" s="317"/>
      <c r="Z189" s="317"/>
      <c r="AA189" s="317"/>
      <c r="AB189" s="317"/>
      <c r="AC189" s="317"/>
      <c r="AD189" s="317"/>
    </row>
    <row r="190" ht="20.25" customHeight="1">
      <c r="A190" s="320"/>
      <c r="B190" s="317"/>
      <c r="C190" s="317"/>
      <c r="D190" s="317"/>
      <c r="E190" s="317"/>
      <c r="F190" s="317"/>
      <c r="G190" s="317"/>
      <c r="H190" s="318"/>
      <c r="I190" s="317"/>
      <c r="J190" s="319"/>
      <c r="K190" s="317"/>
      <c r="L190" s="317"/>
      <c r="M190" s="317"/>
      <c r="N190" s="317"/>
      <c r="O190" s="317"/>
      <c r="P190" s="317"/>
      <c r="Q190" s="317"/>
      <c r="R190" s="317"/>
      <c r="S190" s="317"/>
      <c r="T190" s="317"/>
      <c r="U190" s="317"/>
      <c r="V190" s="317"/>
      <c r="W190" s="317"/>
      <c r="X190" s="317"/>
      <c r="Y190" s="317"/>
      <c r="Z190" s="317"/>
      <c r="AA190" s="317"/>
      <c r="AB190" s="317"/>
      <c r="AC190" s="317"/>
      <c r="AD190" s="317"/>
    </row>
    <row r="191" ht="20.25" customHeight="1">
      <c r="A191" s="320"/>
      <c r="B191" s="317"/>
      <c r="C191" s="317"/>
      <c r="D191" s="317"/>
      <c r="E191" s="317"/>
      <c r="F191" s="317"/>
      <c r="G191" s="317"/>
      <c r="H191" s="318"/>
      <c r="I191" s="317"/>
      <c r="J191" s="319"/>
      <c r="K191" s="317"/>
      <c r="L191" s="317"/>
      <c r="M191" s="317"/>
      <c r="N191" s="317"/>
      <c r="O191" s="317"/>
      <c r="P191" s="317"/>
      <c r="Q191" s="317"/>
      <c r="R191" s="317"/>
      <c r="S191" s="317"/>
      <c r="T191" s="317"/>
      <c r="U191" s="317"/>
      <c r="V191" s="317"/>
      <c r="W191" s="317"/>
      <c r="X191" s="317"/>
      <c r="Y191" s="317"/>
      <c r="Z191" s="317"/>
      <c r="AA191" s="317"/>
      <c r="AB191" s="317"/>
      <c r="AC191" s="317"/>
      <c r="AD191" s="317"/>
    </row>
    <row r="192" ht="20.25" customHeight="1">
      <c r="A192" s="320"/>
      <c r="B192" s="317"/>
      <c r="C192" s="317"/>
      <c r="D192" s="317"/>
      <c r="E192" s="317"/>
      <c r="F192" s="317"/>
      <c r="G192" s="317"/>
      <c r="H192" s="318"/>
      <c r="I192" s="317"/>
      <c r="J192" s="319"/>
      <c r="K192" s="317"/>
      <c r="L192" s="317"/>
      <c r="M192" s="317"/>
      <c r="N192" s="317"/>
      <c r="O192" s="317"/>
      <c r="P192" s="317"/>
      <c r="Q192" s="317"/>
      <c r="R192" s="317"/>
      <c r="S192" s="317"/>
      <c r="T192" s="317"/>
      <c r="U192" s="317"/>
      <c r="V192" s="317"/>
      <c r="W192" s="317"/>
      <c r="X192" s="317"/>
      <c r="Y192" s="317"/>
      <c r="Z192" s="317"/>
      <c r="AA192" s="317"/>
      <c r="AB192" s="317"/>
      <c r="AC192" s="317"/>
      <c r="AD192" s="317"/>
    </row>
    <row r="193" ht="20.25" customHeight="1">
      <c r="A193" s="320"/>
      <c r="B193" s="317"/>
      <c r="C193" s="317"/>
      <c r="D193" s="317"/>
      <c r="E193" s="317"/>
      <c r="F193" s="317"/>
      <c r="G193" s="317"/>
      <c r="H193" s="318"/>
      <c r="I193" s="317"/>
      <c r="J193" s="319"/>
      <c r="K193" s="317"/>
      <c r="L193" s="317"/>
      <c r="M193" s="317"/>
      <c r="N193" s="317"/>
      <c r="O193" s="317"/>
      <c r="P193" s="317"/>
      <c r="Q193" s="317"/>
      <c r="R193" s="317"/>
      <c r="S193" s="317"/>
      <c r="T193" s="317"/>
      <c r="U193" s="317"/>
      <c r="V193" s="317"/>
      <c r="W193" s="317"/>
      <c r="X193" s="317"/>
      <c r="Y193" s="317"/>
      <c r="Z193" s="317"/>
      <c r="AA193" s="317"/>
      <c r="AB193" s="317"/>
      <c r="AC193" s="317"/>
      <c r="AD193" s="317"/>
    </row>
    <row r="194" ht="20.25" customHeight="1">
      <c r="A194" s="320"/>
      <c r="B194" s="317"/>
      <c r="C194" s="317"/>
      <c r="D194" s="317"/>
      <c r="E194" s="317"/>
      <c r="F194" s="317"/>
      <c r="G194" s="317"/>
      <c r="H194" s="318"/>
      <c r="I194" s="317"/>
      <c r="J194" s="319"/>
      <c r="K194" s="317"/>
      <c r="L194" s="317"/>
      <c r="M194" s="317"/>
      <c r="N194" s="317"/>
      <c r="O194" s="317"/>
      <c r="P194" s="317"/>
      <c r="Q194" s="317"/>
      <c r="R194" s="317"/>
      <c r="S194" s="317"/>
      <c r="T194" s="317"/>
      <c r="U194" s="317"/>
      <c r="V194" s="317"/>
      <c r="W194" s="317"/>
      <c r="X194" s="317"/>
      <c r="Y194" s="317"/>
      <c r="Z194" s="317"/>
      <c r="AA194" s="317"/>
      <c r="AB194" s="317"/>
      <c r="AC194" s="317"/>
      <c r="AD194" s="317"/>
    </row>
    <row r="195" ht="20.25" customHeight="1">
      <c r="A195" s="320"/>
      <c r="B195" s="317"/>
      <c r="C195" s="317"/>
      <c r="D195" s="317"/>
      <c r="E195" s="317"/>
      <c r="F195" s="317"/>
      <c r="G195" s="317"/>
      <c r="H195" s="318"/>
      <c r="I195" s="317"/>
      <c r="J195" s="319"/>
      <c r="K195" s="317"/>
      <c r="L195" s="317"/>
      <c r="M195" s="317"/>
      <c r="N195" s="317"/>
      <c r="O195" s="317"/>
      <c r="P195" s="317"/>
      <c r="Q195" s="317"/>
      <c r="R195" s="317"/>
      <c r="S195" s="317"/>
      <c r="T195" s="317"/>
      <c r="U195" s="317"/>
      <c r="V195" s="317"/>
      <c r="W195" s="317"/>
      <c r="X195" s="317"/>
      <c r="Y195" s="317"/>
      <c r="Z195" s="317"/>
      <c r="AA195" s="317"/>
      <c r="AB195" s="317"/>
      <c r="AC195" s="317"/>
      <c r="AD195" s="317"/>
    </row>
    <row r="196" ht="20.25" customHeight="1">
      <c r="A196" s="320"/>
      <c r="B196" s="317"/>
      <c r="C196" s="317"/>
      <c r="D196" s="317"/>
      <c r="E196" s="317"/>
      <c r="F196" s="317"/>
      <c r="G196" s="317"/>
      <c r="H196" s="318"/>
      <c r="I196" s="317"/>
      <c r="J196" s="319"/>
      <c r="K196" s="317"/>
      <c r="L196" s="317"/>
      <c r="M196" s="317"/>
      <c r="N196" s="317"/>
      <c r="O196" s="317"/>
      <c r="P196" s="317"/>
      <c r="Q196" s="317"/>
      <c r="R196" s="317"/>
      <c r="S196" s="317"/>
      <c r="T196" s="317"/>
      <c r="U196" s="317"/>
      <c r="V196" s="317"/>
      <c r="W196" s="317"/>
      <c r="X196" s="317"/>
      <c r="Y196" s="317"/>
      <c r="Z196" s="317"/>
      <c r="AA196" s="317"/>
      <c r="AB196" s="317"/>
      <c r="AC196" s="317"/>
      <c r="AD196" s="317"/>
    </row>
    <row r="197" ht="20.25" customHeight="1">
      <c r="A197" s="320"/>
      <c r="B197" s="317"/>
      <c r="C197" s="317"/>
      <c r="D197" s="317"/>
      <c r="E197" s="317"/>
      <c r="F197" s="317"/>
      <c r="G197" s="317"/>
      <c r="H197" s="318"/>
      <c r="I197" s="317"/>
      <c r="J197" s="319"/>
      <c r="K197" s="317"/>
      <c r="L197" s="317"/>
      <c r="M197" s="317"/>
      <c r="N197" s="317"/>
      <c r="O197" s="317"/>
      <c r="P197" s="317"/>
      <c r="Q197" s="317"/>
      <c r="R197" s="317"/>
      <c r="S197" s="317"/>
      <c r="T197" s="317"/>
      <c r="U197" s="317"/>
      <c r="V197" s="317"/>
      <c r="W197" s="317"/>
      <c r="X197" s="317"/>
      <c r="Y197" s="317"/>
      <c r="Z197" s="317"/>
      <c r="AA197" s="317"/>
      <c r="AB197" s="317"/>
      <c r="AC197" s="317"/>
      <c r="AD197" s="317"/>
    </row>
    <row r="198" ht="20.25" customHeight="1">
      <c r="A198" s="320"/>
      <c r="B198" s="317"/>
      <c r="C198" s="317"/>
      <c r="D198" s="317"/>
      <c r="E198" s="317"/>
      <c r="F198" s="317"/>
      <c r="G198" s="317"/>
      <c r="H198" s="318"/>
      <c r="I198" s="317"/>
      <c r="J198" s="319"/>
      <c r="K198" s="317"/>
      <c r="L198" s="317"/>
      <c r="M198" s="317"/>
      <c r="N198" s="317"/>
      <c r="O198" s="317"/>
      <c r="P198" s="317"/>
      <c r="Q198" s="317"/>
      <c r="R198" s="317"/>
      <c r="S198" s="317"/>
      <c r="T198" s="317"/>
      <c r="U198" s="317"/>
      <c r="V198" s="317"/>
      <c r="W198" s="317"/>
      <c r="X198" s="317"/>
      <c r="Y198" s="317"/>
      <c r="Z198" s="317"/>
      <c r="AA198" s="317"/>
      <c r="AB198" s="317"/>
      <c r="AC198" s="317"/>
      <c r="AD198" s="317"/>
    </row>
    <row r="199" ht="20.25" customHeight="1">
      <c r="A199" s="320"/>
      <c r="B199" s="317"/>
      <c r="C199" s="317"/>
      <c r="D199" s="317"/>
      <c r="E199" s="317"/>
      <c r="F199" s="317"/>
      <c r="G199" s="317"/>
      <c r="H199" s="318"/>
      <c r="I199" s="317"/>
      <c r="J199" s="319"/>
      <c r="K199" s="317"/>
      <c r="L199" s="317"/>
      <c r="M199" s="317"/>
      <c r="N199" s="317"/>
      <c r="O199" s="317"/>
      <c r="P199" s="317"/>
      <c r="Q199" s="317"/>
      <c r="R199" s="317"/>
      <c r="S199" s="317"/>
      <c r="T199" s="317"/>
      <c r="U199" s="317"/>
      <c r="V199" s="317"/>
      <c r="W199" s="317"/>
      <c r="X199" s="317"/>
      <c r="Y199" s="317"/>
      <c r="Z199" s="317"/>
      <c r="AA199" s="317"/>
      <c r="AB199" s="317"/>
      <c r="AC199" s="317"/>
      <c r="AD199" s="317"/>
    </row>
    <row r="200" ht="20.25" customHeight="1">
      <c r="A200" s="320"/>
      <c r="B200" s="317"/>
      <c r="C200" s="317"/>
      <c r="D200" s="317"/>
      <c r="E200" s="317"/>
      <c r="F200" s="317"/>
      <c r="G200" s="317"/>
      <c r="H200" s="318"/>
      <c r="I200" s="317"/>
      <c r="J200" s="319"/>
      <c r="K200" s="317"/>
      <c r="L200" s="317"/>
      <c r="M200" s="317"/>
      <c r="N200" s="317"/>
      <c r="O200" s="317"/>
      <c r="P200" s="317"/>
      <c r="Q200" s="317"/>
      <c r="R200" s="317"/>
      <c r="S200" s="317"/>
      <c r="T200" s="317"/>
      <c r="U200" s="317"/>
      <c r="V200" s="317"/>
      <c r="W200" s="317"/>
      <c r="X200" s="317"/>
      <c r="Y200" s="317"/>
      <c r="Z200" s="317"/>
      <c r="AA200" s="317"/>
      <c r="AB200" s="317"/>
      <c r="AC200" s="317"/>
      <c r="AD200" s="317"/>
    </row>
    <row r="201" ht="20.25" customHeight="1">
      <c r="A201" s="320"/>
      <c r="B201" s="317"/>
      <c r="C201" s="317"/>
      <c r="D201" s="317"/>
      <c r="E201" s="317"/>
      <c r="F201" s="317"/>
      <c r="G201" s="317"/>
      <c r="H201" s="318"/>
      <c r="I201" s="317"/>
      <c r="J201" s="319"/>
      <c r="K201" s="317"/>
      <c r="L201" s="317"/>
      <c r="M201" s="317"/>
      <c r="N201" s="317"/>
      <c r="O201" s="317"/>
      <c r="P201" s="317"/>
      <c r="Q201" s="317"/>
      <c r="R201" s="317"/>
      <c r="S201" s="317"/>
      <c r="T201" s="317"/>
      <c r="U201" s="317"/>
      <c r="V201" s="317"/>
      <c r="W201" s="317"/>
      <c r="X201" s="317"/>
      <c r="Y201" s="317"/>
      <c r="Z201" s="317"/>
      <c r="AA201" s="317"/>
      <c r="AB201" s="317"/>
      <c r="AC201" s="317"/>
      <c r="AD201" s="317"/>
    </row>
    <row r="202" ht="20.25" customHeight="1">
      <c r="A202" s="320"/>
      <c r="B202" s="317"/>
      <c r="C202" s="317"/>
      <c r="D202" s="317"/>
      <c r="E202" s="317"/>
      <c r="F202" s="317"/>
      <c r="G202" s="317"/>
      <c r="H202" s="318"/>
      <c r="I202" s="317"/>
      <c r="J202" s="319"/>
      <c r="K202" s="317"/>
      <c r="L202" s="317"/>
      <c r="M202" s="317"/>
      <c r="N202" s="317"/>
      <c r="O202" s="317"/>
      <c r="P202" s="317"/>
      <c r="Q202" s="317"/>
      <c r="R202" s="317"/>
      <c r="S202" s="317"/>
      <c r="T202" s="317"/>
      <c r="U202" s="317"/>
      <c r="V202" s="317"/>
      <c r="W202" s="317"/>
      <c r="X202" s="317"/>
      <c r="Y202" s="317"/>
      <c r="Z202" s="317"/>
      <c r="AA202" s="317"/>
      <c r="AB202" s="317"/>
      <c r="AC202" s="317"/>
      <c r="AD202" s="317"/>
    </row>
    <row r="203" ht="20.25" customHeight="1">
      <c r="A203" s="320"/>
      <c r="B203" s="317"/>
      <c r="C203" s="317"/>
      <c r="D203" s="317"/>
      <c r="E203" s="317"/>
      <c r="F203" s="317"/>
      <c r="G203" s="317"/>
      <c r="H203" s="318"/>
      <c r="I203" s="317"/>
      <c r="J203" s="319"/>
      <c r="K203" s="317"/>
      <c r="L203" s="317"/>
      <c r="M203" s="317"/>
      <c r="N203" s="317"/>
      <c r="O203" s="317"/>
      <c r="P203" s="317"/>
      <c r="Q203" s="317"/>
      <c r="R203" s="317"/>
      <c r="S203" s="317"/>
      <c r="T203" s="317"/>
      <c r="U203" s="317"/>
      <c r="V203" s="317"/>
      <c r="W203" s="317"/>
      <c r="X203" s="317"/>
      <c r="Y203" s="317"/>
      <c r="Z203" s="317"/>
      <c r="AA203" s="317"/>
      <c r="AB203" s="317"/>
      <c r="AC203" s="317"/>
      <c r="AD203" s="317"/>
    </row>
    <row r="204" ht="20.25" customHeight="1">
      <c r="A204" s="320"/>
      <c r="B204" s="317"/>
      <c r="C204" s="317"/>
      <c r="D204" s="317"/>
      <c r="E204" s="317"/>
      <c r="F204" s="317"/>
      <c r="G204" s="317"/>
      <c r="H204" s="318"/>
      <c r="I204" s="317"/>
      <c r="J204" s="319"/>
      <c r="K204" s="317"/>
      <c r="L204" s="317"/>
      <c r="M204" s="317"/>
      <c r="N204" s="317"/>
      <c r="O204" s="317"/>
      <c r="P204" s="317"/>
      <c r="Q204" s="317"/>
      <c r="R204" s="317"/>
      <c r="S204" s="317"/>
      <c r="T204" s="317"/>
      <c r="U204" s="317"/>
      <c r="V204" s="317"/>
      <c r="W204" s="317"/>
      <c r="X204" s="317"/>
      <c r="Y204" s="317"/>
      <c r="Z204" s="317"/>
      <c r="AA204" s="317"/>
      <c r="AB204" s="317"/>
      <c r="AC204" s="317"/>
      <c r="AD204" s="317"/>
    </row>
    <row r="205" ht="20.25" customHeight="1">
      <c r="A205" s="320"/>
      <c r="B205" s="317"/>
      <c r="C205" s="317"/>
      <c r="D205" s="317"/>
      <c r="E205" s="317"/>
      <c r="F205" s="317"/>
      <c r="G205" s="317"/>
      <c r="H205" s="318"/>
      <c r="I205" s="317"/>
      <c r="J205" s="319"/>
      <c r="K205" s="317"/>
      <c r="L205" s="317"/>
      <c r="M205" s="317"/>
      <c r="N205" s="317"/>
      <c r="O205" s="317"/>
      <c r="P205" s="317"/>
      <c r="Q205" s="317"/>
      <c r="R205" s="317"/>
      <c r="S205" s="317"/>
      <c r="T205" s="317"/>
      <c r="U205" s="317"/>
      <c r="V205" s="317"/>
      <c r="W205" s="317"/>
      <c r="X205" s="317"/>
      <c r="Y205" s="317"/>
      <c r="Z205" s="317"/>
      <c r="AA205" s="317"/>
      <c r="AB205" s="317"/>
      <c r="AC205" s="317"/>
      <c r="AD205" s="317"/>
    </row>
    <row r="206" ht="20.25" customHeight="1">
      <c r="A206" s="320"/>
      <c r="B206" s="317"/>
      <c r="C206" s="317"/>
      <c r="D206" s="317"/>
      <c r="E206" s="317"/>
      <c r="F206" s="317"/>
      <c r="G206" s="317"/>
      <c r="H206" s="318"/>
      <c r="I206" s="317"/>
      <c r="J206" s="319"/>
      <c r="K206" s="317"/>
      <c r="L206" s="317"/>
      <c r="M206" s="317"/>
      <c r="N206" s="317"/>
      <c r="O206" s="317"/>
      <c r="P206" s="317"/>
      <c r="Q206" s="317"/>
      <c r="R206" s="317"/>
      <c r="S206" s="317"/>
      <c r="T206" s="317"/>
      <c r="U206" s="317"/>
      <c r="V206" s="317"/>
      <c r="W206" s="317"/>
      <c r="X206" s="317"/>
      <c r="Y206" s="317"/>
      <c r="Z206" s="317"/>
      <c r="AA206" s="317"/>
      <c r="AB206" s="317"/>
      <c r="AC206" s="317"/>
      <c r="AD206" s="317"/>
    </row>
    <row r="207" ht="20.25" customHeight="1">
      <c r="A207" s="320"/>
      <c r="B207" s="317"/>
      <c r="C207" s="317"/>
      <c r="D207" s="317"/>
      <c r="E207" s="317"/>
      <c r="F207" s="317"/>
      <c r="G207" s="317"/>
      <c r="H207" s="318"/>
      <c r="I207" s="317"/>
      <c r="J207" s="319"/>
      <c r="K207" s="317"/>
      <c r="L207" s="317"/>
      <c r="M207" s="317"/>
      <c r="N207" s="317"/>
      <c r="O207" s="317"/>
      <c r="P207" s="317"/>
      <c r="Q207" s="317"/>
      <c r="R207" s="317"/>
      <c r="S207" s="317"/>
      <c r="T207" s="317"/>
      <c r="U207" s="317"/>
      <c r="V207" s="317"/>
      <c r="W207" s="317"/>
      <c r="X207" s="317"/>
      <c r="Y207" s="317"/>
      <c r="Z207" s="317"/>
      <c r="AA207" s="317"/>
      <c r="AB207" s="317"/>
      <c r="AC207" s="317"/>
      <c r="AD207" s="317"/>
    </row>
    <row r="208" ht="20.25" customHeight="1">
      <c r="A208" s="320"/>
      <c r="B208" s="317"/>
      <c r="C208" s="317"/>
      <c r="D208" s="317"/>
      <c r="E208" s="317"/>
      <c r="F208" s="317"/>
      <c r="G208" s="317"/>
      <c r="H208" s="318"/>
      <c r="I208" s="317"/>
      <c r="J208" s="319"/>
      <c r="K208" s="317"/>
      <c r="L208" s="317"/>
      <c r="M208" s="317"/>
      <c r="N208" s="317"/>
      <c r="O208" s="317"/>
      <c r="P208" s="317"/>
      <c r="Q208" s="317"/>
      <c r="R208" s="317"/>
      <c r="S208" s="317"/>
      <c r="T208" s="317"/>
      <c r="U208" s="317"/>
      <c r="V208" s="317"/>
      <c r="W208" s="317"/>
      <c r="X208" s="317"/>
      <c r="Y208" s="317"/>
      <c r="Z208" s="317"/>
      <c r="AA208" s="317"/>
      <c r="AB208" s="317"/>
      <c r="AC208" s="317"/>
      <c r="AD208" s="317"/>
    </row>
    <row r="209" ht="20.25" customHeight="1">
      <c r="A209" s="320"/>
      <c r="B209" s="317"/>
      <c r="C209" s="317"/>
      <c r="D209" s="317"/>
      <c r="E209" s="317"/>
      <c r="F209" s="317"/>
      <c r="G209" s="317"/>
      <c r="H209" s="318"/>
      <c r="I209" s="317"/>
      <c r="J209" s="319"/>
      <c r="K209" s="317"/>
      <c r="L209" s="317"/>
      <c r="M209" s="317"/>
      <c r="N209" s="317"/>
      <c r="O209" s="317"/>
      <c r="P209" s="317"/>
      <c r="Q209" s="317"/>
      <c r="R209" s="317"/>
      <c r="S209" s="317"/>
      <c r="T209" s="317"/>
      <c r="U209" s="317"/>
      <c r="V209" s="317"/>
      <c r="W209" s="317"/>
      <c r="X209" s="317"/>
      <c r="Y209" s="317"/>
      <c r="Z209" s="317"/>
      <c r="AA209" s="317"/>
      <c r="AB209" s="317"/>
      <c r="AC209" s="317"/>
      <c r="AD209" s="317"/>
    </row>
    <row r="210" ht="20.25" customHeight="1">
      <c r="A210" s="320"/>
      <c r="B210" s="317"/>
      <c r="C210" s="317"/>
      <c r="D210" s="317"/>
      <c r="E210" s="317"/>
      <c r="F210" s="317"/>
      <c r="G210" s="317"/>
      <c r="H210" s="318"/>
      <c r="I210" s="317"/>
      <c r="J210" s="319"/>
      <c r="K210" s="317"/>
      <c r="L210" s="317"/>
      <c r="M210" s="317"/>
      <c r="N210" s="317"/>
      <c r="O210" s="317"/>
      <c r="P210" s="317"/>
      <c r="Q210" s="317"/>
      <c r="R210" s="317"/>
      <c r="S210" s="317"/>
      <c r="T210" s="317"/>
      <c r="U210" s="317"/>
      <c r="V210" s="317"/>
      <c r="W210" s="317"/>
      <c r="X210" s="317"/>
      <c r="Y210" s="317"/>
      <c r="Z210" s="317"/>
      <c r="AA210" s="317"/>
      <c r="AB210" s="317"/>
      <c r="AC210" s="317"/>
      <c r="AD210" s="317"/>
    </row>
    <row r="211" ht="20.25" customHeight="1">
      <c r="A211" s="320"/>
      <c r="B211" s="317"/>
      <c r="C211" s="317"/>
      <c r="D211" s="317"/>
      <c r="E211" s="317"/>
      <c r="F211" s="317"/>
      <c r="G211" s="317"/>
      <c r="H211" s="318"/>
      <c r="I211" s="317"/>
      <c r="J211" s="319"/>
      <c r="K211" s="317"/>
      <c r="L211" s="317"/>
      <c r="M211" s="317"/>
      <c r="N211" s="317"/>
      <c r="O211" s="317"/>
      <c r="P211" s="317"/>
      <c r="Q211" s="317"/>
      <c r="R211" s="317"/>
      <c r="S211" s="317"/>
      <c r="T211" s="317"/>
      <c r="U211" s="317"/>
      <c r="V211" s="317"/>
      <c r="W211" s="317"/>
      <c r="X211" s="317"/>
      <c r="Y211" s="317"/>
      <c r="Z211" s="317"/>
      <c r="AA211" s="317"/>
      <c r="AB211" s="317"/>
      <c r="AC211" s="317"/>
      <c r="AD211" s="317"/>
    </row>
    <row r="212" ht="20.25" customHeight="1">
      <c r="A212" s="320"/>
      <c r="B212" s="317"/>
      <c r="C212" s="317"/>
      <c r="D212" s="317"/>
      <c r="E212" s="317"/>
      <c r="F212" s="317"/>
      <c r="G212" s="317"/>
      <c r="H212" s="318"/>
      <c r="I212" s="317"/>
      <c r="J212" s="319"/>
      <c r="K212" s="317"/>
      <c r="L212" s="317"/>
      <c r="M212" s="317"/>
      <c r="N212" s="317"/>
      <c r="O212" s="317"/>
      <c r="P212" s="317"/>
      <c r="Q212" s="317"/>
      <c r="R212" s="317"/>
      <c r="S212" s="317"/>
      <c r="T212" s="317"/>
      <c r="U212" s="317"/>
      <c r="V212" s="317"/>
      <c r="W212" s="317"/>
      <c r="X212" s="317"/>
      <c r="Y212" s="317"/>
      <c r="Z212" s="317"/>
      <c r="AA212" s="317"/>
      <c r="AB212" s="317"/>
      <c r="AC212" s="317"/>
      <c r="AD212" s="317"/>
    </row>
    <row r="213" ht="20.25" customHeight="1">
      <c r="A213" s="320"/>
      <c r="B213" s="317"/>
      <c r="C213" s="317"/>
      <c r="D213" s="317"/>
      <c r="E213" s="317"/>
      <c r="F213" s="317"/>
      <c r="G213" s="317"/>
      <c r="H213" s="318"/>
      <c r="I213" s="317"/>
      <c r="J213" s="319"/>
      <c r="K213" s="317"/>
      <c r="L213" s="317"/>
      <c r="M213" s="317"/>
      <c r="N213" s="317"/>
      <c r="O213" s="317"/>
      <c r="P213" s="317"/>
      <c r="Q213" s="317"/>
      <c r="R213" s="317"/>
      <c r="S213" s="317"/>
      <c r="T213" s="317"/>
      <c r="U213" s="317"/>
      <c r="V213" s="317"/>
      <c r="W213" s="317"/>
      <c r="X213" s="317"/>
      <c r="Y213" s="317"/>
      <c r="Z213" s="317"/>
      <c r="AA213" s="317"/>
      <c r="AB213" s="317"/>
      <c r="AC213" s="317"/>
      <c r="AD213" s="317"/>
    </row>
    <row r="214" ht="20.25" customHeight="1">
      <c r="A214" s="320"/>
      <c r="B214" s="317"/>
      <c r="C214" s="317"/>
      <c r="D214" s="317"/>
      <c r="E214" s="317"/>
      <c r="F214" s="317"/>
      <c r="G214" s="317"/>
      <c r="H214" s="318"/>
      <c r="I214" s="317"/>
      <c r="J214" s="319"/>
      <c r="K214" s="317"/>
      <c r="L214" s="317"/>
      <c r="M214" s="317"/>
      <c r="N214" s="317"/>
      <c r="O214" s="317"/>
      <c r="P214" s="317"/>
      <c r="Q214" s="317"/>
      <c r="R214" s="317"/>
      <c r="S214" s="317"/>
      <c r="T214" s="317"/>
      <c r="U214" s="317"/>
      <c r="V214" s="317"/>
      <c r="W214" s="317"/>
      <c r="X214" s="317"/>
      <c r="Y214" s="317"/>
      <c r="Z214" s="317"/>
      <c r="AA214" s="317"/>
      <c r="AB214" s="317"/>
      <c r="AC214" s="317"/>
      <c r="AD214" s="317"/>
    </row>
    <row r="215" ht="20.25" customHeight="1">
      <c r="A215" s="320"/>
      <c r="B215" s="317"/>
      <c r="C215" s="317"/>
      <c r="D215" s="317"/>
      <c r="E215" s="317"/>
      <c r="F215" s="317"/>
      <c r="G215" s="317"/>
      <c r="H215" s="318"/>
      <c r="I215" s="317"/>
      <c r="J215" s="319"/>
      <c r="K215" s="317"/>
      <c r="L215" s="317"/>
      <c r="M215" s="317"/>
      <c r="N215" s="317"/>
      <c r="O215" s="317"/>
      <c r="P215" s="317"/>
      <c r="Q215" s="317"/>
      <c r="R215" s="317"/>
      <c r="S215" s="317"/>
      <c r="T215" s="317"/>
      <c r="U215" s="317"/>
      <c r="V215" s="317"/>
      <c r="W215" s="317"/>
      <c r="X215" s="317"/>
      <c r="Y215" s="317"/>
      <c r="Z215" s="317"/>
      <c r="AA215" s="317"/>
      <c r="AB215" s="317"/>
      <c r="AC215" s="317"/>
      <c r="AD215" s="317"/>
    </row>
    <row r="216" ht="20.25" customHeight="1">
      <c r="A216" s="320"/>
      <c r="B216" s="317"/>
      <c r="C216" s="317"/>
      <c r="D216" s="317"/>
      <c r="E216" s="317"/>
      <c r="F216" s="317"/>
      <c r="G216" s="317"/>
      <c r="H216" s="318"/>
      <c r="I216" s="317"/>
      <c r="J216" s="319"/>
      <c r="K216" s="317"/>
      <c r="L216" s="317"/>
      <c r="M216" s="317"/>
      <c r="N216" s="317"/>
      <c r="O216" s="317"/>
      <c r="P216" s="317"/>
      <c r="Q216" s="317"/>
      <c r="R216" s="317"/>
      <c r="S216" s="317"/>
      <c r="T216" s="317"/>
      <c r="U216" s="317"/>
      <c r="V216" s="317"/>
      <c r="W216" s="317"/>
      <c r="X216" s="317"/>
      <c r="Y216" s="317"/>
      <c r="Z216" s="317"/>
      <c r="AA216" s="317"/>
      <c r="AB216" s="317"/>
      <c r="AC216" s="317"/>
      <c r="AD216" s="317"/>
    </row>
    <row r="217" ht="20.25" customHeight="1">
      <c r="A217" s="320"/>
      <c r="B217" s="317"/>
      <c r="C217" s="317"/>
      <c r="D217" s="317"/>
      <c r="E217" s="317"/>
      <c r="F217" s="317"/>
      <c r="G217" s="317"/>
      <c r="H217" s="318"/>
      <c r="I217" s="317"/>
      <c r="J217" s="319"/>
      <c r="K217" s="317"/>
      <c r="L217" s="317"/>
      <c r="M217" s="317"/>
      <c r="N217" s="317"/>
      <c r="O217" s="317"/>
      <c r="P217" s="317"/>
      <c r="Q217" s="317"/>
      <c r="R217" s="317"/>
      <c r="S217" s="317"/>
      <c r="T217" s="317"/>
      <c r="U217" s="317"/>
      <c r="V217" s="317"/>
      <c r="W217" s="317"/>
      <c r="X217" s="317"/>
      <c r="Y217" s="317"/>
      <c r="Z217" s="317"/>
      <c r="AA217" s="317"/>
      <c r="AB217" s="317"/>
      <c r="AC217" s="317"/>
      <c r="AD217" s="317"/>
    </row>
    <row r="218" ht="20.25" customHeight="1">
      <c r="A218" s="320"/>
      <c r="B218" s="317"/>
      <c r="C218" s="317"/>
      <c r="D218" s="317"/>
      <c r="E218" s="317"/>
      <c r="F218" s="317"/>
      <c r="G218" s="317"/>
      <c r="H218" s="318"/>
      <c r="I218" s="317"/>
      <c r="J218" s="319"/>
      <c r="K218" s="317"/>
      <c r="L218" s="317"/>
      <c r="M218" s="317"/>
      <c r="N218" s="317"/>
      <c r="O218" s="317"/>
      <c r="P218" s="317"/>
      <c r="Q218" s="317"/>
      <c r="R218" s="317"/>
      <c r="S218" s="317"/>
      <c r="T218" s="317"/>
      <c r="U218" s="317"/>
      <c r="V218" s="317"/>
      <c r="W218" s="317"/>
      <c r="X218" s="317"/>
      <c r="Y218" s="317"/>
      <c r="Z218" s="317"/>
      <c r="AA218" s="317"/>
      <c r="AB218" s="317"/>
      <c r="AC218" s="317"/>
      <c r="AD218" s="317"/>
    </row>
    <row r="219" ht="20.25" customHeight="1">
      <c r="A219" s="320"/>
      <c r="B219" s="317"/>
      <c r="C219" s="317"/>
      <c r="D219" s="317"/>
      <c r="E219" s="317"/>
      <c r="F219" s="317"/>
      <c r="G219" s="317"/>
      <c r="H219" s="318"/>
      <c r="I219" s="317"/>
      <c r="J219" s="319"/>
      <c r="K219" s="317"/>
      <c r="L219" s="317"/>
      <c r="M219" s="317"/>
      <c r="N219" s="317"/>
      <c r="O219" s="317"/>
      <c r="P219" s="317"/>
      <c r="Q219" s="317"/>
      <c r="R219" s="317"/>
      <c r="S219" s="317"/>
      <c r="T219" s="317"/>
      <c r="U219" s="317"/>
      <c r="V219" s="317"/>
      <c r="W219" s="317"/>
      <c r="X219" s="317"/>
      <c r="Y219" s="317"/>
      <c r="Z219" s="317"/>
      <c r="AA219" s="317"/>
      <c r="AB219" s="317"/>
      <c r="AC219" s="317"/>
      <c r="AD219" s="317"/>
    </row>
    <row r="220" ht="20.25" customHeight="1">
      <c r="A220" s="320"/>
      <c r="B220" s="317"/>
      <c r="C220" s="317"/>
      <c r="D220" s="317"/>
      <c r="E220" s="317"/>
      <c r="F220" s="317"/>
      <c r="G220" s="317"/>
      <c r="H220" s="318"/>
      <c r="I220" s="317"/>
      <c r="J220" s="319"/>
      <c r="K220" s="317"/>
      <c r="L220" s="317"/>
      <c r="M220" s="317"/>
      <c r="N220" s="317"/>
      <c r="O220" s="317"/>
      <c r="P220" s="317"/>
      <c r="Q220" s="317"/>
      <c r="R220" s="317"/>
      <c r="S220" s="317"/>
      <c r="T220" s="317"/>
      <c r="U220" s="317"/>
      <c r="V220" s="317"/>
      <c r="W220" s="317"/>
      <c r="X220" s="317"/>
      <c r="Y220" s="317"/>
      <c r="Z220" s="317"/>
      <c r="AA220" s="317"/>
      <c r="AB220" s="317"/>
      <c r="AC220" s="317"/>
      <c r="AD220" s="317"/>
    </row>
    <row r="221" ht="20.25" customHeight="1">
      <c r="A221" s="320"/>
      <c r="B221" s="317"/>
      <c r="C221" s="317"/>
      <c r="D221" s="317"/>
      <c r="E221" s="317"/>
      <c r="F221" s="317"/>
      <c r="G221" s="317"/>
      <c r="H221" s="318"/>
      <c r="I221" s="317"/>
      <c r="J221" s="319"/>
      <c r="K221" s="317"/>
      <c r="L221" s="317"/>
      <c r="M221" s="317"/>
      <c r="N221" s="317"/>
      <c r="O221" s="317"/>
      <c r="P221" s="317"/>
      <c r="Q221" s="317"/>
      <c r="R221" s="317"/>
      <c r="S221" s="317"/>
      <c r="T221" s="317"/>
      <c r="U221" s="317"/>
      <c r="V221" s="317"/>
      <c r="W221" s="317"/>
      <c r="X221" s="317"/>
      <c r="Y221" s="317"/>
      <c r="Z221" s="317"/>
      <c r="AA221" s="317"/>
      <c r="AB221" s="317"/>
      <c r="AC221" s="317"/>
      <c r="AD221" s="317"/>
    </row>
    <row r="222" ht="20.25" customHeight="1">
      <c r="A222" s="320"/>
      <c r="B222" s="317"/>
      <c r="C222" s="317"/>
      <c r="D222" s="317"/>
      <c r="E222" s="317"/>
      <c r="F222" s="317"/>
      <c r="G222" s="317"/>
      <c r="H222" s="318"/>
      <c r="I222" s="317"/>
      <c r="J222" s="319"/>
      <c r="K222" s="317"/>
      <c r="L222" s="317"/>
      <c r="M222" s="317"/>
      <c r="N222" s="317"/>
      <c r="O222" s="317"/>
      <c r="P222" s="317"/>
      <c r="Q222" s="317"/>
      <c r="R222" s="317"/>
      <c r="S222" s="317"/>
      <c r="T222" s="317"/>
      <c r="U222" s="317"/>
      <c r="V222" s="317"/>
      <c r="W222" s="317"/>
      <c r="X222" s="317"/>
      <c r="Y222" s="317"/>
      <c r="Z222" s="317"/>
      <c r="AA222" s="317"/>
      <c r="AB222" s="317"/>
      <c r="AC222" s="317"/>
      <c r="AD222" s="317"/>
    </row>
    <row r="223" ht="20.25" customHeight="1">
      <c r="A223" s="320"/>
      <c r="B223" s="317"/>
      <c r="C223" s="317"/>
      <c r="D223" s="317"/>
      <c r="E223" s="317"/>
      <c r="F223" s="317"/>
      <c r="G223" s="317"/>
      <c r="H223" s="318"/>
      <c r="I223" s="317"/>
      <c r="J223" s="319"/>
      <c r="K223" s="317"/>
      <c r="L223" s="317"/>
      <c r="M223" s="317"/>
      <c r="N223" s="317"/>
      <c r="O223" s="317"/>
      <c r="P223" s="317"/>
      <c r="Q223" s="317"/>
      <c r="R223" s="317"/>
      <c r="S223" s="317"/>
      <c r="T223" s="317"/>
      <c r="U223" s="317"/>
      <c r="V223" s="317"/>
      <c r="W223" s="317"/>
      <c r="X223" s="317"/>
      <c r="Y223" s="317"/>
      <c r="Z223" s="317"/>
      <c r="AA223" s="317"/>
      <c r="AB223" s="317"/>
      <c r="AC223" s="317"/>
      <c r="AD223" s="317"/>
    </row>
    <row r="224" ht="20.25" customHeight="1">
      <c r="A224" s="320"/>
      <c r="B224" s="317"/>
      <c r="C224" s="317"/>
      <c r="D224" s="317"/>
      <c r="E224" s="317"/>
      <c r="F224" s="317"/>
      <c r="G224" s="317"/>
      <c r="H224" s="318"/>
      <c r="I224" s="317"/>
      <c r="J224" s="319"/>
      <c r="K224" s="317"/>
      <c r="L224" s="317"/>
      <c r="M224" s="317"/>
      <c r="N224" s="317"/>
      <c r="O224" s="317"/>
      <c r="P224" s="317"/>
      <c r="Q224" s="317"/>
      <c r="R224" s="317"/>
      <c r="S224" s="317"/>
      <c r="T224" s="317"/>
      <c r="U224" s="317"/>
      <c r="V224" s="317"/>
      <c r="W224" s="317"/>
      <c r="X224" s="317"/>
      <c r="Y224" s="317"/>
      <c r="Z224" s="317"/>
      <c r="AA224" s="317"/>
      <c r="AB224" s="317"/>
      <c r="AC224" s="317"/>
      <c r="AD224" s="317"/>
    </row>
    <row r="225" ht="20.25" customHeight="1">
      <c r="A225" s="320"/>
      <c r="B225" s="317"/>
      <c r="C225" s="317"/>
      <c r="D225" s="317"/>
      <c r="E225" s="317"/>
      <c r="F225" s="317"/>
      <c r="G225" s="317"/>
      <c r="H225" s="318"/>
      <c r="I225" s="317"/>
      <c r="J225" s="319"/>
      <c r="K225" s="317"/>
      <c r="L225" s="317"/>
      <c r="M225" s="317"/>
      <c r="N225" s="317"/>
      <c r="O225" s="317"/>
      <c r="P225" s="317"/>
      <c r="Q225" s="317"/>
      <c r="R225" s="317"/>
      <c r="S225" s="317"/>
      <c r="T225" s="317"/>
      <c r="U225" s="317"/>
      <c r="V225" s="317"/>
      <c r="W225" s="317"/>
      <c r="X225" s="317"/>
      <c r="Y225" s="317"/>
      <c r="Z225" s="317"/>
      <c r="AA225" s="317"/>
      <c r="AB225" s="317"/>
      <c r="AC225" s="317"/>
      <c r="AD225" s="317"/>
    </row>
    <row r="226" ht="20.25" customHeight="1">
      <c r="A226" s="320"/>
      <c r="B226" s="317"/>
      <c r="C226" s="317"/>
      <c r="D226" s="317"/>
      <c r="E226" s="317"/>
      <c r="F226" s="317"/>
      <c r="G226" s="317"/>
      <c r="H226" s="318"/>
      <c r="I226" s="317"/>
      <c r="J226" s="319"/>
      <c r="K226" s="317"/>
      <c r="L226" s="317"/>
      <c r="M226" s="317"/>
      <c r="N226" s="317"/>
      <c r="O226" s="317"/>
      <c r="P226" s="317"/>
      <c r="Q226" s="317"/>
      <c r="R226" s="317"/>
      <c r="S226" s="317"/>
      <c r="T226" s="317"/>
      <c r="U226" s="317"/>
      <c r="V226" s="317"/>
      <c r="W226" s="317"/>
      <c r="X226" s="317"/>
      <c r="Y226" s="317"/>
      <c r="Z226" s="317"/>
      <c r="AA226" s="317"/>
      <c r="AB226" s="317"/>
      <c r="AC226" s="317"/>
      <c r="AD226" s="317"/>
    </row>
    <row r="227" ht="20.25" customHeight="1">
      <c r="A227" s="320"/>
      <c r="B227" s="317"/>
      <c r="C227" s="317"/>
      <c r="D227" s="317"/>
      <c r="E227" s="317"/>
      <c r="F227" s="317"/>
      <c r="G227" s="317"/>
      <c r="H227" s="318"/>
      <c r="I227" s="317"/>
      <c r="J227" s="319"/>
      <c r="K227" s="317"/>
      <c r="L227" s="317"/>
      <c r="M227" s="317"/>
      <c r="N227" s="317"/>
      <c r="O227" s="317"/>
      <c r="P227" s="317"/>
      <c r="Q227" s="317"/>
      <c r="R227" s="317"/>
      <c r="S227" s="317"/>
      <c r="T227" s="317"/>
      <c r="U227" s="317"/>
      <c r="V227" s="317"/>
      <c r="W227" s="317"/>
      <c r="X227" s="317"/>
      <c r="Y227" s="317"/>
      <c r="Z227" s="317"/>
      <c r="AA227" s="317"/>
      <c r="AB227" s="317"/>
      <c r="AC227" s="317"/>
      <c r="AD227" s="317"/>
    </row>
    <row r="228" ht="20.25" customHeight="1">
      <c r="A228" s="320"/>
      <c r="B228" s="317"/>
      <c r="C228" s="317"/>
      <c r="D228" s="317"/>
      <c r="E228" s="317"/>
      <c r="F228" s="317"/>
      <c r="G228" s="317"/>
      <c r="H228" s="318"/>
      <c r="I228" s="317"/>
      <c r="J228" s="319"/>
      <c r="K228" s="317"/>
      <c r="L228" s="317"/>
      <c r="M228" s="317"/>
      <c r="N228" s="317"/>
      <c r="O228" s="317"/>
      <c r="P228" s="317"/>
      <c r="Q228" s="317"/>
      <c r="R228" s="317"/>
      <c r="S228" s="317"/>
      <c r="T228" s="317"/>
      <c r="U228" s="317"/>
      <c r="V228" s="317"/>
      <c r="W228" s="317"/>
      <c r="X228" s="317"/>
      <c r="Y228" s="317"/>
      <c r="Z228" s="317"/>
      <c r="AA228" s="317"/>
      <c r="AB228" s="317"/>
      <c r="AC228" s="317"/>
      <c r="AD228" s="317"/>
    </row>
    <row r="229" ht="20.25" customHeight="1">
      <c r="A229" s="320"/>
      <c r="B229" s="317"/>
      <c r="C229" s="317"/>
      <c r="D229" s="317"/>
      <c r="E229" s="317"/>
      <c r="F229" s="317"/>
      <c r="G229" s="317"/>
      <c r="H229" s="318"/>
      <c r="I229" s="317"/>
      <c r="J229" s="319"/>
      <c r="K229" s="317"/>
      <c r="L229" s="317"/>
      <c r="M229" s="317"/>
      <c r="N229" s="317"/>
      <c r="O229" s="317"/>
      <c r="P229" s="317"/>
      <c r="Q229" s="317"/>
      <c r="R229" s="317"/>
      <c r="S229" s="317"/>
      <c r="T229" s="317"/>
      <c r="U229" s="317"/>
      <c r="V229" s="317"/>
      <c r="W229" s="317"/>
      <c r="X229" s="317"/>
      <c r="Y229" s="317"/>
      <c r="Z229" s="317"/>
      <c r="AA229" s="317"/>
      <c r="AB229" s="317"/>
      <c r="AC229" s="317"/>
      <c r="AD229" s="317"/>
    </row>
    <row r="230" ht="20.25" customHeight="1">
      <c r="A230" s="320"/>
      <c r="B230" s="317"/>
      <c r="C230" s="317"/>
      <c r="D230" s="317"/>
      <c r="E230" s="317"/>
      <c r="F230" s="317"/>
      <c r="G230" s="317"/>
      <c r="H230" s="318"/>
      <c r="I230" s="317"/>
      <c r="J230" s="319"/>
      <c r="K230" s="317"/>
      <c r="L230" s="317"/>
      <c r="M230" s="317"/>
      <c r="N230" s="317"/>
      <c r="O230" s="317"/>
      <c r="P230" s="317"/>
      <c r="Q230" s="317"/>
      <c r="R230" s="317"/>
      <c r="S230" s="317"/>
      <c r="T230" s="317"/>
      <c r="U230" s="317"/>
      <c r="V230" s="317"/>
      <c r="W230" s="317"/>
      <c r="X230" s="317"/>
      <c r="Y230" s="317"/>
      <c r="Z230" s="317"/>
      <c r="AA230" s="317"/>
      <c r="AB230" s="317"/>
      <c r="AC230" s="317"/>
      <c r="AD230" s="317"/>
    </row>
    <row r="231" ht="20.25" customHeight="1">
      <c r="A231" s="320"/>
      <c r="B231" s="317"/>
      <c r="C231" s="317"/>
      <c r="D231" s="317"/>
      <c r="E231" s="317"/>
      <c r="F231" s="317"/>
      <c r="G231" s="317"/>
      <c r="H231" s="318"/>
      <c r="I231" s="317"/>
      <c r="J231" s="319"/>
      <c r="K231" s="317"/>
      <c r="L231" s="317"/>
      <c r="M231" s="317"/>
      <c r="N231" s="317"/>
      <c r="O231" s="317"/>
      <c r="P231" s="317"/>
      <c r="Q231" s="317"/>
      <c r="R231" s="317"/>
      <c r="S231" s="317"/>
      <c r="T231" s="317"/>
      <c r="U231" s="317"/>
      <c r="V231" s="317"/>
      <c r="W231" s="317"/>
      <c r="X231" s="317"/>
      <c r="Y231" s="317"/>
      <c r="Z231" s="317"/>
      <c r="AA231" s="317"/>
      <c r="AB231" s="317"/>
      <c r="AC231" s="317"/>
      <c r="AD231" s="317"/>
    </row>
    <row r="232" ht="20.25" customHeight="1">
      <c r="A232" s="320"/>
      <c r="B232" s="317"/>
      <c r="C232" s="317"/>
      <c r="D232" s="317"/>
      <c r="E232" s="317"/>
      <c r="F232" s="317"/>
      <c r="G232" s="317"/>
      <c r="H232" s="318"/>
      <c r="I232" s="317"/>
      <c r="J232" s="319"/>
      <c r="K232" s="317"/>
      <c r="L232" s="317"/>
      <c r="M232" s="317"/>
      <c r="N232" s="317"/>
      <c r="O232" s="317"/>
      <c r="P232" s="317"/>
      <c r="Q232" s="317"/>
      <c r="R232" s="317"/>
      <c r="S232" s="317"/>
      <c r="T232" s="317"/>
      <c r="U232" s="317"/>
      <c r="V232" s="317"/>
      <c r="W232" s="317"/>
      <c r="X232" s="317"/>
      <c r="Y232" s="317"/>
      <c r="Z232" s="317"/>
      <c r="AA232" s="317"/>
      <c r="AB232" s="317"/>
      <c r="AC232" s="317"/>
      <c r="AD232" s="317"/>
    </row>
    <row r="233" ht="20.25" customHeight="1">
      <c r="A233" s="320"/>
      <c r="B233" s="317"/>
      <c r="C233" s="317"/>
      <c r="D233" s="317"/>
      <c r="E233" s="317"/>
      <c r="F233" s="317"/>
      <c r="G233" s="317"/>
      <c r="H233" s="318"/>
      <c r="I233" s="317"/>
      <c r="J233" s="319"/>
      <c r="K233" s="317"/>
      <c r="L233" s="317"/>
      <c r="M233" s="317"/>
      <c r="N233" s="317"/>
      <c r="O233" s="317"/>
      <c r="P233" s="317"/>
      <c r="Q233" s="317"/>
      <c r="R233" s="317"/>
      <c r="S233" s="317"/>
      <c r="T233" s="317"/>
      <c r="U233" s="317"/>
      <c r="V233" s="317"/>
      <c r="W233" s="317"/>
      <c r="X233" s="317"/>
      <c r="Y233" s="317"/>
      <c r="Z233" s="317"/>
      <c r="AA233" s="317"/>
      <c r="AB233" s="317"/>
      <c r="AC233" s="317"/>
      <c r="AD233" s="317"/>
    </row>
    <row r="234" ht="20.25" customHeight="1">
      <c r="A234" s="320"/>
      <c r="B234" s="317"/>
      <c r="C234" s="317"/>
      <c r="D234" s="317"/>
      <c r="E234" s="317"/>
      <c r="F234" s="317"/>
      <c r="G234" s="317"/>
      <c r="H234" s="318"/>
      <c r="I234" s="317"/>
      <c r="J234" s="319"/>
      <c r="K234" s="317"/>
      <c r="L234" s="317"/>
      <c r="M234" s="317"/>
      <c r="N234" s="317"/>
      <c r="O234" s="317"/>
      <c r="P234" s="317"/>
      <c r="Q234" s="317"/>
      <c r="R234" s="317"/>
      <c r="S234" s="317"/>
      <c r="T234" s="317"/>
      <c r="U234" s="317"/>
      <c r="V234" s="317"/>
      <c r="W234" s="317"/>
      <c r="X234" s="317"/>
      <c r="Y234" s="317"/>
      <c r="Z234" s="317"/>
      <c r="AA234" s="317"/>
      <c r="AB234" s="317"/>
      <c r="AC234" s="317"/>
      <c r="AD234" s="317"/>
    </row>
    <row r="235" ht="20.25" customHeight="1">
      <c r="A235" s="320"/>
      <c r="B235" s="317"/>
      <c r="C235" s="317"/>
      <c r="D235" s="317"/>
      <c r="E235" s="317"/>
      <c r="F235" s="317"/>
      <c r="G235" s="317"/>
      <c r="H235" s="318"/>
      <c r="I235" s="317"/>
      <c r="J235" s="319"/>
      <c r="K235" s="317"/>
      <c r="L235" s="317"/>
      <c r="M235" s="317"/>
      <c r="N235" s="317"/>
      <c r="O235" s="317"/>
      <c r="P235" s="317"/>
      <c r="Q235" s="317"/>
      <c r="R235" s="317"/>
      <c r="S235" s="317"/>
      <c r="T235" s="317"/>
      <c r="U235" s="317"/>
      <c r="V235" s="317"/>
      <c r="W235" s="317"/>
      <c r="X235" s="317"/>
      <c r="Y235" s="317"/>
      <c r="Z235" s="317"/>
      <c r="AA235" s="317"/>
      <c r="AB235" s="317"/>
      <c r="AC235" s="317"/>
      <c r="AD235" s="317"/>
    </row>
    <row r="236" ht="20.25" customHeight="1">
      <c r="A236" s="320"/>
      <c r="B236" s="317"/>
      <c r="C236" s="317"/>
      <c r="D236" s="317"/>
      <c r="E236" s="317"/>
      <c r="F236" s="317"/>
      <c r="G236" s="317"/>
      <c r="H236" s="318"/>
      <c r="I236" s="317"/>
      <c r="J236" s="319"/>
      <c r="K236" s="317"/>
      <c r="L236" s="317"/>
      <c r="M236" s="317"/>
      <c r="N236" s="317"/>
      <c r="O236" s="317"/>
      <c r="P236" s="317"/>
      <c r="Q236" s="317"/>
      <c r="R236" s="317"/>
      <c r="S236" s="317"/>
      <c r="T236" s="317"/>
      <c r="U236" s="317"/>
      <c r="V236" s="317"/>
      <c r="W236" s="317"/>
      <c r="X236" s="317"/>
      <c r="Y236" s="317"/>
      <c r="Z236" s="317"/>
      <c r="AA236" s="317"/>
      <c r="AB236" s="317"/>
      <c r="AC236" s="317"/>
      <c r="AD236" s="317"/>
    </row>
    <row r="237" ht="20.25" customHeight="1">
      <c r="A237" s="320"/>
      <c r="B237" s="317"/>
      <c r="C237" s="317"/>
      <c r="D237" s="317"/>
      <c r="E237" s="317"/>
      <c r="F237" s="317"/>
      <c r="G237" s="317"/>
      <c r="H237" s="318"/>
      <c r="I237" s="317"/>
      <c r="J237" s="319"/>
      <c r="K237" s="317"/>
      <c r="L237" s="317"/>
      <c r="M237" s="317"/>
      <c r="N237" s="317"/>
      <c r="O237" s="317"/>
      <c r="P237" s="317"/>
      <c r="Q237" s="317"/>
      <c r="R237" s="317"/>
      <c r="S237" s="317"/>
      <c r="T237" s="317"/>
      <c r="U237" s="317"/>
      <c r="V237" s="317"/>
      <c r="W237" s="317"/>
      <c r="X237" s="317"/>
      <c r="Y237" s="317"/>
      <c r="Z237" s="317"/>
      <c r="AA237" s="317"/>
      <c r="AB237" s="317"/>
      <c r="AC237" s="317"/>
      <c r="AD237" s="317"/>
    </row>
    <row r="238" ht="20.25" customHeight="1">
      <c r="A238" s="320"/>
      <c r="B238" s="317"/>
      <c r="C238" s="317"/>
      <c r="D238" s="317"/>
      <c r="E238" s="317"/>
      <c r="F238" s="317"/>
      <c r="G238" s="317"/>
      <c r="H238" s="318"/>
      <c r="I238" s="317"/>
      <c r="J238" s="319"/>
      <c r="K238" s="317"/>
      <c r="L238" s="317"/>
      <c r="M238" s="317"/>
      <c r="N238" s="317"/>
      <c r="O238" s="317"/>
      <c r="P238" s="317"/>
      <c r="Q238" s="317"/>
      <c r="R238" s="317"/>
      <c r="S238" s="317"/>
      <c r="T238" s="317"/>
      <c r="U238" s="317"/>
      <c r="V238" s="317"/>
      <c r="W238" s="317"/>
      <c r="X238" s="317"/>
      <c r="Y238" s="317"/>
      <c r="Z238" s="317"/>
      <c r="AA238" s="317"/>
      <c r="AB238" s="317"/>
      <c r="AC238" s="317"/>
      <c r="AD238" s="317"/>
    </row>
    <row r="239" ht="20.25" customHeight="1">
      <c r="A239" s="320"/>
      <c r="B239" s="317"/>
      <c r="C239" s="317"/>
      <c r="D239" s="317"/>
      <c r="E239" s="317"/>
      <c r="F239" s="317"/>
      <c r="G239" s="317"/>
      <c r="H239" s="318"/>
      <c r="I239" s="317"/>
      <c r="J239" s="319"/>
      <c r="K239" s="317"/>
      <c r="L239" s="317"/>
      <c r="M239" s="317"/>
      <c r="N239" s="317"/>
      <c r="O239" s="317"/>
      <c r="P239" s="317"/>
      <c r="Q239" s="317"/>
      <c r="R239" s="317"/>
      <c r="S239" s="317"/>
      <c r="T239" s="317"/>
      <c r="U239" s="317"/>
      <c r="V239" s="317"/>
      <c r="W239" s="317"/>
      <c r="X239" s="317"/>
      <c r="Y239" s="317"/>
      <c r="Z239" s="317"/>
      <c r="AA239" s="317"/>
      <c r="AB239" s="317"/>
      <c r="AC239" s="317"/>
      <c r="AD239" s="317"/>
    </row>
    <row r="240" ht="20.25" customHeight="1">
      <c r="A240" s="320"/>
      <c r="B240" s="317"/>
      <c r="C240" s="317"/>
      <c r="D240" s="317"/>
      <c r="E240" s="317"/>
      <c r="F240" s="317"/>
      <c r="G240" s="317"/>
      <c r="H240" s="318"/>
      <c r="I240" s="317"/>
      <c r="J240" s="319"/>
      <c r="K240" s="317"/>
      <c r="L240" s="317"/>
      <c r="M240" s="317"/>
      <c r="N240" s="317"/>
      <c r="O240" s="317"/>
      <c r="P240" s="317"/>
      <c r="Q240" s="317"/>
      <c r="R240" s="317"/>
      <c r="S240" s="317"/>
      <c r="T240" s="317"/>
      <c r="U240" s="317"/>
      <c r="V240" s="317"/>
      <c r="W240" s="317"/>
      <c r="X240" s="317"/>
      <c r="Y240" s="317"/>
      <c r="Z240" s="317"/>
      <c r="AA240" s="317"/>
      <c r="AB240" s="317"/>
      <c r="AC240" s="317"/>
      <c r="AD240" s="317"/>
    </row>
    <row r="241" ht="20.25" customHeight="1">
      <c r="A241" s="320"/>
      <c r="B241" s="317"/>
      <c r="C241" s="317"/>
      <c r="D241" s="317"/>
      <c r="E241" s="317"/>
      <c r="F241" s="317"/>
      <c r="G241" s="317"/>
      <c r="H241" s="318"/>
      <c r="I241" s="317"/>
      <c r="J241" s="319"/>
      <c r="K241" s="317"/>
      <c r="L241" s="317"/>
      <c r="M241" s="317"/>
      <c r="N241" s="317"/>
      <c r="O241" s="317"/>
      <c r="P241" s="317"/>
      <c r="Q241" s="317"/>
      <c r="R241" s="317"/>
      <c r="S241" s="317"/>
      <c r="T241" s="317"/>
      <c r="U241" s="317"/>
      <c r="V241" s="317"/>
      <c r="W241" s="317"/>
      <c r="X241" s="317"/>
      <c r="Y241" s="317"/>
      <c r="Z241" s="317"/>
      <c r="AA241" s="317"/>
      <c r="AB241" s="317"/>
      <c r="AC241" s="317"/>
      <c r="AD241" s="317"/>
    </row>
    <row r="242" ht="20.25" customHeight="1">
      <c r="A242" s="320"/>
      <c r="B242" s="317"/>
      <c r="C242" s="317"/>
      <c r="D242" s="317"/>
      <c r="E242" s="317"/>
      <c r="F242" s="317"/>
      <c r="G242" s="317"/>
      <c r="H242" s="318"/>
      <c r="I242" s="317"/>
      <c r="J242" s="319"/>
      <c r="K242" s="317"/>
      <c r="L242" s="317"/>
      <c r="M242" s="317"/>
      <c r="N242" s="317"/>
      <c r="O242" s="317"/>
      <c r="P242" s="317"/>
      <c r="Q242" s="317"/>
      <c r="R242" s="317"/>
      <c r="S242" s="317"/>
      <c r="T242" s="317"/>
      <c r="U242" s="317"/>
      <c r="V242" s="317"/>
      <c r="W242" s="317"/>
      <c r="X242" s="317"/>
      <c r="Y242" s="317"/>
      <c r="Z242" s="317"/>
      <c r="AA242" s="317"/>
      <c r="AB242" s="317"/>
      <c r="AC242" s="317"/>
      <c r="AD242" s="317"/>
    </row>
    <row r="243" ht="20.25" customHeight="1">
      <c r="A243" s="320"/>
      <c r="B243" s="317"/>
      <c r="C243" s="317"/>
      <c r="D243" s="317"/>
      <c r="E243" s="317"/>
      <c r="F243" s="317"/>
      <c r="G243" s="317"/>
      <c r="H243" s="318"/>
      <c r="I243" s="317"/>
      <c r="J243" s="319"/>
      <c r="K243" s="317"/>
      <c r="L243" s="317"/>
      <c r="M243" s="317"/>
      <c r="N243" s="317"/>
      <c r="O243" s="317"/>
      <c r="P243" s="317"/>
      <c r="Q243" s="317"/>
      <c r="R243" s="317"/>
      <c r="S243" s="317"/>
      <c r="T243" s="317"/>
      <c r="U243" s="317"/>
      <c r="V243" s="317"/>
      <c r="W243" s="317"/>
      <c r="X243" s="317"/>
      <c r="Y243" s="317"/>
      <c r="Z243" s="317"/>
      <c r="AA243" s="317"/>
      <c r="AB243" s="317"/>
      <c r="AC243" s="317"/>
      <c r="AD243" s="317"/>
    </row>
    <row r="244" ht="20.25" customHeight="1">
      <c r="A244" s="320"/>
      <c r="B244" s="317"/>
      <c r="C244" s="317"/>
      <c r="D244" s="317"/>
      <c r="E244" s="317"/>
      <c r="F244" s="317"/>
      <c r="G244" s="317"/>
      <c r="H244" s="318"/>
      <c r="I244" s="317"/>
      <c r="J244" s="319"/>
      <c r="K244" s="317"/>
      <c r="L244" s="317"/>
      <c r="M244" s="317"/>
      <c r="N244" s="317"/>
      <c r="O244" s="317"/>
      <c r="P244" s="317"/>
      <c r="Q244" s="317"/>
      <c r="R244" s="317"/>
      <c r="S244" s="317"/>
      <c r="T244" s="317"/>
      <c r="U244" s="317"/>
      <c r="V244" s="317"/>
      <c r="W244" s="317"/>
      <c r="X244" s="317"/>
      <c r="Y244" s="317"/>
      <c r="Z244" s="317"/>
      <c r="AA244" s="317"/>
      <c r="AB244" s="317"/>
      <c r="AC244" s="317"/>
      <c r="AD244" s="317"/>
    </row>
    <row r="245" ht="20.25" customHeight="1">
      <c r="A245" s="320"/>
      <c r="B245" s="317"/>
      <c r="C245" s="317"/>
      <c r="D245" s="317"/>
      <c r="E245" s="317"/>
      <c r="F245" s="317"/>
      <c r="G245" s="317"/>
      <c r="H245" s="318"/>
      <c r="I245" s="317"/>
      <c r="J245" s="319"/>
      <c r="K245" s="317"/>
      <c r="L245" s="317"/>
      <c r="M245" s="317"/>
      <c r="N245" s="317"/>
      <c r="O245" s="317"/>
      <c r="P245" s="317"/>
      <c r="Q245" s="317"/>
      <c r="R245" s="317"/>
      <c r="S245" s="317"/>
      <c r="T245" s="317"/>
      <c r="U245" s="317"/>
      <c r="V245" s="317"/>
      <c r="W245" s="317"/>
      <c r="X245" s="317"/>
      <c r="Y245" s="317"/>
      <c r="Z245" s="317"/>
      <c r="AA245" s="317"/>
      <c r="AB245" s="317"/>
      <c r="AC245" s="317"/>
      <c r="AD245" s="317"/>
    </row>
    <row r="246" ht="20.25" customHeight="1">
      <c r="A246" s="320"/>
      <c r="B246" s="317"/>
      <c r="C246" s="317"/>
      <c r="D246" s="317"/>
      <c r="E246" s="317"/>
      <c r="F246" s="317"/>
      <c r="G246" s="317"/>
      <c r="H246" s="318"/>
      <c r="I246" s="317"/>
      <c r="J246" s="319"/>
      <c r="K246" s="317"/>
      <c r="L246" s="317"/>
      <c r="M246" s="317"/>
      <c r="N246" s="317"/>
      <c r="O246" s="317"/>
      <c r="P246" s="317"/>
      <c r="Q246" s="317"/>
      <c r="R246" s="317"/>
      <c r="S246" s="317"/>
      <c r="T246" s="317"/>
      <c r="U246" s="317"/>
      <c r="V246" s="317"/>
      <c r="W246" s="317"/>
      <c r="X246" s="317"/>
      <c r="Y246" s="317"/>
      <c r="Z246" s="317"/>
      <c r="AA246" s="317"/>
      <c r="AB246" s="317"/>
      <c r="AC246" s="317"/>
      <c r="AD246" s="317"/>
    </row>
    <row r="247" ht="20.25" customHeight="1">
      <c r="A247" s="320"/>
      <c r="B247" s="317"/>
      <c r="C247" s="317"/>
      <c r="D247" s="317"/>
      <c r="E247" s="317"/>
      <c r="F247" s="317"/>
      <c r="G247" s="317"/>
      <c r="H247" s="318"/>
      <c r="I247" s="317"/>
      <c r="J247" s="319"/>
      <c r="K247" s="317"/>
      <c r="L247" s="317"/>
      <c r="M247" s="317"/>
      <c r="N247" s="317"/>
      <c r="O247" s="317"/>
      <c r="P247" s="317"/>
      <c r="Q247" s="317"/>
      <c r="R247" s="317"/>
      <c r="S247" s="317"/>
      <c r="T247" s="317"/>
      <c r="U247" s="317"/>
      <c r="V247" s="317"/>
      <c r="W247" s="317"/>
      <c r="X247" s="317"/>
      <c r="Y247" s="317"/>
      <c r="Z247" s="317"/>
      <c r="AA247" s="317"/>
      <c r="AB247" s="317"/>
      <c r="AC247" s="317"/>
      <c r="AD247" s="317"/>
    </row>
    <row r="248" ht="20.25" customHeight="1">
      <c r="A248" s="320"/>
      <c r="B248" s="317"/>
      <c r="C248" s="317"/>
      <c r="D248" s="317"/>
      <c r="E248" s="317"/>
      <c r="F248" s="317"/>
      <c r="G248" s="317"/>
      <c r="H248" s="318"/>
      <c r="I248" s="317"/>
      <c r="J248" s="319"/>
      <c r="K248" s="317"/>
      <c r="L248" s="317"/>
      <c r="M248" s="317"/>
      <c r="N248" s="317"/>
      <c r="O248" s="317"/>
      <c r="P248" s="317"/>
      <c r="Q248" s="317"/>
      <c r="R248" s="317"/>
      <c r="S248" s="317"/>
      <c r="T248" s="317"/>
      <c r="U248" s="317"/>
      <c r="V248" s="317"/>
      <c r="W248" s="317"/>
      <c r="X248" s="317"/>
      <c r="Y248" s="317"/>
      <c r="Z248" s="317"/>
      <c r="AA248" s="317"/>
      <c r="AB248" s="317"/>
      <c r="AC248" s="317"/>
      <c r="AD248" s="317"/>
    </row>
    <row r="249" ht="20.25" customHeight="1">
      <c r="A249" s="320"/>
      <c r="B249" s="317"/>
      <c r="C249" s="317"/>
      <c r="D249" s="317"/>
      <c r="E249" s="317"/>
      <c r="F249" s="317"/>
      <c r="G249" s="317"/>
      <c r="H249" s="318"/>
      <c r="I249" s="317"/>
      <c r="J249" s="319"/>
      <c r="K249" s="317"/>
      <c r="L249" s="317"/>
      <c r="M249" s="317"/>
      <c r="N249" s="317"/>
      <c r="O249" s="317"/>
      <c r="P249" s="317"/>
      <c r="Q249" s="317"/>
      <c r="R249" s="317"/>
      <c r="S249" s="317"/>
      <c r="T249" s="317"/>
      <c r="U249" s="317"/>
      <c r="V249" s="317"/>
      <c r="W249" s="317"/>
      <c r="X249" s="317"/>
      <c r="Y249" s="317"/>
      <c r="Z249" s="317"/>
      <c r="AA249" s="317"/>
      <c r="AB249" s="317"/>
      <c r="AC249" s="317"/>
      <c r="AD249" s="317"/>
    </row>
    <row r="250" ht="20.25" customHeight="1">
      <c r="A250" s="320"/>
      <c r="B250" s="317"/>
      <c r="C250" s="317"/>
      <c r="D250" s="317"/>
      <c r="E250" s="317"/>
      <c r="F250" s="317"/>
      <c r="G250" s="317"/>
      <c r="H250" s="318"/>
      <c r="I250" s="317"/>
      <c r="J250" s="319"/>
      <c r="K250" s="317"/>
      <c r="L250" s="317"/>
      <c r="M250" s="317"/>
      <c r="N250" s="317"/>
      <c r="O250" s="317"/>
      <c r="P250" s="317"/>
      <c r="Q250" s="317"/>
      <c r="R250" s="317"/>
      <c r="S250" s="317"/>
      <c r="T250" s="317"/>
      <c r="U250" s="317"/>
      <c r="V250" s="317"/>
      <c r="W250" s="317"/>
      <c r="X250" s="317"/>
      <c r="Y250" s="317"/>
      <c r="Z250" s="317"/>
      <c r="AA250" s="317"/>
      <c r="AB250" s="317"/>
      <c r="AC250" s="317"/>
      <c r="AD250" s="317"/>
    </row>
    <row r="251" ht="20.25" customHeight="1">
      <c r="A251" s="320"/>
      <c r="B251" s="317"/>
      <c r="C251" s="317"/>
      <c r="D251" s="317"/>
      <c r="E251" s="317"/>
      <c r="F251" s="317"/>
      <c r="G251" s="317"/>
      <c r="H251" s="318"/>
      <c r="I251" s="317"/>
      <c r="J251" s="319"/>
      <c r="K251" s="317"/>
      <c r="L251" s="317"/>
      <c r="M251" s="317"/>
      <c r="N251" s="317"/>
      <c r="O251" s="317"/>
      <c r="P251" s="317"/>
      <c r="Q251" s="317"/>
      <c r="R251" s="317"/>
      <c r="S251" s="317"/>
      <c r="T251" s="317"/>
      <c r="U251" s="317"/>
      <c r="V251" s="317"/>
      <c r="W251" s="317"/>
      <c r="X251" s="317"/>
      <c r="Y251" s="317"/>
      <c r="Z251" s="317"/>
      <c r="AA251" s="317"/>
      <c r="AB251" s="317"/>
      <c r="AC251" s="317"/>
      <c r="AD251" s="317"/>
    </row>
    <row r="252" ht="20.25" customHeight="1">
      <c r="A252" s="320"/>
      <c r="B252" s="317"/>
      <c r="C252" s="317"/>
      <c r="D252" s="317"/>
      <c r="E252" s="317"/>
      <c r="F252" s="317"/>
      <c r="G252" s="317"/>
      <c r="H252" s="318"/>
      <c r="I252" s="317"/>
      <c r="J252" s="319"/>
      <c r="K252" s="317"/>
      <c r="L252" s="317"/>
      <c r="M252" s="317"/>
      <c r="N252" s="317"/>
      <c r="O252" s="317"/>
      <c r="P252" s="317"/>
      <c r="Q252" s="317"/>
      <c r="R252" s="317"/>
      <c r="S252" s="317"/>
      <c r="T252" s="317"/>
      <c r="U252" s="317"/>
      <c r="V252" s="317"/>
      <c r="W252" s="317"/>
      <c r="X252" s="317"/>
      <c r="Y252" s="317"/>
      <c r="Z252" s="317"/>
      <c r="AA252" s="317"/>
      <c r="AB252" s="317"/>
      <c r="AC252" s="317"/>
      <c r="AD252" s="317"/>
    </row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8.29"/>
    <col customWidth="1" min="16" max="16" width="19.57"/>
    <col customWidth="1" min="17" max="17" width="17.43"/>
    <col customWidth="1" min="18" max="18" width="17.86"/>
    <col customWidth="1" min="19" max="19" width="17.0"/>
    <col customWidth="1" min="20" max="20" width="15.14"/>
    <col customWidth="1" min="21" max="21" width="13.86"/>
    <col customWidth="1" min="22" max="23" width="9.14"/>
    <col customWidth="1" min="24" max="24" width="16.0"/>
    <col customWidth="1" min="25" max="35" width="9.14"/>
  </cols>
  <sheetData>
    <row r="1" ht="18.75" customHeight="1">
      <c r="A1" s="139" t="s">
        <v>53</v>
      </c>
      <c r="B1" s="139"/>
      <c r="C1" s="139"/>
      <c r="D1" s="139"/>
      <c r="E1" s="139"/>
      <c r="F1" s="140"/>
      <c r="G1" s="139"/>
      <c r="H1" s="139"/>
      <c r="I1" s="139"/>
      <c r="J1" s="139"/>
      <c r="K1" s="139"/>
      <c r="L1" s="139"/>
      <c r="M1" s="139"/>
      <c r="N1" s="139"/>
      <c r="O1" s="139"/>
      <c r="P1" s="141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</row>
    <row r="2" ht="18.75" customHeight="1">
      <c r="A2" s="139"/>
      <c r="B2" s="139"/>
      <c r="C2" s="139"/>
      <c r="D2" s="139"/>
      <c r="E2" s="139"/>
      <c r="F2" s="140"/>
      <c r="G2" s="139"/>
      <c r="H2" s="139"/>
      <c r="I2" s="139"/>
      <c r="J2" s="139"/>
      <c r="K2" s="139"/>
      <c r="L2" s="139"/>
      <c r="M2" s="139"/>
      <c r="N2" s="139"/>
      <c r="O2" s="139"/>
      <c r="P2" s="141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ht="18.75" customHeight="1">
      <c r="A3" s="142" t="s">
        <v>1</v>
      </c>
      <c r="B3" s="142"/>
      <c r="C3" s="142"/>
      <c r="D3" s="139"/>
      <c r="E3" s="139"/>
      <c r="F3" s="140"/>
      <c r="G3" s="139"/>
      <c r="H3" s="139"/>
      <c r="I3" s="139"/>
      <c r="J3" s="139"/>
      <c r="K3" s="139"/>
      <c r="L3" s="139"/>
      <c r="M3" s="139"/>
      <c r="N3" s="139"/>
      <c r="O3" s="139"/>
      <c r="P3" s="141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</row>
    <row r="4" ht="29.25" customHeight="1">
      <c r="A4" s="139"/>
      <c r="B4" s="139"/>
      <c r="C4" s="139"/>
      <c r="D4" s="139"/>
      <c r="E4" s="139"/>
      <c r="F4" s="140" t="s">
        <v>2</v>
      </c>
      <c r="G4" s="143">
        <v>43466.0</v>
      </c>
      <c r="H4" s="139"/>
      <c r="I4" s="139"/>
      <c r="J4" s="139"/>
      <c r="K4" s="139"/>
      <c r="L4" s="139"/>
      <c r="M4" s="139"/>
      <c r="N4" s="139"/>
      <c r="O4" s="139"/>
      <c r="P4" s="141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</row>
    <row r="5" ht="18.75" customHeight="1">
      <c r="A5" s="139" t="s">
        <v>4</v>
      </c>
      <c r="B5" s="139"/>
      <c r="C5" s="139"/>
      <c r="D5" s="139"/>
      <c r="E5" s="139"/>
      <c r="F5" s="140"/>
      <c r="G5" s="139"/>
      <c r="H5" s="139"/>
      <c r="I5" s="139"/>
      <c r="J5" s="139"/>
      <c r="K5" s="139"/>
      <c r="L5" s="139"/>
      <c r="M5" s="139"/>
      <c r="N5" s="139"/>
      <c r="O5" s="139"/>
      <c r="P5" s="141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</row>
    <row r="6" ht="18.75" customHeight="1">
      <c r="A6" s="144"/>
      <c r="B6" s="144"/>
      <c r="C6" s="144"/>
      <c r="D6" s="144"/>
      <c r="E6" s="144"/>
      <c r="F6" s="145"/>
      <c r="G6" s="144"/>
      <c r="H6" s="139"/>
      <c r="I6" s="139"/>
      <c r="J6" s="139"/>
      <c r="K6" s="139"/>
      <c r="L6" s="139"/>
      <c r="M6" s="139"/>
      <c r="N6" s="139"/>
      <c r="O6" s="139"/>
      <c r="P6" s="141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</row>
    <row r="7" ht="36.0" customHeight="1">
      <c r="A7" s="146" t="s">
        <v>6</v>
      </c>
      <c r="B7" s="147"/>
      <c r="C7" s="148" t="s">
        <v>258</v>
      </c>
      <c r="D7" s="149" t="s">
        <v>8</v>
      </c>
      <c r="E7" s="150" t="s">
        <v>9</v>
      </c>
      <c r="F7" s="147"/>
      <c r="G7" s="152" t="s">
        <v>10</v>
      </c>
      <c r="H7" s="139"/>
      <c r="I7" s="139"/>
      <c r="J7" s="139"/>
      <c r="K7" s="139"/>
      <c r="L7" s="139"/>
      <c r="M7" s="139"/>
      <c r="N7" s="139"/>
      <c r="O7" s="139"/>
      <c r="P7" s="141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</row>
    <row r="8" ht="26.25" customHeight="1">
      <c r="A8" s="153">
        <v>1.0</v>
      </c>
      <c r="B8" s="154"/>
      <c r="C8" s="154"/>
      <c r="D8" s="155"/>
      <c r="E8" s="156"/>
      <c r="F8" s="157"/>
      <c r="G8" s="158">
        <f t="shared" ref="G8:G24" si="1">+D8*E8</f>
        <v>0</v>
      </c>
      <c r="H8" s="159">
        <f t="shared" ref="H8:H24" si="2">E8-G8</f>
        <v>0</v>
      </c>
      <c r="I8" s="139"/>
      <c r="J8" s="139"/>
      <c r="K8" s="139"/>
      <c r="L8" s="139"/>
      <c r="M8" s="139"/>
      <c r="N8" s="139"/>
      <c r="O8" s="139"/>
      <c r="P8" s="141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</row>
    <row r="9" ht="26.25" customHeight="1">
      <c r="A9" s="153">
        <v>2.0</v>
      </c>
      <c r="B9" s="154"/>
      <c r="C9" s="154"/>
      <c r="D9" s="155"/>
      <c r="E9" s="156"/>
      <c r="F9" s="157"/>
      <c r="G9" s="158">
        <f t="shared" si="1"/>
        <v>0</v>
      </c>
      <c r="H9" s="159">
        <f t="shared" si="2"/>
        <v>0</v>
      </c>
      <c r="I9" s="139"/>
      <c r="J9" s="139"/>
      <c r="K9" s="139"/>
      <c r="L9" s="139"/>
      <c r="M9" s="139"/>
      <c r="N9" s="139"/>
      <c r="O9" s="139"/>
      <c r="P9" s="141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</row>
    <row r="10" ht="26.25" customHeight="1">
      <c r="A10" s="153">
        <v>3.0</v>
      </c>
      <c r="B10" s="154"/>
      <c r="C10" s="154"/>
      <c r="D10" s="155"/>
      <c r="E10" s="156"/>
      <c r="F10" s="157"/>
      <c r="G10" s="158">
        <f t="shared" si="1"/>
        <v>0</v>
      </c>
      <c r="H10" s="159">
        <f t="shared" si="2"/>
        <v>0</v>
      </c>
      <c r="I10" s="139"/>
      <c r="J10" s="139"/>
      <c r="K10" s="139"/>
      <c r="L10" s="139"/>
      <c r="M10" s="139"/>
      <c r="N10" s="139"/>
      <c r="O10" s="139"/>
      <c r="P10" s="141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</row>
    <row r="11" ht="26.25" customHeight="1">
      <c r="A11" s="153">
        <v>4.0</v>
      </c>
      <c r="B11" s="160"/>
      <c r="C11" s="154"/>
      <c r="D11" s="161"/>
      <c r="E11" s="162"/>
      <c r="F11" s="157"/>
      <c r="G11" s="158">
        <f t="shared" si="1"/>
        <v>0</v>
      </c>
      <c r="H11" s="159">
        <f t="shared" si="2"/>
        <v>0</v>
      </c>
      <c r="I11" s="139"/>
      <c r="J11" s="139"/>
      <c r="K11" s="139"/>
      <c r="L11" s="139"/>
      <c r="M11" s="139"/>
      <c r="N11" s="139"/>
      <c r="O11" s="139"/>
      <c r="P11" s="141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</row>
    <row r="12" ht="26.25" customHeight="1">
      <c r="A12" s="153">
        <v>5.0</v>
      </c>
      <c r="B12" s="160"/>
      <c r="C12" s="160"/>
      <c r="D12" s="161"/>
      <c r="E12" s="162"/>
      <c r="F12" s="157"/>
      <c r="G12" s="158">
        <f t="shared" si="1"/>
        <v>0</v>
      </c>
      <c r="H12" s="159">
        <f t="shared" si="2"/>
        <v>0</v>
      </c>
      <c r="I12" s="139"/>
      <c r="J12" s="139"/>
      <c r="K12" s="139"/>
      <c r="L12" s="139"/>
      <c r="M12" s="139"/>
      <c r="N12" s="139"/>
      <c r="O12" s="139"/>
      <c r="P12" s="141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</row>
    <row r="13" ht="26.25" customHeight="1">
      <c r="A13" s="153">
        <v>6.0</v>
      </c>
      <c r="B13" s="160"/>
      <c r="C13" s="160"/>
      <c r="D13" s="161"/>
      <c r="E13" s="162"/>
      <c r="F13" s="157"/>
      <c r="G13" s="158">
        <f t="shared" si="1"/>
        <v>0</v>
      </c>
      <c r="H13" s="159">
        <f t="shared" si="2"/>
        <v>0</v>
      </c>
      <c r="I13" s="139"/>
      <c r="J13" s="139"/>
      <c r="K13" s="139"/>
      <c r="L13" s="139"/>
      <c r="M13" s="139"/>
      <c r="N13" s="139"/>
      <c r="O13" s="139"/>
      <c r="P13" s="141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</row>
    <row r="14" ht="26.25" customHeight="1">
      <c r="A14" s="153">
        <v>7.0</v>
      </c>
      <c r="B14" s="160"/>
      <c r="C14" s="160"/>
      <c r="D14" s="161"/>
      <c r="E14" s="162"/>
      <c r="F14" s="157"/>
      <c r="G14" s="158">
        <f t="shared" si="1"/>
        <v>0</v>
      </c>
      <c r="H14" s="159">
        <f t="shared" si="2"/>
        <v>0</v>
      </c>
      <c r="I14" s="139"/>
      <c r="J14" s="139"/>
      <c r="K14" s="139"/>
      <c r="L14" s="139"/>
      <c r="M14" s="139"/>
      <c r="N14" s="139"/>
      <c r="O14" s="139"/>
      <c r="P14" s="141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</row>
    <row r="15" ht="26.25" customHeight="1">
      <c r="A15" s="153">
        <v>8.0</v>
      </c>
      <c r="B15" s="160"/>
      <c r="C15" s="160"/>
      <c r="D15" s="161"/>
      <c r="E15" s="162"/>
      <c r="F15" s="157"/>
      <c r="G15" s="158">
        <f t="shared" si="1"/>
        <v>0</v>
      </c>
      <c r="H15" s="159">
        <f t="shared" si="2"/>
        <v>0</v>
      </c>
      <c r="I15" s="139"/>
      <c r="J15" s="139"/>
      <c r="K15" s="139"/>
      <c r="L15" s="139"/>
      <c r="M15" s="139"/>
      <c r="N15" s="139"/>
      <c r="O15" s="139"/>
      <c r="P15" s="141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</row>
    <row r="16" ht="26.25" customHeight="1">
      <c r="A16" s="153">
        <v>9.0</v>
      </c>
      <c r="B16" s="160"/>
      <c r="C16" s="160"/>
      <c r="D16" s="161"/>
      <c r="E16" s="162"/>
      <c r="F16" s="157"/>
      <c r="G16" s="158">
        <f t="shared" si="1"/>
        <v>0</v>
      </c>
      <c r="H16" s="159">
        <f t="shared" si="2"/>
        <v>0</v>
      </c>
      <c r="I16" s="139"/>
      <c r="J16" s="139"/>
      <c r="K16" s="139"/>
      <c r="L16" s="139"/>
      <c r="M16" s="139"/>
      <c r="N16" s="139"/>
      <c r="O16" s="139"/>
      <c r="P16" s="141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</row>
    <row r="17" ht="26.25" customHeight="1">
      <c r="A17" s="153">
        <v>10.0</v>
      </c>
      <c r="B17" s="160"/>
      <c r="C17" s="160"/>
      <c r="D17" s="161"/>
      <c r="E17" s="162"/>
      <c r="F17" s="157"/>
      <c r="G17" s="158">
        <f t="shared" si="1"/>
        <v>0</v>
      </c>
      <c r="H17" s="159">
        <f t="shared" si="2"/>
        <v>0</v>
      </c>
      <c r="I17" s="139"/>
      <c r="J17" s="139"/>
      <c r="K17" s="139"/>
      <c r="L17" s="139"/>
      <c r="M17" s="139"/>
      <c r="N17" s="139"/>
      <c r="O17" s="139"/>
      <c r="P17" s="141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</row>
    <row r="18" ht="26.25" customHeight="1">
      <c r="A18" s="153">
        <v>11.0</v>
      </c>
      <c r="B18" s="160"/>
      <c r="C18" s="160"/>
      <c r="D18" s="161"/>
      <c r="E18" s="162"/>
      <c r="F18" s="157"/>
      <c r="G18" s="158">
        <f t="shared" si="1"/>
        <v>0</v>
      </c>
      <c r="H18" s="159">
        <f t="shared" si="2"/>
        <v>0</v>
      </c>
      <c r="I18" s="139"/>
      <c r="J18" s="139"/>
      <c r="K18" s="139"/>
      <c r="L18" s="139"/>
      <c r="M18" s="139"/>
      <c r="N18" s="139"/>
      <c r="O18" s="139"/>
      <c r="P18" s="141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</row>
    <row r="19" ht="26.25" customHeight="1">
      <c r="A19" s="153">
        <v>12.0</v>
      </c>
      <c r="B19" s="160"/>
      <c r="C19" s="160"/>
      <c r="D19" s="161"/>
      <c r="E19" s="162"/>
      <c r="F19" s="157"/>
      <c r="G19" s="158">
        <f t="shared" si="1"/>
        <v>0</v>
      </c>
      <c r="H19" s="159">
        <f t="shared" si="2"/>
        <v>0</v>
      </c>
      <c r="I19" s="139"/>
      <c r="J19" s="139"/>
      <c r="K19" s="139"/>
      <c r="L19" s="139"/>
      <c r="M19" s="139"/>
      <c r="N19" s="139"/>
      <c r="O19" s="139"/>
      <c r="P19" s="141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</row>
    <row r="20" ht="26.25" customHeight="1">
      <c r="A20" s="153">
        <v>13.0</v>
      </c>
      <c r="B20" s="160"/>
      <c r="C20" s="160"/>
      <c r="D20" s="161"/>
      <c r="E20" s="162"/>
      <c r="F20" s="157"/>
      <c r="G20" s="158">
        <f t="shared" si="1"/>
        <v>0</v>
      </c>
      <c r="H20" s="159">
        <f t="shared" si="2"/>
        <v>0</v>
      </c>
      <c r="I20" s="139"/>
      <c r="J20" s="139"/>
      <c r="K20" s="139"/>
      <c r="L20" s="139"/>
      <c r="M20" s="139"/>
      <c r="N20" s="139"/>
      <c r="O20" s="139"/>
      <c r="P20" s="141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</row>
    <row r="21" ht="26.25" customHeight="1">
      <c r="A21" s="153">
        <v>14.0</v>
      </c>
      <c r="B21" s="160"/>
      <c r="C21" s="160"/>
      <c r="D21" s="161"/>
      <c r="E21" s="162"/>
      <c r="F21" s="157"/>
      <c r="G21" s="158">
        <f t="shared" si="1"/>
        <v>0</v>
      </c>
      <c r="H21" s="159">
        <f t="shared" si="2"/>
        <v>0</v>
      </c>
      <c r="I21" s="139"/>
      <c r="J21" s="139"/>
      <c r="K21" s="139"/>
      <c r="L21" s="139"/>
      <c r="M21" s="139"/>
      <c r="N21" s="139"/>
      <c r="O21" s="139"/>
      <c r="P21" s="141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</row>
    <row r="22" ht="26.25" customHeight="1">
      <c r="A22" s="153">
        <v>15.0</v>
      </c>
      <c r="B22" s="160"/>
      <c r="C22" s="160"/>
      <c r="D22" s="161"/>
      <c r="E22" s="162"/>
      <c r="F22" s="157"/>
      <c r="G22" s="158">
        <f t="shared" si="1"/>
        <v>0</v>
      </c>
      <c r="H22" s="159">
        <f t="shared" si="2"/>
        <v>0</v>
      </c>
      <c r="I22" s="139"/>
      <c r="J22" s="139"/>
      <c r="K22" s="139"/>
      <c r="L22" s="139"/>
      <c r="M22" s="139"/>
      <c r="N22" s="139"/>
      <c r="O22" s="139"/>
      <c r="P22" s="141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</row>
    <row r="23" ht="26.25" customHeight="1">
      <c r="A23" s="153">
        <v>16.0</v>
      </c>
      <c r="B23" s="160"/>
      <c r="C23" s="160"/>
      <c r="D23" s="161"/>
      <c r="E23" s="162"/>
      <c r="F23" s="157"/>
      <c r="G23" s="158">
        <f t="shared" si="1"/>
        <v>0</v>
      </c>
      <c r="H23" s="159">
        <f t="shared" si="2"/>
        <v>0</v>
      </c>
      <c r="I23" s="139"/>
      <c r="J23" s="139"/>
      <c r="K23" s="139"/>
      <c r="L23" s="139"/>
      <c r="M23" s="139"/>
      <c r="N23" s="139"/>
      <c r="O23" s="139"/>
      <c r="P23" s="141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</row>
    <row r="24" ht="26.25" customHeight="1">
      <c r="A24" s="153">
        <v>17.0</v>
      </c>
      <c r="B24" s="160"/>
      <c r="C24" s="160"/>
      <c r="D24" s="161"/>
      <c r="E24" s="162"/>
      <c r="F24" s="157"/>
      <c r="G24" s="158">
        <f t="shared" si="1"/>
        <v>0</v>
      </c>
      <c r="H24" s="159">
        <f t="shared" si="2"/>
        <v>0</v>
      </c>
      <c r="I24" s="139"/>
      <c r="J24" s="139"/>
      <c r="K24" s="139"/>
      <c r="L24" s="139"/>
      <c r="M24" s="139"/>
      <c r="N24" s="139"/>
      <c r="O24" s="139"/>
      <c r="P24" s="141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</row>
    <row r="25" ht="18.75" customHeight="1">
      <c r="A25" s="163"/>
      <c r="B25" s="164"/>
      <c r="C25" s="165"/>
      <c r="D25" s="166"/>
      <c r="E25" s="167">
        <f>SUM(E8:E24)</f>
        <v>0</v>
      </c>
      <c r="F25" s="169"/>
      <c r="G25" s="170">
        <f t="shared" ref="G25:H25" si="3">SUM(G8:G24)</f>
        <v>0</v>
      </c>
      <c r="H25" s="171">
        <f t="shared" si="3"/>
        <v>0</v>
      </c>
      <c r="I25" s="139"/>
      <c r="J25" s="139"/>
      <c r="K25" s="139"/>
      <c r="L25" s="139"/>
      <c r="M25" s="139"/>
      <c r="N25" s="139"/>
      <c r="O25" s="139"/>
      <c r="P25" s="141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</row>
    <row r="26" ht="18.75" customHeight="1">
      <c r="A26" s="172"/>
      <c r="B26" s="144"/>
      <c r="C26" s="144"/>
      <c r="D26" s="173"/>
      <c r="E26" s="174"/>
      <c r="F26" s="147"/>
      <c r="G26" s="175"/>
      <c r="H26" s="139"/>
      <c r="I26" s="139"/>
      <c r="J26" s="139"/>
      <c r="K26" s="139"/>
      <c r="L26" s="139"/>
      <c r="M26" s="139"/>
      <c r="N26" s="139"/>
      <c r="O26" s="139"/>
      <c r="P26" s="141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</row>
    <row r="27" ht="18.75" customHeight="1">
      <c r="A27" s="139"/>
      <c r="B27" s="139"/>
      <c r="C27" s="139"/>
      <c r="D27" s="139"/>
      <c r="E27" s="139"/>
      <c r="F27" s="140"/>
      <c r="G27" s="139"/>
      <c r="H27" s="139"/>
      <c r="I27" s="139"/>
      <c r="J27" s="139"/>
      <c r="K27" s="139"/>
      <c r="L27" s="139"/>
      <c r="M27" s="139"/>
      <c r="N27" s="139"/>
      <c r="O27" s="139"/>
      <c r="P27" s="141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</row>
    <row r="28" ht="18.75" customHeight="1">
      <c r="A28" s="139"/>
      <c r="B28" s="139"/>
      <c r="C28" s="139"/>
      <c r="D28" s="139"/>
      <c r="E28" s="139"/>
      <c r="F28" s="140"/>
      <c r="G28" s="139"/>
      <c r="H28" s="139"/>
      <c r="I28" s="139"/>
      <c r="J28" s="139"/>
      <c r="K28" s="139"/>
      <c r="L28" s="139"/>
      <c r="M28" s="139"/>
      <c r="N28" s="139"/>
      <c r="O28" s="139"/>
      <c r="P28" s="141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</row>
    <row r="29" ht="18.75" customHeight="1">
      <c r="A29" s="139" t="s">
        <v>11</v>
      </c>
      <c r="B29" s="139"/>
      <c r="C29" s="139"/>
      <c r="D29" s="139"/>
      <c r="E29" s="139"/>
      <c r="F29" s="140"/>
      <c r="G29" s="139"/>
      <c r="H29" s="139"/>
      <c r="I29" s="139"/>
      <c r="J29" s="139"/>
      <c r="K29" s="139"/>
      <c r="L29" s="139"/>
      <c r="M29" s="139"/>
      <c r="N29" s="139"/>
      <c r="O29" s="139"/>
      <c r="P29" s="141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</row>
    <row r="30" ht="18.75" customHeight="1">
      <c r="A30" s="139"/>
      <c r="B30" s="139"/>
      <c r="C30" s="139"/>
      <c r="D30" s="139"/>
      <c r="E30" s="139"/>
      <c r="F30" s="140"/>
      <c r="G30" s="139"/>
      <c r="H30" s="139"/>
      <c r="I30" s="139"/>
      <c r="J30" s="139"/>
      <c r="K30" s="139"/>
      <c r="L30" s="139"/>
      <c r="M30" s="139"/>
      <c r="N30" s="139"/>
      <c r="O30" s="139"/>
      <c r="P30" s="141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</row>
    <row r="31" ht="40.5" customHeight="1">
      <c r="A31" s="176"/>
      <c r="B31" s="160" t="s">
        <v>12</v>
      </c>
      <c r="C31" s="177" t="s">
        <v>62</v>
      </c>
      <c r="D31" s="52"/>
      <c r="E31" s="53"/>
      <c r="F31" s="179" t="s">
        <v>14</v>
      </c>
      <c r="G31" s="160" t="s">
        <v>15</v>
      </c>
      <c r="H31" s="160" t="s">
        <v>16</v>
      </c>
      <c r="I31" s="139"/>
      <c r="J31" s="160" t="s">
        <v>17</v>
      </c>
      <c r="K31" s="160" t="s">
        <v>15</v>
      </c>
      <c r="L31" s="176" t="s">
        <v>18</v>
      </c>
      <c r="M31" s="139"/>
      <c r="N31" s="139"/>
      <c r="O31" s="176" t="s">
        <v>129</v>
      </c>
      <c r="P31" s="180"/>
      <c r="Q31" s="160" t="s">
        <v>17</v>
      </c>
      <c r="R31" s="160" t="s">
        <v>15</v>
      </c>
      <c r="S31" s="176" t="s">
        <v>18</v>
      </c>
      <c r="T31" s="139"/>
      <c r="U31" s="176" t="s">
        <v>19</v>
      </c>
      <c r="V31" s="176" t="s">
        <v>20</v>
      </c>
      <c r="W31" s="176" t="s">
        <v>21</v>
      </c>
      <c r="X31" s="176" t="s">
        <v>259</v>
      </c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</row>
    <row r="32" ht="27.0" customHeight="1">
      <c r="A32" s="160">
        <v>1.0</v>
      </c>
      <c r="B32" s="191"/>
      <c r="C32" s="191"/>
      <c r="D32" s="191"/>
      <c r="E32" s="191"/>
      <c r="F32" s="192">
        <f t="shared" ref="F32:F248" si="5">+T32</f>
        <v>0</v>
      </c>
      <c r="G32" s="191"/>
      <c r="H32" s="194">
        <f t="shared" ref="H32:H248" si="6">+G32*F32</f>
        <v>0</v>
      </c>
      <c r="I32" s="139"/>
      <c r="J32" s="176">
        <f>D32*25.4/1000</f>
        <v>0</v>
      </c>
      <c r="K32" s="160" t="str">
        <f>+G32</f>
        <v/>
      </c>
      <c r="L32" s="160">
        <f>K32*J32</f>
        <v>0</v>
      </c>
      <c r="M32" s="139"/>
      <c r="N32" s="139"/>
      <c r="O32" s="176"/>
      <c r="P32" s="281"/>
      <c r="Q32" s="176">
        <f t="shared" ref="Q32:Q249" si="7">E32/100</f>
        <v>0</v>
      </c>
      <c r="R32" s="160" t="str">
        <f t="shared" ref="R32:R249" si="8">G32</f>
        <v/>
      </c>
      <c r="S32" s="160">
        <f t="shared" ref="S32:S249" si="9">R32*Q32</f>
        <v>0</v>
      </c>
      <c r="T32" s="282">
        <f t="shared" ref="T32:T106" si="10">P32*C32/100*D32/100*E32/100</f>
        <v>0</v>
      </c>
      <c r="U32" s="176">
        <f t="shared" ref="U32:V32" si="4">C32/100</f>
        <v>0</v>
      </c>
      <c r="V32" s="176">
        <f t="shared" si="4"/>
        <v>0</v>
      </c>
      <c r="W32" s="176">
        <f t="shared" ref="W32:W249" si="12">S32</f>
        <v>0</v>
      </c>
      <c r="X32" s="283">
        <f t="shared" ref="X32:X249" si="13">U32*V32*W32</f>
        <v>0</v>
      </c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</row>
    <row r="33" ht="27.0" customHeight="1">
      <c r="A33" s="160">
        <v>2.0</v>
      </c>
      <c r="B33" s="191"/>
      <c r="C33" s="191"/>
      <c r="D33" s="191"/>
      <c r="E33" s="191"/>
      <c r="F33" s="192">
        <f t="shared" si="5"/>
        <v>0</v>
      </c>
      <c r="G33" s="191"/>
      <c r="H33" s="194">
        <f t="shared" si="6"/>
        <v>0</v>
      </c>
      <c r="I33" s="139"/>
      <c r="J33" s="176"/>
      <c r="K33" s="160"/>
      <c r="L33" s="160"/>
      <c r="M33" s="139"/>
      <c r="N33" s="139"/>
      <c r="O33" s="176"/>
      <c r="P33" s="281"/>
      <c r="Q33" s="176">
        <f t="shared" si="7"/>
        <v>0</v>
      </c>
      <c r="R33" s="160" t="str">
        <f t="shared" si="8"/>
        <v/>
      </c>
      <c r="S33" s="160">
        <f t="shared" si="9"/>
        <v>0</v>
      </c>
      <c r="T33" s="282">
        <f t="shared" si="10"/>
        <v>0</v>
      </c>
      <c r="U33" s="176">
        <f t="shared" ref="U33:V33" si="11">C33/100</f>
        <v>0</v>
      </c>
      <c r="V33" s="176">
        <f t="shared" si="11"/>
        <v>0</v>
      </c>
      <c r="W33" s="176">
        <f t="shared" si="12"/>
        <v>0</v>
      </c>
      <c r="X33" s="283">
        <f t="shared" si="13"/>
        <v>0</v>
      </c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</row>
    <row r="34" ht="27.0" customHeight="1">
      <c r="A34" s="160">
        <v>3.0</v>
      </c>
      <c r="B34" s="191"/>
      <c r="C34" s="191"/>
      <c r="D34" s="191"/>
      <c r="E34" s="191"/>
      <c r="F34" s="192">
        <f t="shared" si="5"/>
        <v>0</v>
      </c>
      <c r="G34" s="191"/>
      <c r="H34" s="194">
        <f t="shared" si="6"/>
        <v>0</v>
      </c>
      <c r="I34" s="139"/>
      <c r="J34" s="176">
        <f t="shared" ref="J34:J56" si="15">D34*25.4/1000</f>
        <v>0</v>
      </c>
      <c r="K34" s="160" t="str">
        <f t="shared" ref="K34:K69" si="16">+G34</f>
        <v/>
      </c>
      <c r="L34" s="160">
        <f t="shared" ref="L34:L56" si="17">K34*J34</f>
        <v>0</v>
      </c>
      <c r="M34" s="139"/>
      <c r="N34" s="139"/>
      <c r="O34" s="176"/>
      <c r="P34" s="281"/>
      <c r="Q34" s="176">
        <f t="shared" si="7"/>
        <v>0</v>
      </c>
      <c r="R34" s="160" t="str">
        <f t="shared" si="8"/>
        <v/>
      </c>
      <c r="S34" s="160">
        <f t="shared" si="9"/>
        <v>0</v>
      </c>
      <c r="T34" s="282">
        <f t="shared" si="10"/>
        <v>0</v>
      </c>
      <c r="U34" s="176">
        <f t="shared" ref="U34:V34" si="14">C34/100</f>
        <v>0</v>
      </c>
      <c r="V34" s="176">
        <f t="shared" si="14"/>
        <v>0</v>
      </c>
      <c r="W34" s="176">
        <f t="shared" si="12"/>
        <v>0</v>
      </c>
      <c r="X34" s="283">
        <f t="shared" si="13"/>
        <v>0</v>
      </c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</row>
    <row r="35" ht="27.0" customHeight="1">
      <c r="A35" s="160">
        <v>4.0</v>
      </c>
      <c r="B35" s="191"/>
      <c r="C35" s="191"/>
      <c r="D35" s="191"/>
      <c r="E35" s="191"/>
      <c r="F35" s="192">
        <f t="shared" si="5"/>
        <v>0</v>
      </c>
      <c r="G35" s="191"/>
      <c r="H35" s="194">
        <f t="shared" si="6"/>
        <v>0</v>
      </c>
      <c r="I35" s="139"/>
      <c r="J35" s="176">
        <f t="shared" si="15"/>
        <v>0</v>
      </c>
      <c r="K35" s="160" t="str">
        <f t="shared" si="16"/>
        <v/>
      </c>
      <c r="L35" s="160">
        <f t="shared" si="17"/>
        <v>0</v>
      </c>
      <c r="M35" s="139"/>
      <c r="N35" s="139"/>
      <c r="O35" s="176"/>
      <c r="P35" s="281"/>
      <c r="Q35" s="176">
        <f t="shared" si="7"/>
        <v>0</v>
      </c>
      <c r="R35" s="160" t="str">
        <f t="shared" si="8"/>
        <v/>
      </c>
      <c r="S35" s="160">
        <f t="shared" si="9"/>
        <v>0</v>
      </c>
      <c r="T35" s="282">
        <f t="shared" si="10"/>
        <v>0</v>
      </c>
      <c r="U35" s="176">
        <f t="shared" ref="U35:V35" si="18">C35/100</f>
        <v>0</v>
      </c>
      <c r="V35" s="176">
        <f t="shared" si="18"/>
        <v>0</v>
      </c>
      <c r="W35" s="176">
        <f t="shared" si="12"/>
        <v>0</v>
      </c>
      <c r="X35" s="283">
        <f t="shared" si="13"/>
        <v>0</v>
      </c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</row>
    <row r="36" ht="27.0" customHeight="1">
      <c r="A36" s="160">
        <v>5.0</v>
      </c>
      <c r="B36" s="191"/>
      <c r="C36" s="191"/>
      <c r="D36" s="191"/>
      <c r="E36" s="191"/>
      <c r="F36" s="192">
        <f t="shared" si="5"/>
        <v>0</v>
      </c>
      <c r="G36" s="191"/>
      <c r="H36" s="194">
        <f t="shared" si="6"/>
        <v>0</v>
      </c>
      <c r="I36" s="139"/>
      <c r="J36" s="176">
        <f t="shared" si="15"/>
        <v>0</v>
      </c>
      <c r="K36" s="160" t="str">
        <f t="shared" si="16"/>
        <v/>
      </c>
      <c r="L36" s="160">
        <f t="shared" si="17"/>
        <v>0</v>
      </c>
      <c r="M36" s="139"/>
      <c r="N36" s="139"/>
      <c r="O36" s="176"/>
      <c r="P36" s="281"/>
      <c r="Q36" s="176">
        <f t="shared" si="7"/>
        <v>0</v>
      </c>
      <c r="R36" s="160" t="str">
        <f t="shared" si="8"/>
        <v/>
      </c>
      <c r="S36" s="160">
        <f t="shared" si="9"/>
        <v>0</v>
      </c>
      <c r="T36" s="282">
        <f t="shared" si="10"/>
        <v>0</v>
      </c>
      <c r="U36" s="176">
        <f t="shared" ref="U36:V36" si="19">C36/100</f>
        <v>0</v>
      </c>
      <c r="V36" s="176">
        <f t="shared" si="19"/>
        <v>0</v>
      </c>
      <c r="W36" s="176">
        <f t="shared" si="12"/>
        <v>0</v>
      </c>
      <c r="X36" s="283">
        <f t="shared" si="13"/>
        <v>0</v>
      </c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</row>
    <row r="37" ht="27.0" customHeight="1">
      <c r="A37" s="160">
        <v>6.0</v>
      </c>
      <c r="B37" s="191"/>
      <c r="C37" s="191"/>
      <c r="D37" s="191"/>
      <c r="E37" s="191"/>
      <c r="F37" s="192">
        <f t="shared" si="5"/>
        <v>0</v>
      </c>
      <c r="G37" s="191"/>
      <c r="H37" s="194">
        <f t="shared" si="6"/>
        <v>0</v>
      </c>
      <c r="I37" s="139"/>
      <c r="J37" s="176">
        <f t="shared" si="15"/>
        <v>0</v>
      </c>
      <c r="K37" s="160" t="str">
        <f t="shared" si="16"/>
        <v/>
      </c>
      <c r="L37" s="160">
        <f t="shared" si="17"/>
        <v>0</v>
      </c>
      <c r="M37" s="139"/>
      <c r="N37" s="139"/>
      <c r="O37" s="176"/>
      <c r="P37" s="281"/>
      <c r="Q37" s="176">
        <f t="shared" si="7"/>
        <v>0</v>
      </c>
      <c r="R37" s="160" t="str">
        <f t="shared" si="8"/>
        <v/>
      </c>
      <c r="S37" s="160">
        <f t="shared" si="9"/>
        <v>0</v>
      </c>
      <c r="T37" s="282">
        <f t="shared" si="10"/>
        <v>0</v>
      </c>
      <c r="U37" s="176">
        <f t="shared" ref="U37:V37" si="20">C37/100</f>
        <v>0</v>
      </c>
      <c r="V37" s="176">
        <f t="shared" si="20"/>
        <v>0</v>
      </c>
      <c r="W37" s="176">
        <f t="shared" si="12"/>
        <v>0</v>
      </c>
      <c r="X37" s="283">
        <f t="shared" si="13"/>
        <v>0</v>
      </c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</row>
    <row r="38" ht="27.0" customHeight="1">
      <c r="A38" s="160">
        <v>7.0</v>
      </c>
      <c r="B38" s="191"/>
      <c r="C38" s="191"/>
      <c r="D38" s="191"/>
      <c r="E38" s="191"/>
      <c r="F38" s="192">
        <f t="shared" si="5"/>
        <v>0</v>
      </c>
      <c r="G38" s="191"/>
      <c r="H38" s="194">
        <f t="shared" si="6"/>
        <v>0</v>
      </c>
      <c r="I38" s="139"/>
      <c r="J38" s="176">
        <f t="shared" si="15"/>
        <v>0</v>
      </c>
      <c r="K38" s="160" t="str">
        <f t="shared" si="16"/>
        <v/>
      </c>
      <c r="L38" s="160">
        <f t="shared" si="17"/>
        <v>0</v>
      </c>
      <c r="M38" s="139"/>
      <c r="N38" s="139"/>
      <c r="O38" s="176"/>
      <c r="P38" s="281"/>
      <c r="Q38" s="176">
        <f t="shared" si="7"/>
        <v>0</v>
      </c>
      <c r="R38" s="160" t="str">
        <f t="shared" si="8"/>
        <v/>
      </c>
      <c r="S38" s="160">
        <f t="shared" si="9"/>
        <v>0</v>
      </c>
      <c r="T38" s="282">
        <f t="shared" si="10"/>
        <v>0</v>
      </c>
      <c r="U38" s="176">
        <f t="shared" ref="U38:V38" si="21">C38/100</f>
        <v>0</v>
      </c>
      <c r="V38" s="176">
        <f t="shared" si="21"/>
        <v>0</v>
      </c>
      <c r="W38" s="176">
        <f t="shared" si="12"/>
        <v>0</v>
      </c>
      <c r="X38" s="283">
        <f t="shared" si="13"/>
        <v>0</v>
      </c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</row>
    <row r="39" ht="27.0" customHeight="1">
      <c r="A39" s="160">
        <v>8.0</v>
      </c>
      <c r="B39" s="191"/>
      <c r="C39" s="191"/>
      <c r="D39" s="191"/>
      <c r="E39" s="191"/>
      <c r="F39" s="192">
        <f t="shared" si="5"/>
        <v>0</v>
      </c>
      <c r="G39" s="191"/>
      <c r="H39" s="194">
        <f t="shared" si="6"/>
        <v>0</v>
      </c>
      <c r="I39" s="139"/>
      <c r="J39" s="176">
        <f t="shared" si="15"/>
        <v>0</v>
      </c>
      <c r="K39" s="160" t="str">
        <f t="shared" si="16"/>
        <v/>
      </c>
      <c r="L39" s="160">
        <f t="shared" si="17"/>
        <v>0</v>
      </c>
      <c r="M39" s="139"/>
      <c r="N39" s="139"/>
      <c r="O39" s="176"/>
      <c r="P39" s="281"/>
      <c r="Q39" s="176">
        <f t="shared" si="7"/>
        <v>0</v>
      </c>
      <c r="R39" s="160" t="str">
        <f t="shared" si="8"/>
        <v/>
      </c>
      <c r="S39" s="160">
        <f t="shared" si="9"/>
        <v>0</v>
      </c>
      <c r="T39" s="282">
        <f t="shared" si="10"/>
        <v>0</v>
      </c>
      <c r="U39" s="176">
        <f t="shared" ref="U39:V39" si="22">C39/100</f>
        <v>0</v>
      </c>
      <c r="V39" s="176">
        <f t="shared" si="22"/>
        <v>0</v>
      </c>
      <c r="W39" s="176">
        <f t="shared" si="12"/>
        <v>0</v>
      </c>
      <c r="X39" s="283">
        <f t="shared" si="13"/>
        <v>0</v>
      </c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</row>
    <row r="40" ht="27.0" customHeight="1">
      <c r="A40" s="160">
        <v>9.0</v>
      </c>
      <c r="B40" s="191"/>
      <c r="C40" s="191"/>
      <c r="D40" s="191"/>
      <c r="E40" s="191"/>
      <c r="F40" s="192">
        <f t="shared" si="5"/>
        <v>0</v>
      </c>
      <c r="G40" s="191"/>
      <c r="H40" s="194">
        <f t="shared" si="6"/>
        <v>0</v>
      </c>
      <c r="I40" s="139"/>
      <c r="J40" s="176">
        <f t="shared" si="15"/>
        <v>0</v>
      </c>
      <c r="K40" s="160" t="str">
        <f t="shared" si="16"/>
        <v/>
      </c>
      <c r="L40" s="160">
        <f t="shared" si="17"/>
        <v>0</v>
      </c>
      <c r="M40" s="139"/>
      <c r="N40" s="139"/>
      <c r="O40" s="176"/>
      <c r="P40" s="281"/>
      <c r="Q40" s="176">
        <f t="shared" si="7"/>
        <v>0</v>
      </c>
      <c r="R40" s="160" t="str">
        <f t="shared" si="8"/>
        <v/>
      </c>
      <c r="S40" s="160">
        <f t="shared" si="9"/>
        <v>0</v>
      </c>
      <c r="T40" s="282">
        <f t="shared" si="10"/>
        <v>0</v>
      </c>
      <c r="U40" s="176">
        <f t="shared" ref="U40:V40" si="23">C40/100</f>
        <v>0</v>
      </c>
      <c r="V40" s="176">
        <f t="shared" si="23"/>
        <v>0</v>
      </c>
      <c r="W40" s="176">
        <f t="shared" si="12"/>
        <v>0</v>
      </c>
      <c r="X40" s="283">
        <f t="shared" si="13"/>
        <v>0</v>
      </c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</row>
    <row r="41" ht="27.0" customHeight="1">
      <c r="A41" s="160">
        <v>10.0</v>
      </c>
      <c r="B41" s="191"/>
      <c r="C41" s="191"/>
      <c r="D41" s="191"/>
      <c r="E41" s="191"/>
      <c r="F41" s="192">
        <f t="shared" si="5"/>
        <v>0</v>
      </c>
      <c r="G41" s="191"/>
      <c r="H41" s="194">
        <f t="shared" si="6"/>
        <v>0</v>
      </c>
      <c r="I41" s="139"/>
      <c r="J41" s="176">
        <f t="shared" si="15"/>
        <v>0</v>
      </c>
      <c r="K41" s="160" t="str">
        <f t="shared" si="16"/>
        <v/>
      </c>
      <c r="L41" s="160">
        <f t="shared" si="17"/>
        <v>0</v>
      </c>
      <c r="M41" s="139"/>
      <c r="N41" s="139"/>
      <c r="O41" s="176"/>
      <c r="P41" s="281"/>
      <c r="Q41" s="176">
        <f t="shared" si="7"/>
        <v>0</v>
      </c>
      <c r="R41" s="160" t="str">
        <f t="shared" si="8"/>
        <v/>
      </c>
      <c r="S41" s="160">
        <f t="shared" si="9"/>
        <v>0</v>
      </c>
      <c r="T41" s="282">
        <f t="shared" si="10"/>
        <v>0</v>
      </c>
      <c r="U41" s="176">
        <f t="shared" ref="U41:V41" si="24">C41/100</f>
        <v>0</v>
      </c>
      <c r="V41" s="176">
        <f t="shared" si="24"/>
        <v>0</v>
      </c>
      <c r="W41" s="176">
        <f t="shared" si="12"/>
        <v>0</v>
      </c>
      <c r="X41" s="283">
        <f t="shared" si="13"/>
        <v>0</v>
      </c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</row>
    <row r="42" ht="27.0" customHeight="1">
      <c r="A42" s="160">
        <v>11.0</v>
      </c>
      <c r="B42" s="191"/>
      <c r="C42" s="191"/>
      <c r="D42" s="191"/>
      <c r="E42" s="191"/>
      <c r="F42" s="192">
        <f t="shared" si="5"/>
        <v>0</v>
      </c>
      <c r="G42" s="191"/>
      <c r="H42" s="194">
        <f t="shared" si="6"/>
        <v>0</v>
      </c>
      <c r="I42" s="139"/>
      <c r="J42" s="176">
        <f t="shared" si="15"/>
        <v>0</v>
      </c>
      <c r="K42" s="160" t="str">
        <f t="shared" si="16"/>
        <v/>
      </c>
      <c r="L42" s="160">
        <f t="shared" si="17"/>
        <v>0</v>
      </c>
      <c r="M42" s="139"/>
      <c r="N42" s="139"/>
      <c r="O42" s="176"/>
      <c r="P42" s="281"/>
      <c r="Q42" s="176">
        <f t="shared" si="7"/>
        <v>0</v>
      </c>
      <c r="R42" s="160" t="str">
        <f t="shared" si="8"/>
        <v/>
      </c>
      <c r="S42" s="160">
        <f t="shared" si="9"/>
        <v>0</v>
      </c>
      <c r="T42" s="282">
        <f t="shared" si="10"/>
        <v>0</v>
      </c>
      <c r="U42" s="176">
        <f t="shared" ref="U42:V42" si="25">C42/100</f>
        <v>0</v>
      </c>
      <c r="V42" s="176">
        <f t="shared" si="25"/>
        <v>0</v>
      </c>
      <c r="W42" s="176">
        <f t="shared" si="12"/>
        <v>0</v>
      </c>
      <c r="X42" s="283">
        <f t="shared" si="13"/>
        <v>0</v>
      </c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</row>
    <row r="43" ht="27.0" customHeight="1">
      <c r="A43" s="160">
        <v>12.0</v>
      </c>
      <c r="B43" s="191"/>
      <c r="C43" s="191"/>
      <c r="D43" s="191"/>
      <c r="E43" s="191"/>
      <c r="F43" s="192">
        <f t="shared" si="5"/>
        <v>0</v>
      </c>
      <c r="G43" s="191"/>
      <c r="H43" s="194">
        <f t="shared" si="6"/>
        <v>0</v>
      </c>
      <c r="I43" s="139"/>
      <c r="J43" s="176">
        <f t="shared" si="15"/>
        <v>0</v>
      </c>
      <c r="K43" s="160" t="str">
        <f t="shared" si="16"/>
        <v/>
      </c>
      <c r="L43" s="160">
        <f t="shared" si="17"/>
        <v>0</v>
      </c>
      <c r="M43" s="139"/>
      <c r="N43" s="139"/>
      <c r="O43" s="176"/>
      <c r="P43" s="281"/>
      <c r="Q43" s="176">
        <f t="shared" si="7"/>
        <v>0</v>
      </c>
      <c r="R43" s="160" t="str">
        <f t="shared" si="8"/>
        <v/>
      </c>
      <c r="S43" s="160">
        <f t="shared" si="9"/>
        <v>0</v>
      </c>
      <c r="T43" s="282">
        <f t="shared" si="10"/>
        <v>0</v>
      </c>
      <c r="U43" s="176">
        <f t="shared" ref="U43:V43" si="26">C43/100</f>
        <v>0</v>
      </c>
      <c r="V43" s="176">
        <f t="shared" si="26"/>
        <v>0</v>
      </c>
      <c r="W43" s="176">
        <f t="shared" si="12"/>
        <v>0</v>
      </c>
      <c r="X43" s="283">
        <f t="shared" si="13"/>
        <v>0</v>
      </c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</row>
    <row r="44" ht="27.0" customHeight="1">
      <c r="A44" s="160">
        <v>13.0</v>
      </c>
      <c r="B44" s="191"/>
      <c r="C44" s="191"/>
      <c r="D44" s="191"/>
      <c r="E44" s="191"/>
      <c r="F44" s="192">
        <f t="shared" si="5"/>
        <v>0</v>
      </c>
      <c r="G44" s="191"/>
      <c r="H44" s="194">
        <f t="shared" si="6"/>
        <v>0</v>
      </c>
      <c r="I44" s="139"/>
      <c r="J44" s="176">
        <f t="shared" si="15"/>
        <v>0</v>
      </c>
      <c r="K44" s="160" t="str">
        <f t="shared" si="16"/>
        <v/>
      </c>
      <c r="L44" s="160">
        <f t="shared" si="17"/>
        <v>0</v>
      </c>
      <c r="M44" s="139"/>
      <c r="N44" s="139"/>
      <c r="O44" s="176"/>
      <c r="P44" s="281"/>
      <c r="Q44" s="176">
        <f t="shared" si="7"/>
        <v>0</v>
      </c>
      <c r="R44" s="160" t="str">
        <f t="shared" si="8"/>
        <v/>
      </c>
      <c r="S44" s="160">
        <f t="shared" si="9"/>
        <v>0</v>
      </c>
      <c r="T44" s="282">
        <f t="shared" si="10"/>
        <v>0</v>
      </c>
      <c r="U44" s="176">
        <f t="shared" ref="U44:V44" si="27">C44/100</f>
        <v>0</v>
      </c>
      <c r="V44" s="176">
        <f t="shared" si="27"/>
        <v>0</v>
      </c>
      <c r="W44" s="176">
        <f t="shared" si="12"/>
        <v>0</v>
      </c>
      <c r="X44" s="283">
        <f t="shared" si="13"/>
        <v>0</v>
      </c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</row>
    <row r="45" ht="27.0" customHeight="1">
      <c r="A45" s="160">
        <v>14.0</v>
      </c>
      <c r="B45" s="191"/>
      <c r="C45" s="191"/>
      <c r="D45" s="191"/>
      <c r="E45" s="191"/>
      <c r="F45" s="192">
        <f t="shared" si="5"/>
        <v>0</v>
      </c>
      <c r="G45" s="191"/>
      <c r="H45" s="194">
        <f t="shared" si="6"/>
        <v>0</v>
      </c>
      <c r="I45" s="139"/>
      <c r="J45" s="176">
        <f t="shared" si="15"/>
        <v>0</v>
      </c>
      <c r="K45" s="160" t="str">
        <f t="shared" si="16"/>
        <v/>
      </c>
      <c r="L45" s="160">
        <f t="shared" si="17"/>
        <v>0</v>
      </c>
      <c r="M45" s="139"/>
      <c r="N45" s="139"/>
      <c r="O45" s="176"/>
      <c r="P45" s="281"/>
      <c r="Q45" s="176">
        <f t="shared" si="7"/>
        <v>0</v>
      </c>
      <c r="R45" s="160" t="str">
        <f t="shared" si="8"/>
        <v/>
      </c>
      <c r="S45" s="160">
        <f t="shared" si="9"/>
        <v>0</v>
      </c>
      <c r="T45" s="282">
        <f t="shared" si="10"/>
        <v>0</v>
      </c>
      <c r="U45" s="176">
        <f t="shared" ref="U45:V45" si="28">C45/100</f>
        <v>0</v>
      </c>
      <c r="V45" s="176">
        <f t="shared" si="28"/>
        <v>0</v>
      </c>
      <c r="W45" s="176">
        <f t="shared" si="12"/>
        <v>0</v>
      </c>
      <c r="X45" s="283">
        <f t="shared" si="13"/>
        <v>0</v>
      </c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</row>
    <row r="46" ht="27.0" customHeight="1">
      <c r="A46" s="160">
        <v>15.0</v>
      </c>
      <c r="B46" s="191"/>
      <c r="C46" s="191"/>
      <c r="D46" s="191"/>
      <c r="E46" s="191"/>
      <c r="F46" s="192">
        <f t="shared" si="5"/>
        <v>0</v>
      </c>
      <c r="G46" s="191"/>
      <c r="H46" s="194">
        <f t="shared" si="6"/>
        <v>0</v>
      </c>
      <c r="I46" s="139"/>
      <c r="J46" s="176">
        <f t="shared" si="15"/>
        <v>0</v>
      </c>
      <c r="K46" s="160" t="str">
        <f t="shared" si="16"/>
        <v/>
      </c>
      <c r="L46" s="160">
        <f t="shared" si="17"/>
        <v>0</v>
      </c>
      <c r="M46" s="139"/>
      <c r="N46" s="139"/>
      <c r="O46" s="176"/>
      <c r="P46" s="281"/>
      <c r="Q46" s="176">
        <f t="shared" si="7"/>
        <v>0</v>
      </c>
      <c r="R46" s="160" t="str">
        <f t="shared" si="8"/>
        <v/>
      </c>
      <c r="S46" s="160">
        <f t="shared" si="9"/>
        <v>0</v>
      </c>
      <c r="T46" s="282">
        <f t="shared" si="10"/>
        <v>0</v>
      </c>
      <c r="U46" s="176">
        <f t="shared" ref="U46:V46" si="29">C46/100</f>
        <v>0</v>
      </c>
      <c r="V46" s="176">
        <f t="shared" si="29"/>
        <v>0</v>
      </c>
      <c r="W46" s="176">
        <f t="shared" si="12"/>
        <v>0</v>
      </c>
      <c r="X46" s="283">
        <f t="shared" si="13"/>
        <v>0</v>
      </c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</row>
    <row r="47" ht="27.0" customHeight="1">
      <c r="A47" s="160">
        <v>16.0</v>
      </c>
      <c r="B47" s="191"/>
      <c r="C47" s="191"/>
      <c r="D47" s="191"/>
      <c r="E47" s="191"/>
      <c r="F47" s="192">
        <f t="shared" si="5"/>
        <v>0</v>
      </c>
      <c r="G47" s="191"/>
      <c r="H47" s="194">
        <f t="shared" si="6"/>
        <v>0</v>
      </c>
      <c r="I47" s="139"/>
      <c r="J47" s="176">
        <f t="shared" si="15"/>
        <v>0</v>
      </c>
      <c r="K47" s="160" t="str">
        <f t="shared" si="16"/>
        <v/>
      </c>
      <c r="L47" s="160">
        <f t="shared" si="17"/>
        <v>0</v>
      </c>
      <c r="M47" s="139"/>
      <c r="N47" s="139"/>
      <c r="O47" s="176"/>
      <c r="P47" s="281"/>
      <c r="Q47" s="176">
        <f t="shared" si="7"/>
        <v>0</v>
      </c>
      <c r="R47" s="160" t="str">
        <f t="shared" si="8"/>
        <v/>
      </c>
      <c r="S47" s="160">
        <f t="shared" si="9"/>
        <v>0</v>
      </c>
      <c r="T47" s="282">
        <f t="shared" si="10"/>
        <v>0</v>
      </c>
      <c r="U47" s="176">
        <f t="shared" ref="U47:V47" si="30">C47/100</f>
        <v>0</v>
      </c>
      <c r="V47" s="176">
        <f t="shared" si="30"/>
        <v>0</v>
      </c>
      <c r="W47" s="176">
        <f t="shared" si="12"/>
        <v>0</v>
      </c>
      <c r="X47" s="283">
        <f t="shared" si="13"/>
        <v>0</v>
      </c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</row>
    <row r="48" ht="27.0" customHeight="1">
      <c r="A48" s="160">
        <v>17.0</v>
      </c>
      <c r="B48" s="191"/>
      <c r="C48" s="191"/>
      <c r="D48" s="191"/>
      <c r="E48" s="191"/>
      <c r="F48" s="192">
        <f t="shared" si="5"/>
        <v>0</v>
      </c>
      <c r="G48" s="191"/>
      <c r="H48" s="194">
        <f t="shared" si="6"/>
        <v>0</v>
      </c>
      <c r="I48" s="139"/>
      <c r="J48" s="176">
        <f t="shared" si="15"/>
        <v>0</v>
      </c>
      <c r="K48" s="160" t="str">
        <f t="shared" si="16"/>
        <v/>
      </c>
      <c r="L48" s="160">
        <f t="shared" si="17"/>
        <v>0</v>
      </c>
      <c r="M48" s="139"/>
      <c r="N48" s="139"/>
      <c r="O48" s="176"/>
      <c r="P48" s="281"/>
      <c r="Q48" s="176">
        <f t="shared" si="7"/>
        <v>0</v>
      </c>
      <c r="R48" s="160" t="str">
        <f t="shared" si="8"/>
        <v/>
      </c>
      <c r="S48" s="160">
        <f t="shared" si="9"/>
        <v>0</v>
      </c>
      <c r="T48" s="282">
        <f t="shared" si="10"/>
        <v>0</v>
      </c>
      <c r="U48" s="176">
        <f t="shared" ref="U48:V48" si="31">C48/100</f>
        <v>0</v>
      </c>
      <c r="V48" s="176">
        <f t="shared" si="31"/>
        <v>0</v>
      </c>
      <c r="W48" s="176">
        <f t="shared" si="12"/>
        <v>0</v>
      </c>
      <c r="X48" s="283">
        <f t="shared" si="13"/>
        <v>0</v>
      </c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</row>
    <row r="49" ht="27.0" customHeight="1">
      <c r="A49" s="160">
        <v>18.0</v>
      </c>
      <c r="B49" s="191"/>
      <c r="C49" s="191"/>
      <c r="D49" s="191"/>
      <c r="E49" s="191"/>
      <c r="F49" s="192">
        <f t="shared" si="5"/>
        <v>0</v>
      </c>
      <c r="G49" s="191"/>
      <c r="H49" s="194">
        <f t="shared" si="6"/>
        <v>0</v>
      </c>
      <c r="I49" s="139"/>
      <c r="J49" s="176">
        <f t="shared" si="15"/>
        <v>0</v>
      </c>
      <c r="K49" s="160" t="str">
        <f t="shared" si="16"/>
        <v/>
      </c>
      <c r="L49" s="160">
        <f t="shared" si="17"/>
        <v>0</v>
      </c>
      <c r="M49" s="139"/>
      <c r="N49" s="139"/>
      <c r="O49" s="176"/>
      <c r="P49" s="281"/>
      <c r="Q49" s="176">
        <f t="shared" si="7"/>
        <v>0</v>
      </c>
      <c r="R49" s="160" t="str">
        <f t="shared" si="8"/>
        <v/>
      </c>
      <c r="S49" s="160">
        <f t="shared" si="9"/>
        <v>0</v>
      </c>
      <c r="T49" s="282">
        <f t="shared" si="10"/>
        <v>0</v>
      </c>
      <c r="U49" s="176">
        <f t="shared" ref="U49:V49" si="32">C49/100</f>
        <v>0</v>
      </c>
      <c r="V49" s="176">
        <f t="shared" si="32"/>
        <v>0</v>
      </c>
      <c r="W49" s="176">
        <f t="shared" si="12"/>
        <v>0</v>
      </c>
      <c r="X49" s="283">
        <f t="shared" si="13"/>
        <v>0</v>
      </c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</row>
    <row r="50" ht="27.0" customHeight="1">
      <c r="A50" s="160">
        <v>19.0</v>
      </c>
      <c r="B50" s="191"/>
      <c r="C50" s="191"/>
      <c r="D50" s="191"/>
      <c r="E50" s="191"/>
      <c r="F50" s="192">
        <f t="shared" si="5"/>
        <v>0</v>
      </c>
      <c r="G50" s="191"/>
      <c r="H50" s="194">
        <f t="shared" si="6"/>
        <v>0</v>
      </c>
      <c r="I50" s="139"/>
      <c r="J50" s="176">
        <f t="shared" si="15"/>
        <v>0</v>
      </c>
      <c r="K50" s="160" t="str">
        <f t="shared" si="16"/>
        <v/>
      </c>
      <c r="L50" s="160">
        <f t="shared" si="17"/>
        <v>0</v>
      </c>
      <c r="M50" s="139"/>
      <c r="N50" s="139"/>
      <c r="O50" s="176"/>
      <c r="P50" s="281"/>
      <c r="Q50" s="176">
        <f t="shared" si="7"/>
        <v>0</v>
      </c>
      <c r="R50" s="160" t="str">
        <f t="shared" si="8"/>
        <v/>
      </c>
      <c r="S50" s="160">
        <f t="shared" si="9"/>
        <v>0</v>
      </c>
      <c r="T50" s="282">
        <f t="shared" si="10"/>
        <v>0</v>
      </c>
      <c r="U50" s="176">
        <f t="shared" ref="U50:V50" si="33">C50/100</f>
        <v>0</v>
      </c>
      <c r="V50" s="176">
        <f t="shared" si="33"/>
        <v>0</v>
      </c>
      <c r="W50" s="176">
        <f t="shared" si="12"/>
        <v>0</v>
      </c>
      <c r="X50" s="283">
        <f t="shared" si="13"/>
        <v>0</v>
      </c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</row>
    <row r="51" ht="27.0" customHeight="1">
      <c r="A51" s="160">
        <v>20.0</v>
      </c>
      <c r="B51" s="191"/>
      <c r="C51" s="191"/>
      <c r="D51" s="191"/>
      <c r="E51" s="191"/>
      <c r="F51" s="192">
        <f t="shared" si="5"/>
        <v>0</v>
      </c>
      <c r="G51" s="191"/>
      <c r="H51" s="194">
        <f t="shared" si="6"/>
        <v>0</v>
      </c>
      <c r="I51" s="139"/>
      <c r="J51" s="176">
        <f t="shared" si="15"/>
        <v>0</v>
      </c>
      <c r="K51" s="160" t="str">
        <f t="shared" si="16"/>
        <v/>
      </c>
      <c r="L51" s="160">
        <f t="shared" si="17"/>
        <v>0</v>
      </c>
      <c r="M51" s="139"/>
      <c r="N51" s="139"/>
      <c r="O51" s="176"/>
      <c r="P51" s="281"/>
      <c r="Q51" s="176">
        <f t="shared" si="7"/>
        <v>0</v>
      </c>
      <c r="R51" s="160" t="str">
        <f t="shared" si="8"/>
        <v/>
      </c>
      <c r="S51" s="160">
        <f t="shared" si="9"/>
        <v>0</v>
      </c>
      <c r="T51" s="282">
        <f t="shared" si="10"/>
        <v>0</v>
      </c>
      <c r="U51" s="176">
        <f t="shared" ref="U51:V51" si="34">C51/100</f>
        <v>0</v>
      </c>
      <c r="V51" s="176">
        <f t="shared" si="34"/>
        <v>0</v>
      </c>
      <c r="W51" s="176">
        <f t="shared" si="12"/>
        <v>0</v>
      </c>
      <c r="X51" s="283">
        <f t="shared" si="13"/>
        <v>0</v>
      </c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</row>
    <row r="52" ht="27.0" customHeight="1">
      <c r="A52" s="160">
        <v>21.0</v>
      </c>
      <c r="B52" s="191"/>
      <c r="C52" s="191"/>
      <c r="D52" s="191"/>
      <c r="E52" s="191"/>
      <c r="F52" s="192">
        <f t="shared" si="5"/>
        <v>0</v>
      </c>
      <c r="G52" s="191"/>
      <c r="H52" s="194">
        <f t="shared" si="6"/>
        <v>0</v>
      </c>
      <c r="I52" s="139"/>
      <c r="J52" s="176">
        <f t="shared" si="15"/>
        <v>0</v>
      </c>
      <c r="K52" s="160" t="str">
        <f t="shared" si="16"/>
        <v/>
      </c>
      <c r="L52" s="160">
        <f t="shared" si="17"/>
        <v>0</v>
      </c>
      <c r="M52" s="139"/>
      <c r="N52" s="139"/>
      <c r="O52" s="176"/>
      <c r="P52" s="281"/>
      <c r="Q52" s="176">
        <f t="shared" si="7"/>
        <v>0</v>
      </c>
      <c r="R52" s="160" t="str">
        <f t="shared" si="8"/>
        <v/>
      </c>
      <c r="S52" s="160">
        <f t="shared" si="9"/>
        <v>0</v>
      </c>
      <c r="T52" s="282">
        <f t="shared" si="10"/>
        <v>0</v>
      </c>
      <c r="U52" s="176">
        <f t="shared" ref="U52:V52" si="35">C52/100</f>
        <v>0</v>
      </c>
      <c r="V52" s="176">
        <f t="shared" si="35"/>
        <v>0</v>
      </c>
      <c r="W52" s="176">
        <f t="shared" si="12"/>
        <v>0</v>
      </c>
      <c r="X52" s="283">
        <f t="shared" si="13"/>
        <v>0</v>
      </c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</row>
    <row r="53" ht="27.0" customHeight="1">
      <c r="A53" s="160">
        <v>22.0</v>
      </c>
      <c r="B53" s="191"/>
      <c r="C53" s="191"/>
      <c r="D53" s="191"/>
      <c r="E53" s="191"/>
      <c r="F53" s="192">
        <f t="shared" si="5"/>
        <v>0</v>
      </c>
      <c r="G53" s="191"/>
      <c r="H53" s="194">
        <f t="shared" si="6"/>
        <v>0</v>
      </c>
      <c r="I53" s="139"/>
      <c r="J53" s="176">
        <f t="shared" si="15"/>
        <v>0</v>
      </c>
      <c r="K53" s="160" t="str">
        <f t="shared" si="16"/>
        <v/>
      </c>
      <c r="L53" s="160">
        <f t="shared" si="17"/>
        <v>0</v>
      </c>
      <c r="M53" s="139"/>
      <c r="N53" s="139"/>
      <c r="O53" s="176"/>
      <c r="P53" s="281"/>
      <c r="Q53" s="176">
        <f t="shared" si="7"/>
        <v>0</v>
      </c>
      <c r="R53" s="160" t="str">
        <f t="shared" si="8"/>
        <v/>
      </c>
      <c r="S53" s="160">
        <f t="shared" si="9"/>
        <v>0</v>
      </c>
      <c r="T53" s="282">
        <f t="shared" si="10"/>
        <v>0</v>
      </c>
      <c r="U53" s="176">
        <f t="shared" ref="U53:V53" si="36">C53/100</f>
        <v>0</v>
      </c>
      <c r="V53" s="176">
        <f t="shared" si="36"/>
        <v>0</v>
      </c>
      <c r="W53" s="176">
        <f t="shared" si="12"/>
        <v>0</v>
      </c>
      <c r="X53" s="283">
        <f t="shared" si="13"/>
        <v>0</v>
      </c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</row>
    <row r="54" ht="27.0" customHeight="1">
      <c r="A54" s="160">
        <v>23.0</v>
      </c>
      <c r="B54" s="191"/>
      <c r="C54" s="191"/>
      <c r="D54" s="191"/>
      <c r="E54" s="191"/>
      <c r="F54" s="192">
        <f t="shared" si="5"/>
        <v>0</v>
      </c>
      <c r="G54" s="191"/>
      <c r="H54" s="194">
        <f t="shared" si="6"/>
        <v>0</v>
      </c>
      <c r="I54" s="139"/>
      <c r="J54" s="176">
        <f t="shared" si="15"/>
        <v>0</v>
      </c>
      <c r="K54" s="160" t="str">
        <f t="shared" si="16"/>
        <v/>
      </c>
      <c r="L54" s="160">
        <f t="shared" si="17"/>
        <v>0</v>
      </c>
      <c r="M54" s="139"/>
      <c r="N54" s="139"/>
      <c r="O54" s="176"/>
      <c r="P54" s="281"/>
      <c r="Q54" s="176">
        <f t="shared" si="7"/>
        <v>0</v>
      </c>
      <c r="R54" s="160" t="str">
        <f t="shared" si="8"/>
        <v/>
      </c>
      <c r="S54" s="160">
        <f t="shared" si="9"/>
        <v>0</v>
      </c>
      <c r="T54" s="282">
        <f t="shared" si="10"/>
        <v>0</v>
      </c>
      <c r="U54" s="176">
        <f t="shared" ref="U54:V54" si="37">C54/100</f>
        <v>0</v>
      </c>
      <c r="V54" s="176">
        <f t="shared" si="37"/>
        <v>0</v>
      </c>
      <c r="W54" s="176">
        <f t="shared" si="12"/>
        <v>0</v>
      </c>
      <c r="X54" s="283">
        <f t="shared" si="13"/>
        <v>0</v>
      </c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</row>
    <row r="55" ht="27.0" customHeight="1">
      <c r="A55" s="160">
        <v>24.0</v>
      </c>
      <c r="B55" s="191"/>
      <c r="C55" s="191"/>
      <c r="D55" s="191"/>
      <c r="E55" s="191"/>
      <c r="F55" s="192">
        <f t="shared" si="5"/>
        <v>0</v>
      </c>
      <c r="G55" s="191"/>
      <c r="H55" s="194">
        <f t="shared" si="6"/>
        <v>0</v>
      </c>
      <c r="I55" s="139"/>
      <c r="J55" s="176">
        <f t="shared" si="15"/>
        <v>0</v>
      </c>
      <c r="K55" s="160" t="str">
        <f t="shared" si="16"/>
        <v/>
      </c>
      <c r="L55" s="160">
        <f t="shared" si="17"/>
        <v>0</v>
      </c>
      <c r="M55" s="139"/>
      <c r="N55" s="139"/>
      <c r="O55" s="176"/>
      <c r="P55" s="281"/>
      <c r="Q55" s="176">
        <f t="shared" si="7"/>
        <v>0</v>
      </c>
      <c r="R55" s="160" t="str">
        <f t="shared" si="8"/>
        <v/>
      </c>
      <c r="S55" s="160">
        <f t="shared" si="9"/>
        <v>0</v>
      </c>
      <c r="T55" s="282">
        <f t="shared" si="10"/>
        <v>0</v>
      </c>
      <c r="U55" s="176">
        <f t="shared" ref="U55:V55" si="38">C55/100</f>
        <v>0</v>
      </c>
      <c r="V55" s="176">
        <f t="shared" si="38"/>
        <v>0</v>
      </c>
      <c r="W55" s="176">
        <f t="shared" si="12"/>
        <v>0</v>
      </c>
      <c r="X55" s="283">
        <f t="shared" si="13"/>
        <v>0</v>
      </c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</row>
    <row r="56" ht="27.0" customHeight="1">
      <c r="A56" s="160">
        <v>25.0</v>
      </c>
      <c r="B56" s="191"/>
      <c r="C56" s="191"/>
      <c r="D56" s="191"/>
      <c r="E56" s="191"/>
      <c r="F56" s="192">
        <f t="shared" si="5"/>
        <v>0</v>
      </c>
      <c r="G56" s="191"/>
      <c r="H56" s="194">
        <f t="shared" si="6"/>
        <v>0</v>
      </c>
      <c r="I56" s="139"/>
      <c r="J56" s="176">
        <f t="shared" si="15"/>
        <v>0</v>
      </c>
      <c r="K56" s="160" t="str">
        <f t="shared" si="16"/>
        <v/>
      </c>
      <c r="L56" s="160">
        <f t="shared" si="17"/>
        <v>0</v>
      </c>
      <c r="M56" s="139"/>
      <c r="N56" s="139"/>
      <c r="O56" s="176"/>
      <c r="P56" s="281"/>
      <c r="Q56" s="176">
        <f t="shared" si="7"/>
        <v>0</v>
      </c>
      <c r="R56" s="160" t="str">
        <f t="shared" si="8"/>
        <v/>
      </c>
      <c r="S56" s="160">
        <f t="shared" si="9"/>
        <v>0</v>
      </c>
      <c r="T56" s="282">
        <f t="shared" si="10"/>
        <v>0</v>
      </c>
      <c r="U56" s="176">
        <f t="shared" ref="U56:V56" si="39">C56/100</f>
        <v>0</v>
      </c>
      <c r="V56" s="176">
        <f t="shared" si="39"/>
        <v>0</v>
      </c>
      <c r="W56" s="176">
        <f t="shared" si="12"/>
        <v>0</v>
      </c>
      <c r="X56" s="283">
        <f t="shared" si="13"/>
        <v>0</v>
      </c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</row>
    <row r="57" ht="27.0" customHeight="1">
      <c r="A57" s="160">
        <v>26.0</v>
      </c>
      <c r="B57" s="191"/>
      <c r="C57" s="191"/>
      <c r="D57" s="191"/>
      <c r="E57" s="191"/>
      <c r="F57" s="192">
        <f t="shared" si="5"/>
        <v>0</v>
      </c>
      <c r="G57" s="191"/>
      <c r="H57" s="194">
        <f t="shared" si="6"/>
        <v>0</v>
      </c>
      <c r="I57" s="139"/>
      <c r="J57" s="197"/>
      <c r="K57" s="198" t="str">
        <f t="shared" si="16"/>
        <v/>
      </c>
      <c r="L57" s="198"/>
      <c r="M57" s="139"/>
      <c r="N57" s="139"/>
      <c r="O57" s="176"/>
      <c r="P57" s="281"/>
      <c r="Q57" s="176">
        <f t="shared" si="7"/>
        <v>0</v>
      </c>
      <c r="R57" s="160" t="str">
        <f t="shared" si="8"/>
        <v/>
      </c>
      <c r="S57" s="160">
        <f t="shared" si="9"/>
        <v>0</v>
      </c>
      <c r="T57" s="282">
        <f t="shared" si="10"/>
        <v>0</v>
      </c>
      <c r="U57" s="176">
        <f t="shared" ref="U57:V57" si="40">C57/100</f>
        <v>0</v>
      </c>
      <c r="V57" s="176">
        <f t="shared" si="40"/>
        <v>0</v>
      </c>
      <c r="W57" s="176">
        <f t="shared" si="12"/>
        <v>0</v>
      </c>
      <c r="X57" s="283">
        <f t="shared" si="13"/>
        <v>0</v>
      </c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</row>
    <row r="58" ht="27.0" customHeight="1">
      <c r="A58" s="160">
        <v>27.0</v>
      </c>
      <c r="B58" s="191"/>
      <c r="C58" s="191"/>
      <c r="D58" s="191"/>
      <c r="E58" s="191"/>
      <c r="F58" s="192">
        <f t="shared" si="5"/>
        <v>0</v>
      </c>
      <c r="G58" s="191"/>
      <c r="H58" s="194">
        <f t="shared" si="6"/>
        <v>0</v>
      </c>
      <c r="I58" s="139"/>
      <c r="J58" s="197"/>
      <c r="K58" s="198" t="str">
        <f t="shared" si="16"/>
        <v/>
      </c>
      <c r="L58" s="198"/>
      <c r="M58" s="139"/>
      <c r="N58" s="139"/>
      <c r="O58" s="176"/>
      <c r="P58" s="281"/>
      <c r="Q58" s="176">
        <f t="shared" si="7"/>
        <v>0</v>
      </c>
      <c r="R58" s="160" t="str">
        <f t="shared" si="8"/>
        <v/>
      </c>
      <c r="S58" s="160">
        <f t="shared" si="9"/>
        <v>0</v>
      </c>
      <c r="T58" s="282">
        <f t="shared" si="10"/>
        <v>0</v>
      </c>
      <c r="U58" s="176">
        <f t="shared" ref="U58:V58" si="41">C58/100</f>
        <v>0</v>
      </c>
      <c r="V58" s="176">
        <f t="shared" si="41"/>
        <v>0</v>
      </c>
      <c r="W58" s="176">
        <f t="shared" si="12"/>
        <v>0</v>
      </c>
      <c r="X58" s="283">
        <f t="shared" si="13"/>
        <v>0</v>
      </c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</row>
    <row r="59" ht="27.0" customHeight="1">
      <c r="A59" s="160">
        <v>28.0</v>
      </c>
      <c r="B59" s="191"/>
      <c r="C59" s="191"/>
      <c r="D59" s="191"/>
      <c r="E59" s="191"/>
      <c r="F59" s="192">
        <f t="shared" si="5"/>
        <v>0</v>
      </c>
      <c r="G59" s="191"/>
      <c r="H59" s="194">
        <f t="shared" si="6"/>
        <v>0</v>
      </c>
      <c r="I59" s="139"/>
      <c r="J59" s="197"/>
      <c r="K59" s="198" t="str">
        <f t="shared" si="16"/>
        <v/>
      </c>
      <c r="L59" s="198"/>
      <c r="M59" s="139"/>
      <c r="N59" s="139"/>
      <c r="O59" s="176"/>
      <c r="P59" s="281"/>
      <c r="Q59" s="176">
        <f t="shared" si="7"/>
        <v>0</v>
      </c>
      <c r="R59" s="160" t="str">
        <f t="shared" si="8"/>
        <v/>
      </c>
      <c r="S59" s="160">
        <f t="shared" si="9"/>
        <v>0</v>
      </c>
      <c r="T59" s="282">
        <f t="shared" si="10"/>
        <v>0</v>
      </c>
      <c r="U59" s="176">
        <f t="shared" ref="U59:V59" si="42">C59/100</f>
        <v>0</v>
      </c>
      <c r="V59" s="176">
        <f t="shared" si="42"/>
        <v>0</v>
      </c>
      <c r="W59" s="176">
        <f t="shared" si="12"/>
        <v>0</v>
      </c>
      <c r="X59" s="283">
        <f t="shared" si="13"/>
        <v>0</v>
      </c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</row>
    <row r="60" ht="27.0" customHeight="1">
      <c r="A60" s="160">
        <v>29.0</v>
      </c>
      <c r="B60" s="191"/>
      <c r="C60" s="191"/>
      <c r="D60" s="191"/>
      <c r="E60" s="191"/>
      <c r="F60" s="192">
        <f t="shared" si="5"/>
        <v>0</v>
      </c>
      <c r="G60" s="191"/>
      <c r="H60" s="194">
        <f t="shared" si="6"/>
        <v>0</v>
      </c>
      <c r="I60" s="139"/>
      <c r="J60" s="197"/>
      <c r="K60" s="198" t="str">
        <f t="shared" si="16"/>
        <v/>
      </c>
      <c r="L60" s="198"/>
      <c r="M60" s="139"/>
      <c r="N60" s="139"/>
      <c r="O60" s="176"/>
      <c r="P60" s="281"/>
      <c r="Q60" s="176">
        <f t="shared" si="7"/>
        <v>0</v>
      </c>
      <c r="R60" s="160" t="str">
        <f t="shared" si="8"/>
        <v/>
      </c>
      <c r="S60" s="160">
        <f t="shared" si="9"/>
        <v>0</v>
      </c>
      <c r="T60" s="282">
        <f t="shared" si="10"/>
        <v>0</v>
      </c>
      <c r="U60" s="176">
        <f t="shared" ref="U60:V60" si="43">C60/100</f>
        <v>0</v>
      </c>
      <c r="V60" s="176">
        <f t="shared" si="43"/>
        <v>0</v>
      </c>
      <c r="W60" s="176">
        <f t="shared" si="12"/>
        <v>0</v>
      </c>
      <c r="X60" s="283">
        <f t="shared" si="13"/>
        <v>0</v>
      </c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</row>
    <row r="61" ht="27.0" customHeight="1">
      <c r="A61" s="160">
        <v>30.0</v>
      </c>
      <c r="B61" s="191"/>
      <c r="C61" s="191"/>
      <c r="D61" s="191"/>
      <c r="E61" s="191"/>
      <c r="F61" s="192">
        <f t="shared" si="5"/>
        <v>0</v>
      </c>
      <c r="G61" s="191"/>
      <c r="H61" s="194">
        <f t="shared" si="6"/>
        <v>0</v>
      </c>
      <c r="I61" s="139"/>
      <c r="J61" s="197"/>
      <c r="K61" s="198" t="str">
        <f t="shared" si="16"/>
        <v/>
      </c>
      <c r="L61" s="198"/>
      <c r="M61" s="139"/>
      <c r="N61" s="139"/>
      <c r="O61" s="176"/>
      <c r="P61" s="281"/>
      <c r="Q61" s="176">
        <f t="shared" si="7"/>
        <v>0</v>
      </c>
      <c r="R61" s="160" t="str">
        <f t="shared" si="8"/>
        <v/>
      </c>
      <c r="S61" s="160">
        <f t="shared" si="9"/>
        <v>0</v>
      </c>
      <c r="T61" s="282">
        <f t="shared" si="10"/>
        <v>0</v>
      </c>
      <c r="U61" s="176">
        <f t="shared" ref="U61:V61" si="44">C61/100</f>
        <v>0</v>
      </c>
      <c r="V61" s="176">
        <f t="shared" si="44"/>
        <v>0</v>
      </c>
      <c r="W61" s="176">
        <f t="shared" si="12"/>
        <v>0</v>
      </c>
      <c r="X61" s="283">
        <f t="shared" si="13"/>
        <v>0</v>
      </c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</row>
    <row r="62" ht="27.0" customHeight="1">
      <c r="A62" s="160">
        <v>31.0</v>
      </c>
      <c r="B62" s="191"/>
      <c r="C62" s="191"/>
      <c r="D62" s="191"/>
      <c r="E62" s="191"/>
      <c r="F62" s="192">
        <f t="shared" si="5"/>
        <v>0</v>
      </c>
      <c r="G62" s="191"/>
      <c r="H62" s="194">
        <f t="shared" si="6"/>
        <v>0</v>
      </c>
      <c r="I62" s="139"/>
      <c r="J62" s="197"/>
      <c r="K62" s="198" t="str">
        <f t="shared" si="16"/>
        <v/>
      </c>
      <c r="L62" s="198"/>
      <c r="M62" s="139"/>
      <c r="N62" s="139"/>
      <c r="O62" s="176"/>
      <c r="P62" s="281"/>
      <c r="Q62" s="176">
        <f t="shared" si="7"/>
        <v>0</v>
      </c>
      <c r="R62" s="160" t="str">
        <f t="shared" si="8"/>
        <v/>
      </c>
      <c r="S62" s="160">
        <f t="shared" si="9"/>
        <v>0</v>
      </c>
      <c r="T62" s="282">
        <f t="shared" si="10"/>
        <v>0</v>
      </c>
      <c r="U62" s="176">
        <f t="shared" ref="U62:V62" si="45">C62/100</f>
        <v>0</v>
      </c>
      <c r="V62" s="176">
        <f t="shared" si="45"/>
        <v>0</v>
      </c>
      <c r="W62" s="176">
        <f t="shared" si="12"/>
        <v>0</v>
      </c>
      <c r="X62" s="283">
        <f t="shared" si="13"/>
        <v>0</v>
      </c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</row>
    <row r="63" ht="27.0" customHeight="1">
      <c r="A63" s="160">
        <v>32.0</v>
      </c>
      <c r="B63" s="191"/>
      <c r="C63" s="191"/>
      <c r="D63" s="191"/>
      <c r="E63" s="191"/>
      <c r="F63" s="192">
        <f t="shared" si="5"/>
        <v>0</v>
      </c>
      <c r="G63" s="191"/>
      <c r="H63" s="194">
        <f t="shared" si="6"/>
        <v>0</v>
      </c>
      <c r="I63" s="139"/>
      <c r="J63" s="197"/>
      <c r="K63" s="198" t="str">
        <f t="shared" si="16"/>
        <v/>
      </c>
      <c r="L63" s="198"/>
      <c r="M63" s="139"/>
      <c r="N63" s="139"/>
      <c r="O63" s="176"/>
      <c r="P63" s="281"/>
      <c r="Q63" s="176">
        <f t="shared" si="7"/>
        <v>0</v>
      </c>
      <c r="R63" s="160" t="str">
        <f t="shared" si="8"/>
        <v/>
      </c>
      <c r="S63" s="160">
        <f t="shared" si="9"/>
        <v>0</v>
      </c>
      <c r="T63" s="282">
        <f t="shared" si="10"/>
        <v>0</v>
      </c>
      <c r="U63" s="176">
        <f t="shared" ref="U63:V63" si="46">C63/100</f>
        <v>0</v>
      </c>
      <c r="V63" s="176">
        <f t="shared" si="46"/>
        <v>0</v>
      </c>
      <c r="W63" s="176">
        <f t="shared" si="12"/>
        <v>0</v>
      </c>
      <c r="X63" s="283">
        <f t="shared" si="13"/>
        <v>0</v>
      </c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</row>
    <row r="64" ht="27.0" customHeight="1">
      <c r="A64" s="160">
        <v>33.0</v>
      </c>
      <c r="B64" s="191"/>
      <c r="C64" s="191"/>
      <c r="D64" s="191"/>
      <c r="E64" s="191"/>
      <c r="F64" s="192">
        <f t="shared" si="5"/>
        <v>0</v>
      </c>
      <c r="G64" s="191"/>
      <c r="H64" s="194">
        <f t="shared" si="6"/>
        <v>0</v>
      </c>
      <c r="I64" s="139"/>
      <c r="J64" s="197"/>
      <c r="K64" s="198" t="str">
        <f t="shared" si="16"/>
        <v/>
      </c>
      <c r="L64" s="198"/>
      <c r="M64" s="139"/>
      <c r="N64" s="139"/>
      <c r="O64" s="176"/>
      <c r="P64" s="281"/>
      <c r="Q64" s="176">
        <f t="shared" si="7"/>
        <v>0</v>
      </c>
      <c r="R64" s="160" t="str">
        <f t="shared" si="8"/>
        <v/>
      </c>
      <c r="S64" s="160">
        <f t="shared" si="9"/>
        <v>0</v>
      </c>
      <c r="T64" s="282">
        <f t="shared" si="10"/>
        <v>0</v>
      </c>
      <c r="U64" s="176">
        <f t="shared" ref="U64:V64" si="47">C64/100</f>
        <v>0</v>
      </c>
      <c r="V64" s="176">
        <f t="shared" si="47"/>
        <v>0</v>
      </c>
      <c r="W64" s="176">
        <f t="shared" si="12"/>
        <v>0</v>
      </c>
      <c r="X64" s="283">
        <f t="shared" si="13"/>
        <v>0</v>
      </c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</row>
    <row r="65" ht="27.0" customHeight="1">
      <c r="A65" s="160">
        <v>34.0</v>
      </c>
      <c r="B65" s="191"/>
      <c r="C65" s="191"/>
      <c r="D65" s="191"/>
      <c r="E65" s="191"/>
      <c r="F65" s="192">
        <f t="shared" si="5"/>
        <v>0</v>
      </c>
      <c r="G65" s="191"/>
      <c r="H65" s="194">
        <f t="shared" si="6"/>
        <v>0</v>
      </c>
      <c r="I65" s="139"/>
      <c r="J65" s="197"/>
      <c r="K65" s="198" t="str">
        <f t="shared" si="16"/>
        <v/>
      </c>
      <c r="L65" s="198"/>
      <c r="M65" s="139"/>
      <c r="N65" s="139"/>
      <c r="O65" s="176"/>
      <c r="P65" s="281"/>
      <c r="Q65" s="176">
        <f t="shared" si="7"/>
        <v>0</v>
      </c>
      <c r="R65" s="160" t="str">
        <f t="shared" si="8"/>
        <v/>
      </c>
      <c r="S65" s="160">
        <f t="shared" si="9"/>
        <v>0</v>
      </c>
      <c r="T65" s="282">
        <f t="shared" si="10"/>
        <v>0</v>
      </c>
      <c r="U65" s="176">
        <f t="shared" ref="U65:V65" si="48">C65/100</f>
        <v>0</v>
      </c>
      <c r="V65" s="176">
        <f t="shared" si="48"/>
        <v>0</v>
      </c>
      <c r="W65" s="176">
        <f t="shared" si="12"/>
        <v>0</v>
      </c>
      <c r="X65" s="283">
        <f t="shared" si="13"/>
        <v>0</v>
      </c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</row>
    <row r="66" ht="27.0" customHeight="1">
      <c r="A66" s="160">
        <v>35.0</v>
      </c>
      <c r="B66" s="191"/>
      <c r="C66" s="191"/>
      <c r="D66" s="191"/>
      <c r="E66" s="191"/>
      <c r="F66" s="192">
        <f t="shared" si="5"/>
        <v>0</v>
      </c>
      <c r="G66" s="191"/>
      <c r="H66" s="194">
        <f t="shared" si="6"/>
        <v>0</v>
      </c>
      <c r="I66" s="139"/>
      <c r="J66" s="197"/>
      <c r="K66" s="198" t="str">
        <f t="shared" si="16"/>
        <v/>
      </c>
      <c r="L66" s="198"/>
      <c r="M66" s="139"/>
      <c r="N66" s="139"/>
      <c r="O66" s="176"/>
      <c r="P66" s="281"/>
      <c r="Q66" s="176">
        <f t="shared" si="7"/>
        <v>0</v>
      </c>
      <c r="R66" s="160" t="str">
        <f t="shared" si="8"/>
        <v/>
      </c>
      <c r="S66" s="160">
        <f t="shared" si="9"/>
        <v>0</v>
      </c>
      <c r="T66" s="282">
        <f t="shared" si="10"/>
        <v>0</v>
      </c>
      <c r="U66" s="176">
        <f t="shared" ref="U66:V66" si="49">C66/100</f>
        <v>0</v>
      </c>
      <c r="V66" s="176">
        <f t="shared" si="49"/>
        <v>0</v>
      </c>
      <c r="W66" s="176">
        <f t="shared" si="12"/>
        <v>0</v>
      </c>
      <c r="X66" s="283">
        <f t="shared" si="13"/>
        <v>0</v>
      </c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</row>
    <row r="67" ht="27.0" customHeight="1">
      <c r="A67" s="160">
        <v>36.0</v>
      </c>
      <c r="B67" s="191"/>
      <c r="C67" s="191"/>
      <c r="D67" s="191"/>
      <c r="E67" s="191"/>
      <c r="F67" s="192">
        <f t="shared" si="5"/>
        <v>0</v>
      </c>
      <c r="G67" s="191"/>
      <c r="H67" s="194">
        <f t="shared" si="6"/>
        <v>0</v>
      </c>
      <c r="I67" s="139"/>
      <c r="J67" s="197"/>
      <c r="K67" s="198" t="str">
        <f t="shared" si="16"/>
        <v/>
      </c>
      <c r="L67" s="198"/>
      <c r="M67" s="139"/>
      <c r="N67" s="139"/>
      <c r="O67" s="176"/>
      <c r="P67" s="281"/>
      <c r="Q67" s="176">
        <f t="shared" si="7"/>
        <v>0</v>
      </c>
      <c r="R67" s="160" t="str">
        <f t="shared" si="8"/>
        <v/>
      </c>
      <c r="S67" s="160">
        <f t="shared" si="9"/>
        <v>0</v>
      </c>
      <c r="T67" s="282">
        <f t="shared" si="10"/>
        <v>0</v>
      </c>
      <c r="U67" s="176">
        <f t="shared" ref="U67:V67" si="50">C67/100</f>
        <v>0</v>
      </c>
      <c r="V67" s="176">
        <f t="shared" si="50"/>
        <v>0</v>
      </c>
      <c r="W67" s="176">
        <f t="shared" si="12"/>
        <v>0</v>
      </c>
      <c r="X67" s="283">
        <f t="shared" si="13"/>
        <v>0</v>
      </c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</row>
    <row r="68" ht="27.0" customHeight="1">
      <c r="A68" s="160">
        <v>37.0</v>
      </c>
      <c r="B68" s="191"/>
      <c r="C68" s="191"/>
      <c r="D68" s="191"/>
      <c r="E68" s="191"/>
      <c r="F68" s="192">
        <f t="shared" si="5"/>
        <v>0</v>
      </c>
      <c r="G68" s="191"/>
      <c r="H68" s="194">
        <f t="shared" si="6"/>
        <v>0</v>
      </c>
      <c r="I68" s="139"/>
      <c r="J68" s="197"/>
      <c r="K68" s="198" t="str">
        <f t="shared" si="16"/>
        <v/>
      </c>
      <c r="L68" s="198"/>
      <c r="M68" s="139"/>
      <c r="N68" s="139"/>
      <c r="O68" s="176"/>
      <c r="P68" s="281"/>
      <c r="Q68" s="176">
        <f t="shared" si="7"/>
        <v>0</v>
      </c>
      <c r="R68" s="160" t="str">
        <f t="shared" si="8"/>
        <v/>
      </c>
      <c r="S68" s="160">
        <f t="shared" si="9"/>
        <v>0</v>
      </c>
      <c r="T68" s="282">
        <f t="shared" si="10"/>
        <v>0</v>
      </c>
      <c r="U68" s="176">
        <f t="shared" ref="U68:V68" si="51">C68/100</f>
        <v>0</v>
      </c>
      <c r="V68" s="176">
        <f t="shared" si="51"/>
        <v>0</v>
      </c>
      <c r="W68" s="176">
        <f t="shared" si="12"/>
        <v>0</v>
      </c>
      <c r="X68" s="283">
        <f t="shared" si="13"/>
        <v>0</v>
      </c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</row>
    <row r="69" ht="27.0" customHeight="1">
      <c r="A69" s="160">
        <v>38.0</v>
      </c>
      <c r="B69" s="191"/>
      <c r="C69" s="191"/>
      <c r="D69" s="191"/>
      <c r="E69" s="191"/>
      <c r="F69" s="192">
        <f t="shared" si="5"/>
        <v>0</v>
      </c>
      <c r="G69" s="191"/>
      <c r="H69" s="194">
        <f t="shared" si="6"/>
        <v>0</v>
      </c>
      <c r="I69" s="139"/>
      <c r="J69" s="197"/>
      <c r="K69" s="198" t="str">
        <f t="shared" si="16"/>
        <v/>
      </c>
      <c r="L69" s="198"/>
      <c r="M69" s="139"/>
      <c r="N69" s="139"/>
      <c r="O69" s="176"/>
      <c r="P69" s="281"/>
      <c r="Q69" s="176">
        <f t="shared" si="7"/>
        <v>0</v>
      </c>
      <c r="R69" s="160" t="str">
        <f t="shared" si="8"/>
        <v/>
      </c>
      <c r="S69" s="160">
        <f t="shared" si="9"/>
        <v>0</v>
      </c>
      <c r="T69" s="282">
        <f t="shared" si="10"/>
        <v>0</v>
      </c>
      <c r="U69" s="176">
        <f t="shared" ref="U69:V69" si="52">C69/100</f>
        <v>0</v>
      </c>
      <c r="V69" s="176">
        <f t="shared" si="52"/>
        <v>0</v>
      </c>
      <c r="W69" s="176">
        <f t="shared" si="12"/>
        <v>0</v>
      </c>
      <c r="X69" s="283">
        <f t="shared" si="13"/>
        <v>0</v>
      </c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</row>
    <row r="70" ht="27.0" customHeight="1">
      <c r="A70" s="160">
        <v>39.0</v>
      </c>
      <c r="B70" s="191"/>
      <c r="C70" s="191"/>
      <c r="D70" s="191"/>
      <c r="E70" s="191"/>
      <c r="F70" s="192">
        <f t="shared" si="5"/>
        <v>0</v>
      </c>
      <c r="G70" s="191"/>
      <c r="H70" s="194">
        <f t="shared" si="6"/>
        <v>0</v>
      </c>
      <c r="I70" s="139"/>
      <c r="J70" s="197"/>
      <c r="K70" s="198"/>
      <c r="L70" s="198"/>
      <c r="M70" s="139"/>
      <c r="N70" s="139"/>
      <c r="O70" s="176"/>
      <c r="P70" s="281"/>
      <c r="Q70" s="176">
        <f t="shared" si="7"/>
        <v>0</v>
      </c>
      <c r="R70" s="160" t="str">
        <f t="shared" si="8"/>
        <v/>
      </c>
      <c r="S70" s="160">
        <f t="shared" si="9"/>
        <v>0</v>
      </c>
      <c r="T70" s="282">
        <f t="shared" si="10"/>
        <v>0</v>
      </c>
      <c r="U70" s="176">
        <f t="shared" ref="U70:V70" si="53">C70/100</f>
        <v>0</v>
      </c>
      <c r="V70" s="176">
        <f t="shared" si="53"/>
        <v>0</v>
      </c>
      <c r="W70" s="176">
        <f t="shared" si="12"/>
        <v>0</v>
      </c>
      <c r="X70" s="283">
        <f t="shared" si="13"/>
        <v>0</v>
      </c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</row>
    <row r="71" ht="27.0" customHeight="1">
      <c r="A71" s="160">
        <v>40.0</v>
      </c>
      <c r="B71" s="191"/>
      <c r="C71" s="191"/>
      <c r="D71" s="191"/>
      <c r="E71" s="191"/>
      <c r="F71" s="192">
        <f t="shared" si="5"/>
        <v>0</v>
      </c>
      <c r="G71" s="191"/>
      <c r="H71" s="194">
        <f t="shared" si="6"/>
        <v>0</v>
      </c>
      <c r="I71" s="139"/>
      <c r="J71" s="197"/>
      <c r="K71" s="198"/>
      <c r="L71" s="198"/>
      <c r="M71" s="139"/>
      <c r="N71" s="139"/>
      <c r="O71" s="176"/>
      <c r="P71" s="281"/>
      <c r="Q71" s="176">
        <f t="shared" si="7"/>
        <v>0</v>
      </c>
      <c r="R71" s="160" t="str">
        <f t="shared" si="8"/>
        <v/>
      </c>
      <c r="S71" s="160">
        <f t="shared" si="9"/>
        <v>0</v>
      </c>
      <c r="T71" s="282">
        <f t="shared" si="10"/>
        <v>0</v>
      </c>
      <c r="U71" s="176">
        <f t="shared" ref="U71:V71" si="54">C71/100</f>
        <v>0</v>
      </c>
      <c r="V71" s="176">
        <f t="shared" si="54"/>
        <v>0</v>
      </c>
      <c r="W71" s="176">
        <f t="shared" si="12"/>
        <v>0</v>
      </c>
      <c r="X71" s="283">
        <f t="shared" si="13"/>
        <v>0</v>
      </c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</row>
    <row r="72" ht="27.0" customHeight="1">
      <c r="A72" s="160">
        <v>41.0</v>
      </c>
      <c r="B72" s="191"/>
      <c r="C72" s="191"/>
      <c r="D72" s="191"/>
      <c r="E72" s="191"/>
      <c r="F72" s="192">
        <f t="shared" si="5"/>
        <v>0</v>
      </c>
      <c r="G72" s="191"/>
      <c r="H72" s="194">
        <f t="shared" si="6"/>
        <v>0</v>
      </c>
      <c r="I72" s="139"/>
      <c r="J72" s="197"/>
      <c r="K72" s="198"/>
      <c r="L72" s="198"/>
      <c r="M72" s="139"/>
      <c r="N72" s="139"/>
      <c r="O72" s="176"/>
      <c r="P72" s="281"/>
      <c r="Q72" s="176">
        <f t="shared" si="7"/>
        <v>0</v>
      </c>
      <c r="R72" s="160" t="str">
        <f t="shared" si="8"/>
        <v/>
      </c>
      <c r="S72" s="160">
        <f t="shared" si="9"/>
        <v>0</v>
      </c>
      <c r="T72" s="282">
        <f t="shared" si="10"/>
        <v>0</v>
      </c>
      <c r="U72" s="176">
        <f t="shared" ref="U72:V72" si="55">C72/100</f>
        <v>0</v>
      </c>
      <c r="V72" s="176">
        <f t="shared" si="55"/>
        <v>0</v>
      </c>
      <c r="W72" s="176">
        <f t="shared" si="12"/>
        <v>0</v>
      </c>
      <c r="X72" s="283">
        <f t="shared" si="13"/>
        <v>0</v>
      </c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</row>
    <row r="73" ht="27.0" customHeight="1">
      <c r="A73" s="160">
        <v>42.0</v>
      </c>
      <c r="B73" s="191"/>
      <c r="C73" s="191"/>
      <c r="D73" s="191"/>
      <c r="E73" s="191"/>
      <c r="F73" s="192">
        <f t="shared" si="5"/>
        <v>0</v>
      </c>
      <c r="G73" s="191"/>
      <c r="H73" s="194">
        <f t="shared" si="6"/>
        <v>0</v>
      </c>
      <c r="I73" s="139"/>
      <c r="J73" s="197"/>
      <c r="K73" s="198"/>
      <c r="L73" s="198"/>
      <c r="M73" s="139"/>
      <c r="N73" s="139"/>
      <c r="O73" s="176"/>
      <c r="P73" s="281"/>
      <c r="Q73" s="176">
        <f t="shared" si="7"/>
        <v>0</v>
      </c>
      <c r="R73" s="160" t="str">
        <f t="shared" si="8"/>
        <v/>
      </c>
      <c r="S73" s="160">
        <f t="shared" si="9"/>
        <v>0</v>
      </c>
      <c r="T73" s="282">
        <f t="shared" si="10"/>
        <v>0</v>
      </c>
      <c r="U73" s="176">
        <f t="shared" ref="U73:V73" si="56">C73/100</f>
        <v>0</v>
      </c>
      <c r="V73" s="176">
        <f t="shared" si="56"/>
        <v>0</v>
      </c>
      <c r="W73" s="176">
        <f t="shared" si="12"/>
        <v>0</v>
      </c>
      <c r="X73" s="283">
        <f t="shared" si="13"/>
        <v>0</v>
      </c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</row>
    <row r="74" ht="27.0" customHeight="1">
      <c r="A74" s="160">
        <v>43.0</v>
      </c>
      <c r="B74" s="191"/>
      <c r="C74" s="191"/>
      <c r="D74" s="191"/>
      <c r="E74" s="191"/>
      <c r="F74" s="192">
        <f t="shared" si="5"/>
        <v>0</v>
      </c>
      <c r="G74" s="191"/>
      <c r="H74" s="194">
        <f t="shared" si="6"/>
        <v>0</v>
      </c>
      <c r="I74" s="139"/>
      <c r="J74" s="197"/>
      <c r="K74" s="198"/>
      <c r="L74" s="198"/>
      <c r="M74" s="139"/>
      <c r="N74" s="139"/>
      <c r="O74" s="176"/>
      <c r="P74" s="141"/>
      <c r="Q74" s="176">
        <f t="shared" si="7"/>
        <v>0</v>
      </c>
      <c r="R74" s="160" t="str">
        <f t="shared" si="8"/>
        <v/>
      </c>
      <c r="S74" s="160">
        <f t="shared" si="9"/>
        <v>0</v>
      </c>
      <c r="T74" s="282">
        <f t="shared" si="10"/>
        <v>0</v>
      </c>
      <c r="U74" s="176">
        <f t="shared" ref="U74:V74" si="57">C74/100</f>
        <v>0</v>
      </c>
      <c r="V74" s="176">
        <f t="shared" si="57"/>
        <v>0</v>
      </c>
      <c r="W74" s="176">
        <f t="shared" si="12"/>
        <v>0</v>
      </c>
      <c r="X74" s="283">
        <f t="shared" si="13"/>
        <v>0</v>
      </c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</row>
    <row r="75" ht="27.0" customHeight="1">
      <c r="A75" s="160">
        <v>44.0</v>
      </c>
      <c r="B75" s="191"/>
      <c r="C75" s="191"/>
      <c r="D75" s="191"/>
      <c r="E75" s="191"/>
      <c r="F75" s="192">
        <f t="shared" si="5"/>
        <v>0</v>
      </c>
      <c r="G75" s="191"/>
      <c r="H75" s="194">
        <f t="shared" si="6"/>
        <v>0</v>
      </c>
      <c r="I75" s="139"/>
      <c r="J75" s="197"/>
      <c r="K75" s="198"/>
      <c r="L75" s="198"/>
      <c r="M75" s="139"/>
      <c r="N75" s="139"/>
      <c r="O75" s="176"/>
      <c r="P75" s="141"/>
      <c r="Q75" s="176">
        <f t="shared" si="7"/>
        <v>0</v>
      </c>
      <c r="R75" s="160" t="str">
        <f t="shared" si="8"/>
        <v/>
      </c>
      <c r="S75" s="160">
        <f t="shared" si="9"/>
        <v>0</v>
      </c>
      <c r="T75" s="282">
        <f t="shared" si="10"/>
        <v>0</v>
      </c>
      <c r="U75" s="176">
        <f t="shared" ref="U75:V75" si="58">C75/100</f>
        <v>0</v>
      </c>
      <c r="V75" s="176">
        <f t="shared" si="58"/>
        <v>0</v>
      </c>
      <c r="W75" s="176">
        <f t="shared" si="12"/>
        <v>0</v>
      </c>
      <c r="X75" s="283">
        <f t="shared" si="13"/>
        <v>0</v>
      </c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</row>
    <row r="76" ht="27.0" customHeight="1">
      <c r="A76" s="160">
        <v>45.0</v>
      </c>
      <c r="B76" s="191"/>
      <c r="C76" s="191"/>
      <c r="D76" s="191"/>
      <c r="E76" s="191"/>
      <c r="F76" s="192">
        <f t="shared" si="5"/>
        <v>0</v>
      </c>
      <c r="G76" s="191"/>
      <c r="H76" s="194">
        <f t="shared" si="6"/>
        <v>0</v>
      </c>
      <c r="I76" s="139"/>
      <c r="J76" s="197"/>
      <c r="K76" s="198"/>
      <c r="L76" s="198"/>
      <c r="M76" s="139"/>
      <c r="N76" s="139"/>
      <c r="O76" s="176"/>
      <c r="P76" s="141"/>
      <c r="Q76" s="176">
        <f t="shared" si="7"/>
        <v>0</v>
      </c>
      <c r="R76" s="160" t="str">
        <f t="shared" si="8"/>
        <v/>
      </c>
      <c r="S76" s="160">
        <f t="shared" si="9"/>
        <v>0</v>
      </c>
      <c r="T76" s="282">
        <f t="shared" si="10"/>
        <v>0</v>
      </c>
      <c r="U76" s="176">
        <f t="shared" ref="U76:V76" si="59">C76/100</f>
        <v>0</v>
      </c>
      <c r="V76" s="176">
        <f t="shared" si="59"/>
        <v>0</v>
      </c>
      <c r="W76" s="176">
        <f t="shared" si="12"/>
        <v>0</v>
      </c>
      <c r="X76" s="283">
        <f t="shared" si="13"/>
        <v>0</v>
      </c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</row>
    <row r="77" ht="27.0" customHeight="1">
      <c r="A77" s="160">
        <v>46.0</v>
      </c>
      <c r="B77" s="191"/>
      <c r="C77" s="191"/>
      <c r="D77" s="191"/>
      <c r="E77" s="191"/>
      <c r="F77" s="192">
        <f t="shared" si="5"/>
        <v>0</v>
      </c>
      <c r="G77" s="191"/>
      <c r="H77" s="194">
        <f t="shared" si="6"/>
        <v>0</v>
      </c>
      <c r="I77" s="139"/>
      <c r="J77" s="197"/>
      <c r="K77" s="198"/>
      <c r="L77" s="198"/>
      <c r="M77" s="139"/>
      <c r="N77" s="139"/>
      <c r="O77" s="176"/>
      <c r="P77" s="141"/>
      <c r="Q77" s="176">
        <f t="shared" si="7"/>
        <v>0</v>
      </c>
      <c r="R77" s="160" t="str">
        <f t="shared" si="8"/>
        <v/>
      </c>
      <c r="S77" s="160">
        <f t="shared" si="9"/>
        <v>0</v>
      </c>
      <c r="T77" s="282">
        <f t="shared" si="10"/>
        <v>0</v>
      </c>
      <c r="U77" s="176">
        <f t="shared" ref="U77:V77" si="60">C77/100</f>
        <v>0</v>
      </c>
      <c r="V77" s="176">
        <f t="shared" si="60"/>
        <v>0</v>
      </c>
      <c r="W77" s="176">
        <f t="shared" si="12"/>
        <v>0</v>
      </c>
      <c r="X77" s="283">
        <f t="shared" si="13"/>
        <v>0</v>
      </c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</row>
    <row r="78" ht="27.0" customHeight="1">
      <c r="A78" s="160">
        <v>47.0</v>
      </c>
      <c r="B78" s="191"/>
      <c r="C78" s="191"/>
      <c r="D78" s="191"/>
      <c r="E78" s="191"/>
      <c r="F78" s="192">
        <f t="shared" si="5"/>
        <v>0</v>
      </c>
      <c r="G78" s="191"/>
      <c r="H78" s="194">
        <f t="shared" si="6"/>
        <v>0</v>
      </c>
      <c r="I78" s="139"/>
      <c r="J78" s="197"/>
      <c r="K78" s="198"/>
      <c r="L78" s="198"/>
      <c r="M78" s="139"/>
      <c r="N78" s="139"/>
      <c r="O78" s="176"/>
      <c r="P78" s="141"/>
      <c r="Q78" s="176">
        <f t="shared" si="7"/>
        <v>0</v>
      </c>
      <c r="R78" s="160" t="str">
        <f t="shared" si="8"/>
        <v/>
      </c>
      <c r="S78" s="160">
        <f t="shared" si="9"/>
        <v>0</v>
      </c>
      <c r="T78" s="282">
        <f t="shared" si="10"/>
        <v>0</v>
      </c>
      <c r="U78" s="176">
        <f t="shared" ref="U78:V78" si="61">C78/100</f>
        <v>0</v>
      </c>
      <c r="V78" s="176">
        <f t="shared" si="61"/>
        <v>0</v>
      </c>
      <c r="W78" s="176">
        <f t="shared" si="12"/>
        <v>0</v>
      </c>
      <c r="X78" s="283">
        <f t="shared" si="13"/>
        <v>0</v>
      </c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</row>
    <row r="79" ht="27.0" customHeight="1">
      <c r="A79" s="160">
        <v>48.0</v>
      </c>
      <c r="B79" s="191"/>
      <c r="C79" s="191"/>
      <c r="D79" s="191"/>
      <c r="E79" s="191"/>
      <c r="F79" s="192">
        <f t="shared" si="5"/>
        <v>0</v>
      </c>
      <c r="G79" s="191"/>
      <c r="H79" s="194">
        <f t="shared" si="6"/>
        <v>0</v>
      </c>
      <c r="I79" s="139"/>
      <c r="J79" s="197"/>
      <c r="K79" s="198"/>
      <c r="L79" s="198"/>
      <c r="M79" s="139"/>
      <c r="N79" s="139"/>
      <c r="O79" s="176"/>
      <c r="P79" s="141"/>
      <c r="Q79" s="176">
        <f t="shared" si="7"/>
        <v>0</v>
      </c>
      <c r="R79" s="160" t="str">
        <f t="shared" si="8"/>
        <v/>
      </c>
      <c r="S79" s="160">
        <f t="shared" si="9"/>
        <v>0</v>
      </c>
      <c r="T79" s="282">
        <f t="shared" si="10"/>
        <v>0</v>
      </c>
      <c r="U79" s="176">
        <f t="shared" ref="U79:V79" si="62">C79/100</f>
        <v>0</v>
      </c>
      <c r="V79" s="176">
        <f t="shared" si="62"/>
        <v>0</v>
      </c>
      <c r="W79" s="176">
        <f t="shared" si="12"/>
        <v>0</v>
      </c>
      <c r="X79" s="283">
        <f t="shared" si="13"/>
        <v>0</v>
      </c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</row>
    <row r="80" ht="27.0" customHeight="1">
      <c r="A80" s="160">
        <v>49.0</v>
      </c>
      <c r="B80" s="191"/>
      <c r="C80" s="191"/>
      <c r="D80" s="191"/>
      <c r="E80" s="191"/>
      <c r="F80" s="192">
        <f t="shared" si="5"/>
        <v>0</v>
      </c>
      <c r="G80" s="191"/>
      <c r="H80" s="194">
        <f t="shared" si="6"/>
        <v>0</v>
      </c>
      <c r="I80" s="139"/>
      <c r="J80" s="197"/>
      <c r="K80" s="198"/>
      <c r="L80" s="198"/>
      <c r="M80" s="139"/>
      <c r="N80" s="139"/>
      <c r="O80" s="176"/>
      <c r="P80" s="141"/>
      <c r="Q80" s="176">
        <f t="shared" si="7"/>
        <v>0</v>
      </c>
      <c r="R80" s="160" t="str">
        <f t="shared" si="8"/>
        <v/>
      </c>
      <c r="S80" s="160">
        <f t="shared" si="9"/>
        <v>0</v>
      </c>
      <c r="T80" s="282">
        <f t="shared" si="10"/>
        <v>0</v>
      </c>
      <c r="U80" s="176">
        <f t="shared" ref="U80:V80" si="63">C80/100</f>
        <v>0</v>
      </c>
      <c r="V80" s="176">
        <f t="shared" si="63"/>
        <v>0</v>
      </c>
      <c r="W80" s="176">
        <f t="shared" si="12"/>
        <v>0</v>
      </c>
      <c r="X80" s="283">
        <f t="shared" si="13"/>
        <v>0</v>
      </c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</row>
    <row r="81" ht="27.0" customHeight="1">
      <c r="A81" s="160">
        <v>50.0</v>
      </c>
      <c r="B81" s="191"/>
      <c r="C81" s="191"/>
      <c r="D81" s="191"/>
      <c r="E81" s="191"/>
      <c r="F81" s="192">
        <f t="shared" si="5"/>
        <v>0</v>
      </c>
      <c r="G81" s="191"/>
      <c r="H81" s="194">
        <f t="shared" si="6"/>
        <v>0</v>
      </c>
      <c r="I81" s="139"/>
      <c r="J81" s="197"/>
      <c r="K81" s="198"/>
      <c r="L81" s="198"/>
      <c r="M81" s="139"/>
      <c r="N81" s="139"/>
      <c r="O81" s="176"/>
      <c r="P81" s="141"/>
      <c r="Q81" s="176">
        <f t="shared" si="7"/>
        <v>0</v>
      </c>
      <c r="R81" s="160" t="str">
        <f t="shared" si="8"/>
        <v/>
      </c>
      <c r="S81" s="160">
        <f t="shared" si="9"/>
        <v>0</v>
      </c>
      <c r="T81" s="282">
        <f t="shared" si="10"/>
        <v>0</v>
      </c>
      <c r="U81" s="176">
        <f t="shared" ref="U81:V81" si="64">C81/100</f>
        <v>0</v>
      </c>
      <c r="V81" s="176">
        <f t="shared" si="64"/>
        <v>0</v>
      </c>
      <c r="W81" s="176">
        <f t="shared" si="12"/>
        <v>0</v>
      </c>
      <c r="X81" s="283">
        <f t="shared" si="13"/>
        <v>0</v>
      </c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</row>
    <row r="82" ht="27.0" customHeight="1">
      <c r="A82" s="160">
        <v>51.0</v>
      </c>
      <c r="B82" s="191"/>
      <c r="C82" s="191"/>
      <c r="D82" s="191"/>
      <c r="E82" s="191"/>
      <c r="F82" s="192">
        <f t="shared" si="5"/>
        <v>0</v>
      </c>
      <c r="G82" s="191"/>
      <c r="H82" s="194">
        <f t="shared" si="6"/>
        <v>0</v>
      </c>
      <c r="I82" s="139"/>
      <c r="J82" s="197"/>
      <c r="K82" s="198"/>
      <c r="L82" s="198"/>
      <c r="M82" s="139"/>
      <c r="N82" s="139"/>
      <c r="O82" s="176"/>
      <c r="P82" s="141"/>
      <c r="Q82" s="176">
        <f t="shared" si="7"/>
        <v>0</v>
      </c>
      <c r="R82" s="160" t="str">
        <f t="shared" si="8"/>
        <v/>
      </c>
      <c r="S82" s="160">
        <f t="shared" si="9"/>
        <v>0</v>
      </c>
      <c r="T82" s="282">
        <f t="shared" si="10"/>
        <v>0</v>
      </c>
      <c r="U82" s="176">
        <f t="shared" ref="U82:V82" si="65">C82/100</f>
        <v>0</v>
      </c>
      <c r="V82" s="176">
        <f t="shared" si="65"/>
        <v>0</v>
      </c>
      <c r="W82" s="176">
        <f t="shared" si="12"/>
        <v>0</v>
      </c>
      <c r="X82" s="283">
        <f t="shared" si="13"/>
        <v>0</v>
      </c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</row>
    <row r="83" ht="27.0" customHeight="1">
      <c r="A83" s="160">
        <v>52.0</v>
      </c>
      <c r="B83" s="191"/>
      <c r="C83" s="191"/>
      <c r="D83" s="191"/>
      <c r="E83" s="191"/>
      <c r="F83" s="192">
        <f t="shared" si="5"/>
        <v>0</v>
      </c>
      <c r="G83" s="191"/>
      <c r="H83" s="194">
        <f t="shared" si="6"/>
        <v>0</v>
      </c>
      <c r="I83" s="139"/>
      <c r="J83" s="197"/>
      <c r="K83" s="198"/>
      <c r="L83" s="198"/>
      <c r="M83" s="139"/>
      <c r="N83" s="139"/>
      <c r="O83" s="176"/>
      <c r="P83" s="141"/>
      <c r="Q83" s="176">
        <f t="shared" si="7"/>
        <v>0</v>
      </c>
      <c r="R83" s="160" t="str">
        <f t="shared" si="8"/>
        <v/>
      </c>
      <c r="S83" s="160">
        <f t="shared" si="9"/>
        <v>0</v>
      </c>
      <c r="T83" s="282">
        <f t="shared" si="10"/>
        <v>0</v>
      </c>
      <c r="U83" s="176">
        <f t="shared" ref="U83:V83" si="66">C83/100</f>
        <v>0</v>
      </c>
      <c r="V83" s="176">
        <f t="shared" si="66"/>
        <v>0</v>
      </c>
      <c r="W83" s="176">
        <f t="shared" si="12"/>
        <v>0</v>
      </c>
      <c r="X83" s="283">
        <f t="shared" si="13"/>
        <v>0</v>
      </c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</row>
    <row r="84" ht="27.0" customHeight="1">
      <c r="A84" s="160">
        <v>53.0</v>
      </c>
      <c r="B84" s="191"/>
      <c r="C84" s="191"/>
      <c r="D84" s="191"/>
      <c r="E84" s="191"/>
      <c r="F84" s="192">
        <f t="shared" si="5"/>
        <v>0</v>
      </c>
      <c r="G84" s="191"/>
      <c r="H84" s="194">
        <f t="shared" si="6"/>
        <v>0</v>
      </c>
      <c r="I84" s="139"/>
      <c r="J84" s="197"/>
      <c r="K84" s="198"/>
      <c r="L84" s="198"/>
      <c r="M84" s="139"/>
      <c r="N84" s="139"/>
      <c r="O84" s="176"/>
      <c r="P84" s="141"/>
      <c r="Q84" s="176">
        <f t="shared" si="7"/>
        <v>0</v>
      </c>
      <c r="R84" s="160" t="str">
        <f t="shared" si="8"/>
        <v/>
      </c>
      <c r="S84" s="160">
        <f t="shared" si="9"/>
        <v>0</v>
      </c>
      <c r="T84" s="282">
        <f t="shared" si="10"/>
        <v>0</v>
      </c>
      <c r="U84" s="176">
        <f t="shared" ref="U84:V84" si="67">C84/100</f>
        <v>0</v>
      </c>
      <c r="V84" s="176">
        <f t="shared" si="67"/>
        <v>0</v>
      </c>
      <c r="W84" s="176">
        <f t="shared" si="12"/>
        <v>0</v>
      </c>
      <c r="X84" s="283">
        <f t="shared" si="13"/>
        <v>0</v>
      </c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</row>
    <row r="85" ht="27.0" customHeight="1">
      <c r="A85" s="160">
        <v>54.0</v>
      </c>
      <c r="B85" s="191"/>
      <c r="C85" s="191"/>
      <c r="D85" s="191"/>
      <c r="E85" s="191"/>
      <c r="F85" s="192">
        <f t="shared" si="5"/>
        <v>0</v>
      </c>
      <c r="G85" s="191"/>
      <c r="H85" s="194">
        <f t="shared" si="6"/>
        <v>0</v>
      </c>
      <c r="I85" s="139"/>
      <c r="J85" s="197"/>
      <c r="K85" s="198"/>
      <c r="L85" s="198"/>
      <c r="M85" s="139"/>
      <c r="N85" s="139"/>
      <c r="O85" s="176"/>
      <c r="P85" s="141"/>
      <c r="Q85" s="176">
        <f t="shared" si="7"/>
        <v>0</v>
      </c>
      <c r="R85" s="160" t="str">
        <f t="shared" si="8"/>
        <v/>
      </c>
      <c r="S85" s="160">
        <f t="shared" si="9"/>
        <v>0</v>
      </c>
      <c r="T85" s="282">
        <f t="shared" si="10"/>
        <v>0</v>
      </c>
      <c r="U85" s="176">
        <f t="shared" ref="U85:V85" si="68">C85/100</f>
        <v>0</v>
      </c>
      <c r="V85" s="176">
        <f t="shared" si="68"/>
        <v>0</v>
      </c>
      <c r="W85" s="176">
        <f t="shared" si="12"/>
        <v>0</v>
      </c>
      <c r="X85" s="283">
        <f t="shared" si="13"/>
        <v>0</v>
      </c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</row>
    <row r="86" ht="27.0" customHeight="1">
      <c r="A86" s="160">
        <v>55.0</v>
      </c>
      <c r="B86" s="191"/>
      <c r="C86" s="191"/>
      <c r="D86" s="191"/>
      <c r="E86" s="191"/>
      <c r="F86" s="192">
        <f t="shared" si="5"/>
        <v>0</v>
      </c>
      <c r="G86" s="191"/>
      <c r="H86" s="194">
        <f t="shared" si="6"/>
        <v>0</v>
      </c>
      <c r="I86" s="139"/>
      <c r="J86" s="197"/>
      <c r="K86" s="198"/>
      <c r="L86" s="198"/>
      <c r="M86" s="139"/>
      <c r="N86" s="139"/>
      <c r="O86" s="176"/>
      <c r="P86" s="141"/>
      <c r="Q86" s="176">
        <f t="shared" si="7"/>
        <v>0</v>
      </c>
      <c r="R86" s="160" t="str">
        <f t="shared" si="8"/>
        <v/>
      </c>
      <c r="S86" s="160">
        <f t="shared" si="9"/>
        <v>0</v>
      </c>
      <c r="T86" s="282">
        <f t="shared" si="10"/>
        <v>0</v>
      </c>
      <c r="U86" s="176">
        <f t="shared" ref="U86:V86" si="69">C86/100</f>
        <v>0</v>
      </c>
      <c r="V86" s="176">
        <f t="shared" si="69"/>
        <v>0</v>
      </c>
      <c r="W86" s="176">
        <f t="shared" si="12"/>
        <v>0</v>
      </c>
      <c r="X86" s="283">
        <f t="shared" si="13"/>
        <v>0</v>
      </c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</row>
    <row r="87" ht="27.0" customHeight="1">
      <c r="A87" s="160">
        <v>56.0</v>
      </c>
      <c r="B87" s="191"/>
      <c r="C87" s="191"/>
      <c r="D87" s="191"/>
      <c r="E87" s="191"/>
      <c r="F87" s="192">
        <f t="shared" si="5"/>
        <v>0</v>
      </c>
      <c r="G87" s="191"/>
      <c r="H87" s="194">
        <f t="shared" si="6"/>
        <v>0</v>
      </c>
      <c r="I87" s="139"/>
      <c r="J87" s="197"/>
      <c r="K87" s="198"/>
      <c r="L87" s="198"/>
      <c r="M87" s="139"/>
      <c r="N87" s="139"/>
      <c r="O87" s="176"/>
      <c r="P87" s="141"/>
      <c r="Q87" s="176">
        <f t="shared" si="7"/>
        <v>0</v>
      </c>
      <c r="R87" s="160" t="str">
        <f t="shared" si="8"/>
        <v/>
      </c>
      <c r="S87" s="160">
        <f t="shared" si="9"/>
        <v>0</v>
      </c>
      <c r="T87" s="282">
        <f t="shared" si="10"/>
        <v>0</v>
      </c>
      <c r="U87" s="176">
        <f t="shared" ref="U87:V87" si="70">C87/100</f>
        <v>0</v>
      </c>
      <c r="V87" s="176">
        <f t="shared" si="70"/>
        <v>0</v>
      </c>
      <c r="W87" s="176">
        <f t="shared" si="12"/>
        <v>0</v>
      </c>
      <c r="X87" s="283">
        <f t="shared" si="13"/>
        <v>0</v>
      </c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</row>
    <row r="88" ht="27.0" customHeight="1">
      <c r="A88" s="160">
        <v>57.0</v>
      </c>
      <c r="B88" s="191"/>
      <c r="C88" s="191"/>
      <c r="D88" s="191"/>
      <c r="E88" s="191"/>
      <c r="F88" s="192">
        <f t="shared" si="5"/>
        <v>0</v>
      </c>
      <c r="G88" s="191"/>
      <c r="H88" s="194">
        <f t="shared" si="6"/>
        <v>0</v>
      </c>
      <c r="I88" s="139"/>
      <c r="J88" s="197"/>
      <c r="K88" s="198"/>
      <c r="L88" s="198"/>
      <c r="M88" s="139"/>
      <c r="N88" s="139"/>
      <c r="O88" s="176"/>
      <c r="P88" s="141"/>
      <c r="Q88" s="176">
        <f t="shared" si="7"/>
        <v>0</v>
      </c>
      <c r="R88" s="160" t="str">
        <f t="shared" si="8"/>
        <v/>
      </c>
      <c r="S88" s="160">
        <f t="shared" si="9"/>
        <v>0</v>
      </c>
      <c r="T88" s="282">
        <f t="shared" si="10"/>
        <v>0</v>
      </c>
      <c r="U88" s="176">
        <f t="shared" ref="U88:V88" si="71">C88/100</f>
        <v>0</v>
      </c>
      <c r="V88" s="176">
        <f t="shared" si="71"/>
        <v>0</v>
      </c>
      <c r="W88" s="176">
        <f t="shared" si="12"/>
        <v>0</v>
      </c>
      <c r="X88" s="283">
        <f t="shared" si="13"/>
        <v>0</v>
      </c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</row>
    <row r="89" ht="27.0" customHeight="1">
      <c r="A89" s="160">
        <v>58.0</v>
      </c>
      <c r="B89" s="191"/>
      <c r="C89" s="191"/>
      <c r="D89" s="191"/>
      <c r="E89" s="191"/>
      <c r="F89" s="192">
        <f t="shared" si="5"/>
        <v>0</v>
      </c>
      <c r="G89" s="191"/>
      <c r="H89" s="194">
        <f t="shared" si="6"/>
        <v>0</v>
      </c>
      <c r="I89" s="139"/>
      <c r="J89" s="197"/>
      <c r="K89" s="198"/>
      <c r="L89" s="198"/>
      <c r="M89" s="139"/>
      <c r="N89" s="139"/>
      <c r="O89" s="176"/>
      <c r="P89" s="141"/>
      <c r="Q89" s="176">
        <f t="shared" si="7"/>
        <v>0</v>
      </c>
      <c r="R89" s="160" t="str">
        <f t="shared" si="8"/>
        <v/>
      </c>
      <c r="S89" s="160">
        <f t="shared" si="9"/>
        <v>0</v>
      </c>
      <c r="T89" s="282">
        <f t="shared" si="10"/>
        <v>0</v>
      </c>
      <c r="U89" s="176">
        <f t="shared" ref="U89:V89" si="72">C89/100</f>
        <v>0</v>
      </c>
      <c r="V89" s="176">
        <f t="shared" si="72"/>
        <v>0</v>
      </c>
      <c r="W89" s="176">
        <f t="shared" si="12"/>
        <v>0</v>
      </c>
      <c r="X89" s="283">
        <f t="shared" si="13"/>
        <v>0</v>
      </c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</row>
    <row r="90" ht="27.0" customHeight="1">
      <c r="A90" s="160">
        <v>59.0</v>
      </c>
      <c r="B90" s="191"/>
      <c r="C90" s="191"/>
      <c r="D90" s="191"/>
      <c r="E90" s="191"/>
      <c r="F90" s="192">
        <f t="shared" si="5"/>
        <v>0</v>
      </c>
      <c r="G90" s="191"/>
      <c r="H90" s="194">
        <f t="shared" si="6"/>
        <v>0</v>
      </c>
      <c r="I90" s="139"/>
      <c r="J90" s="197"/>
      <c r="K90" s="198"/>
      <c r="L90" s="198"/>
      <c r="M90" s="139"/>
      <c r="N90" s="139"/>
      <c r="O90" s="176"/>
      <c r="P90" s="141"/>
      <c r="Q90" s="176">
        <f t="shared" si="7"/>
        <v>0</v>
      </c>
      <c r="R90" s="160" t="str">
        <f t="shared" si="8"/>
        <v/>
      </c>
      <c r="S90" s="160">
        <f t="shared" si="9"/>
        <v>0</v>
      </c>
      <c r="T90" s="282">
        <f t="shared" si="10"/>
        <v>0</v>
      </c>
      <c r="U90" s="176">
        <f t="shared" ref="U90:V90" si="73">C90/100</f>
        <v>0</v>
      </c>
      <c r="V90" s="176">
        <f t="shared" si="73"/>
        <v>0</v>
      </c>
      <c r="W90" s="176">
        <f t="shared" si="12"/>
        <v>0</v>
      </c>
      <c r="X90" s="283">
        <f t="shared" si="13"/>
        <v>0</v>
      </c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</row>
    <row r="91" ht="27.0" customHeight="1">
      <c r="A91" s="160">
        <v>60.0</v>
      </c>
      <c r="B91" s="191"/>
      <c r="C91" s="191"/>
      <c r="D91" s="191"/>
      <c r="E91" s="191"/>
      <c r="F91" s="192">
        <f t="shared" si="5"/>
        <v>0</v>
      </c>
      <c r="G91" s="191"/>
      <c r="H91" s="194">
        <f t="shared" si="6"/>
        <v>0</v>
      </c>
      <c r="I91" s="139"/>
      <c r="J91" s="176">
        <f t="shared" ref="J91:J92" si="75">D91*25.4/1000</f>
        <v>0</v>
      </c>
      <c r="K91" s="160" t="str">
        <f t="shared" ref="K91:K106" si="76">+G91</f>
        <v/>
      </c>
      <c r="L91" s="160">
        <f t="shared" ref="L91:L92" si="77">K91*J91</f>
        <v>0</v>
      </c>
      <c r="M91" s="139"/>
      <c r="N91" s="139"/>
      <c r="O91" s="176"/>
      <c r="P91" s="141"/>
      <c r="Q91" s="176">
        <f t="shared" si="7"/>
        <v>0</v>
      </c>
      <c r="R91" s="160" t="str">
        <f t="shared" si="8"/>
        <v/>
      </c>
      <c r="S91" s="160">
        <f t="shared" si="9"/>
        <v>0</v>
      </c>
      <c r="T91" s="282">
        <f t="shared" si="10"/>
        <v>0</v>
      </c>
      <c r="U91" s="176">
        <f t="shared" ref="U91:V91" si="74">C91/100</f>
        <v>0</v>
      </c>
      <c r="V91" s="176">
        <f t="shared" si="74"/>
        <v>0</v>
      </c>
      <c r="W91" s="176">
        <f t="shared" si="12"/>
        <v>0</v>
      </c>
      <c r="X91" s="283">
        <f t="shared" si="13"/>
        <v>0</v>
      </c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</row>
    <row r="92" ht="27.0" customHeight="1">
      <c r="A92" s="160">
        <v>61.0</v>
      </c>
      <c r="B92" s="191"/>
      <c r="C92" s="191"/>
      <c r="D92" s="191"/>
      <c r="E92" s="191"/>
      <c r="F92" s="192">
        <f t="shared" si="5"/>
        <v>0</v>
      </c>
      <c r="G92" s="191"/>
      <c r="H92" s="194">
        <f t="shared" si="6"/>
        <v>0</v>
      </c>
      <c r="I92" s="139"/>
      <c r="J92" s="197">
        <f t="shared" si="75"/>
        <v>0</v>
      </c>
      <c r="K92" s="198" t="str">
        <f t="shared" si="76"/>
        <v/>
      </c>
      <c r="L92" s="198">
        <f t="shared" si="77"/>
        <v>0</v>
      </c>
      <c r="M92" s="139"/>
      <c r="N92" s="139"/>
      <c r="O92" s="176"/>
      <c r="P92" s="141"/>
      <c r="Q92" s="176">
        <f t="shared" si="7"/>
        <v>0</v>
      </c>
      <c r="R92" s="160" t="str">
        <f t="shared" si="8"/>
        <v/>
      </c>
      <c r="S92" s="160">
        <f t="shared" si="9"/>
        <v>0</v>
      </c>
      <c r="T92" s="282">
        <f t="shared" si="10"/>
        <v>0</v>
      </c>
      <c r="U92" s="176">
        <f t="shared" ref="U92:V92" si="78">C92/100</f>
        <v>0</v>
      </c>
      <c r="V92" s="176">
        <f t="shared" si="78"/>
        <v>0</v>
      </c>
      <c r="W92" s="176">
        <f t="shared" si="12"/>
        <v>0</v>
      </c>
      <c r="X92" s="283">
        <f t="shared" si="13"/>
        <v>0</v>
      </c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</row>
    <row r="93" ht="27.0" customHeight="1">
      <c r="A93" s="160">
        <v>62.0</v>
      </c>
      <c r="B93" s="191"/>
      <c r="C93" s="191"/>
      <c r="D93" s="191"/>
      <c r="E93" s="191"/>
      <c r="F93" s="192">
        <f t="shared" si="5"/>
        <v>0</v>
      </c>
      <c r="G93" s="191"/>
      <c r="H93" s="194">
        <f t="shared" si="6"/>
        <v>0</v>
      </c>
      <c r="I93" s="139"/>
      <c r="J93" s="197"/>
      <c r="K93" s="198" t="str">
        <f t="shared" si="76"/>
        <v/>
      </c>
      <c r="L93" s="198"/>
      <c r="M93" s="139"/>
      <c r="N93" s="139"/>
      <c r="O93" s="176"/>
      <c r="P93" s="141"/>
      <c r="Q93" s="176">
        <f t="shared" si="7"/>
        <v>0</v>
      </c>
      <c r="R93" s="160" t="str">
        <f t="shared" si="8"/>
        <v/>
      </c>
      <c r="S93" s="160">
        <f t="shared" si="9"/>
        <v>0</v>
      </c>
      <c r="T93" s="282">
        <f t="shared" si="10"/>
        <v>0</v>
      </c>
      <c r="U93" s="176">
        <f t="shared" ref="U93:V93" si="79">C93/100</f>
        <v>0</v>
      </c>
      <c r="V93" s="176">
        <f t="shared" si="79"/>
        <v>0</v>
      </c>
      <c r="W93" s="176">
        <f t="shared" si="12"/>
        <v>0</v>
      </c>
      <c r="X93" s="283">
        <f t="shared" si="13"/>
        <v>0</v>
      </c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</row>
    <row r="94" ht="27.0" customHeight="1">
      <c r="A94" s="160">
        <v>63.0</v>
      </c>
      <c r="B94" s="191"/>
      <c r="C94" s="191"/>
      <c r="D94" s="191"/>
      <c r="E94" s="191"/>
      <c r="F94" s="192">
        <f t="shared" si="5"/>
        <v>0</v>
      </c>
      <c r="G94" s="191"/>
      <c r="H94" s="194">
        <f t="shared" si="6"/>
        <v>0</v>
      </c>
      <c r="I94" s="139"/>
      <c r="J94" s="197"/>
      <c r="K94" s="198" t="str">
        <f t="shared" si="76"/>
        <v/>
      </c>
      <c r="L94" s="198"/>
      <c r="M94" s="139"/>
      <c r="N94" s="139"/>
      <c r="O94" s="176"/>
      <c r="P94" s="141"/>
      <c r="Q94" s="176">
        <f t="shared" si="7"/>
        <v>0</v>
      </c>
      <c r="R94" s="160" t="str">
        <f t="shared" si="8"/>
        <v/>
      </c>
      <c r="S94" s="160">
        <f t="shared" si="9"/>
        <v>0</v>
      </c>
      <c r="T94" s="282">
        <f t="shared" si="10"/>
        <v>0</v>
      </c>
      <c r="U94" s="176">
        <f t="shared" ref="U94:V94" si="80">C94/100</f>
        <v>0</v>
      </c>
      <c r="V94" s="176">
        <f t="shared" si="80"/>
        <v>0</v>
      </c>
      <c r="W94" s="176">
        <f t="shared" si="12"/>
        <v>0</v>
      </c>
      <c r="X94" s="283">
        <f t="shared" si="13"/>
        <v>0</v>
      </c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</row>
    <row r="95" ht="27.0" customHeight="1">
      <c r="A95" s="160">
        <v>64.0</v>
      </c>
      <c r="B95" s="191"/>
      <c r="C95" s="191"/>
      <c r="D95" s="191"/>
      <c r="E95" s="191"/>
      <c r="F95" s="192">
        <f t="shared" si="5"/>
        <v>0</v>
      </c>
      <c r="G95" s="191"/>
      <c r="H95" s="194">
        <f t="shared" si="6"/>
        <v>0</v>
      </c>
      <c r="I95" s="139"/>
      <c r="J95" s="197"/>
      <c r="K95" s="198" t="str">
        <f t="shared" si="76"/>
        <v/>
      </c>
      <c r="L95" s="198"/>
      <c r="M95" s="139"/>
      <c r="N95" s="139"/>
      <c r="O95" s="176"/>
      <c r="P95" s="141"/>
      <c r="Q95" s="176">
        <f t="shared" si="7"/>
        <v>0</v>
      </c>
      <c r="R95" s="160" t="str">
        <f t="shared" si="8"/>
        <v/>
      </c>
      <c r="S95" s="160">
        <f t="shared" si="9"/>
        <v>0</v>
      </c>
      <c r="T95" s="282">
        <f t="shared" si="10"/>
        <v>0</v>
      </c>
      <c r="U95" s="176">
        <f t="shared" ref="U95:V95" si="81">C95/100</f>
        <v>0</v>
      </c>
      <c r="V95" s="176">
        <f t="shared" si="81"/>
        <v>0</v>
      </c>
      <c r="W95" s="176">
        <f t="shared" si="12"/>
        <v>0</v>
      </c>
      <c r="X95" s="283">
        <f t="shared" si="13"/>
        <v>0</v>
      </c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</row>
    <row r="96" ht="27.0" customHeight="1">
      <c r="A96" s="160">
        <v>65.0</v>
      </c>
      <c r="B96" s="191"/>
      <c r="C96" s="191"/>
      <c r="D96" s="191"/>
      <c r="E96" s="191"/>
      <c r="F96" s="192">
        <f t="shared" si="5"/>
        <v>0</v>
      </c>
      <c r="G96" s="191"/>
      <c r="H96" s="194">
        <f t="shared" si="6"/>
        <v>0</v>
      </c>
      <c r="I96" s="139"/>
      <c r="J96" s="197"/>
      <c r="K96" s="198" t="str">
        <f t="shared" si="76"/>
        <v/>
      </c>
      <c r="L96" s="198"/>
      <c r="M96" s="139"/>
      <c r="N96" s="139"/>
      <c r="O96" s="176"/>
      <c r="P96" s="141"/>
      <c r="Q96" s="176">
        <f t="shared" si="7"/>
        <v>0</v>
      </c>
      <c r="R96" s="160" t="str">
        <f t="shared" si="8"/>
        <v/>
      </c>
      <c r="S96" s="160">
        <f t="shared" si="9"/>
        <v>0</v>
      </c>
      <c r="T96" s="282">
        <f t="shared" si="10"/>
        <v>0</v>
      </c>
      <c r="U96" s="176">
        <f t="shared" ref="U96:V96" si="82">C96/100</f>
        <v>0</v>
      </c>
      <c r="V96" s="176">
        <f t="shared" si="82"/>
        <v>0</v>
      </c>
      <c r="W96" s="176">
        <f t="shared" si="12"/>
        <v>0</v>
      </c>
      <c r="X96" s="283">
        <f t="shared" si="13"/>
        <v>0</v>
      </c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</row>
    <row r="97" ht="27.0" customHeight="1">
      <c r="A97" s="160">
        <v>66.0</v>
      </c>
      <c r="B97" s="191"/>
      <c r="C97" s="191"/>
      <c r="D97" s="191"/>
      <c r="E97" s="191"/>
      <c r="F97" s="192">
        <f t="shared" si="5"/>
        <v>0</v>
      </c>
      <c r="G97" s="191"/>
      <c r="H97" s="194">
        <f t="shared" si="6"/>
        <v>0</v>
      </c>
      <c r="I97" s="139"/>
      <c r="J97" s="197"/>
      <c r="K97" s="198" t="str">
        <f t="shared" si="76"/>
        <v/>
      </c>
      <c r="L97" s="198"/>
      <c r="M97" s="139"/>
      <c r="N97" s="139"/>
      <c r="O97" s="176"/>
      <c r="P97" s="141"/>
      <c r="Q97" s="176">
        <f t="shared" si="7"/>
        <v>0</v>
      </c>
      <c r="R97" s="160" t="str">
        <f t="shared" si="8"/>
        <v/>
      </c>
      <c r="S97" s="160">
        <f t="shared" si="9"/>
        <v>0</v>
      </c>
      <c r="T97" s="282">
        <f t="shared" si="10"/>
        <v>0</v>
      </c>
      <c r="U97" s="176">
        <f t="shared" ref="U97:V97" si="83">C97/100</f>
        <v>0</v>
      </c>
      <c r="V97" s="176">
        <f t="shared" si="83"/>
        <v>0</v>
      </c>
      <c r="W97" s="176">
        <f t="shared" si="12"/>
        <v>0</v>
      </c>
      <c r="X97" s="283">
        <f t="shared" si="13"/>
        <v>0</v>
      </c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</row>
    <row r="98" ht="27.0" customHeight="1">
      <c r="A98" s="160">
        <v>67.0</v>
      </c>
      <c r="B98" s="191"/>
      <c r="C98" s="191"/>
      <c r="D98" s="191"/>
      <c r="E98" s="191"/>
      <c r="F98" s="192">
        <f t="shared" si="5"/>
        <v>0</v>
      </c>
      <c r="G98" s="191"/>
      <c r="H98" s="194">
        <f t="shared" si="6"/>
        <v>0</v>
      </c>
      <c r="I98" s="139"/>
      <c r="J98" s="197"/>
      <c r="K98" s="198" t="str">
        <f t="shared" si="76"/>
        <v/>
      </c>
      <c r="L98" s="198"/>
      <c r="M98" s="139"/>
      <c r="N98" s="139"/>
      <c r="O98" s="176"/>
      <c r="P98" s="141"/>
      <c r="Q98" s="176">
        <f t="shared" si="7"/>
        <v>0</v>
      </c>
      <c r="R98" s="160" t="str">
        <f t="shared" si="8"/>
        <v/>
      </c>
      <c r="S98" s="160">
        <f t="shared" si="9"/>
        <v>0</v>
      </c>
      <c r="T98" s="282">
        <f t="shared" si="10"/>
        <v>0</v>
      </c>
      <c r="U98" s="176">
        <f t="shared" ref="U98:V98" si="84">C98/100</f>
        <v>0</v>
      </c>
      <c r="V98" s="176">
        <f t="shared" si="84"/>
        <v>0</v>
      </c>
      <c r="W98" s="176">
        <f t="shared" si="12"/>
        <v>0</v>
      </c>
      <c r="X98" s="283">
        <f t="shared" si="13"/>
        <v>0</v>
      </c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</row>
    <row r="99" ht="27.0" customHeight="1">
      <c r="A99" s="160">
        <v>68.0</v>
      </c>
      <c r="B99" s="191"/>
      <c r="C99" s="191"/>
      <c r="D99" s="191"/>
      <c r="E99" s="191"/>
      <c r="F99" s="192">
        <f t="shared" si="5"/>
        <v>0</v>
      </c>
      <c r="G99" s="191"/>
      <c r="H99" s="194">
        <f t="shared" si="6"/>
        <v>0</v>
      </c>
      <c r="I99" s="139"/>
      <c r="J99" s="197"/>
      <c r="K99" s="198" t="str">
        <f t="shared" si="76"/>
        <v/>
      </c>
      <c r="L99" s="198"/>
      <c r="M99" s="139"/>
      <c r="N99" s="139"/>
      <c r="O99" s="176"/>
      <c r="P99" s="141"/>
      <c r="Q99" s="176">
        <f t="shared" si="7"/>
        <v>0</v>
      </c>
      <c r="R99" s="160" t="str">
        <f t="shared" si="8"/>
        <v/>
      </c>
      <c r="S99" s="160">
        <f t="shared" si="9"/>
        <v>0</v>
      </c>
      <c r="T99" s="282">
        <f t="shared" si="10"/>
        <v>0</v>
      </c>
      <c r="U99" s="176">
        <f t="shared" ref="U99:V99" si="85">C99/100</f>
        <v>0</v>
      </c>
      <c r="V99" s="176">
        <f t="shared" si="85"/>
        <v>0</v>
      </c>
      <c r="W99" s="176">
        <f t="shared" si="12"/>
        <v>0</v>
      </c>
      <c r="X99" s="283">
        <f t="shared" si="13"/>
        <v>0</v>
      </c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</row>
    <row r="100" ht="27.0" customHeight="1">
      <c r="A100" s="160">
        <v>69.0</v>
      </c>
      <c r="B100" s="191"/>
      <c r="C100" s="191"/>
      <c r="D100" s="191"/>
      <c r="E100" s="191"/>
      <c r="F100" s="192">
        <f t="shared" si="5"/>
        <v>0</v>
      </c>
      <c r="G100" s="191"/>
      <c r="H100" s="194">
        <f t="shared" si="6"/>
        <v>0</v>
      </c>
      <c r="I100" s="139"/>
      <c r="J100" s="197"/>
      <c r="K100" s="198" t="str">
        <f t="shared" si="76"/>
        <v/>
      </c>
      <c r="L100" s="198"/>
      <c r="M100" s="139"/>
      <c r="N100" s="139"/>
      <c r="O100" s="176"/>
      <c r="P100" s="141"/>
      <c r="Q100" s="176">
        <f t="shared" si="7"/>
        <v>0</v>
      </c>
      <c r="R100" s="160" t="str">
        <f t="shared" si="8"/>
        <v/>
      </c>
      <c r="S100" s="160">
        <f t="shared" si="9"/>
        <v>0</v>
      </c>
      <c r="T100" s="282">
        <f t="shared" si="10"/>
        <v>0</v>
      </c>
      <c r="U100" s="176">
        <f t="shared" ref="U100:V100" si="86">C100/100</f>
        <v>0</v>
      </c>
      <c r="V100" s="176">
        <f t="shared" si="86"/>
        <v>0</v>
      </c>
      <c r="W100" s="176">
        <f t="shared" si="12"/>
        <v>0</v>
      </c>
      <c r="X100" s="283">
        <f t="shared" si="13"/>
        <v>0</v>
      </c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</row>
    <row r="101" ht="27.0" customHeight="1">
      <c r="A101" s="160">
        <v>70.0</v>
      </c>
      <c r="B101" s="191"/>
      <c r="C101" s="191"/>
      <c r="D101" s="191"/>
      <c r="E101" s="191"/>
      <c r="F101" s="192">
        <f t="shared" si="5"/>
        <v>0</v>
      </c>
      <c r="G101" s="191"/>
      <c r="H101" s="194">
        <f t="shared" si="6"/>
        <v>0</v>
      </c>
      <c r="I101" s="139"/>
      <c r="J101" s="197"/>
      <c r="K101" s="198" t="str">
        <f t="shared" si="76"/>
        <v/>
      </c>
      <c r="L101" s="198"/>
      <c r="M101" s="139"/>
      <c r="N101" s="139"/>
      <c r="O101" s="176"/>
      <c r="P101" s="141"/>
      <c r="Q101" s="176">
        <f t="shared" si="7"/>
        <v>0</v>
      </c>
      <c r="R101" s="160" t="str">
        <f t="shared" si="8"/>
        <v/>
      </c>
      <c r="S101" s="160">
        <f t="shared" si="9"/>
        <v>0</v>
      </c>
      <c r="T101" s="282">
        <f t="shared" si="10"/>
        <v>0</v>
      </c>
      <c r="U101" s="176">
        <f t="shared" ref="U101:V101" si="87">C101/100</f>
        <v>0</v>
      </c>
      <c r="V101" s="176">
        <f t="shared" si="87"/>
        <v>0</v>
      </c>
      <c r="W101" s="176">
        <f t="shared" si="12"/>
        <v>0</v>
      </c>
      <c r="X101" s="283">
        <f t="shared" si="13"/>
        <v>0</v>
      </c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</row>
    <row r="102" ht="27.0" customHeight="1">
      <c r="A102" s="160">
        <v>71.0</v>
      </c>
      <c r="B102" s="191"/>
      <c r="C102" s="191"/>
      <c r="D102" s="191"/>
      <c r="E102" s="191"/>
      <c r="F102" s="192">
        <f t="shared" si="5"/>
        <v>0</v>
      </c>
      <c r="G102" s="191"/>
      <c r="H102" s="194">
        <f t="shared" si="6"/>
        <v>0</v>
      </c>
      <c r="I102" s="139"/>
      <c r="J102" s="197"/>
      <c r="K102" s="198" t="str">
        <f t="shared" si="76"/>
        <v/>
      </c>
      <c r="L102" s="198"/>
      <c r="M102" s="139"/>
      <c r="N102" s="139"/>
      <c r="O102" s="176"/>
      <c r="P102" s="141"/>
      <c r="Q102" s="176">
        <f t="shared" si="7"/>
        <v>0</v>
      </c>
      <c r="R102" s="160" t="str">
        <f t="shared" si="8"/>
        <v/>
      </c>
      <c r="S102" s="160">
        <f t="shared" si="9"/>
        <v>0</v>
      </c>
      <c r="T102" s="282">
        <f t="shared" si="10"/>
        <v>0</v>
      </c>
      <c r="U102" s="176">
        <f t="shared" ref="U102:V102" si="88">C102/100</f>
        <v>0</v>
      </c>
      <c r="V102" s="176">
        <f t="shared" si="88"/>
        <v>0</v>
      </c>
      <c r="W102" s="176">
        <f t="shared" si="12"/>
        <v>0</v>
      </c>
      <c r="X102" s="283">
        <f t="shared" si="13"/>
        <v>0</v>
      </c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</row>
    <row r="103" ht="27.0" customHeight="1">
      <c r="A103" s="160">
        <v>72.0</v>
      </c>
      <c r="B103" s="191"/>
      <c r="C103" s="191"/>
      <c r="D103" s="191"/>
      <c r="E103" s="191"/>
      <c r="F103" s="192">
        <f t="shared" si="5"/>
        <v>0</v>
      </c>
      <c r="G103" s="191"/>
      <c r="H103" s="194">
        <f t="shared" si="6"/>
        <v>0</v>
      </c>
      <c r="I103" s="139"/>
      <c r="J103" s="197"/>
      <c r="K103" s="198" t="str">
        <f t="shared" si="76"/>
        <v/>
      </c>
      <c r="L103" s="198"/>
      <c r="M103" s="139"/>
      <c r="N103" s="139"/>
      <c r="O103" s="176"/>
      <c r="P103" s="141"/>
      <c r="Q103" s="187">
        <f t="shared" si="7"/>
        <v>0</v>
      </c>
      <c r="R103" s="181" t="str">
        <f t="shared" si="8"/>
        <v/>
      </c>
      <c r="S103" s="181">
        <f t="shared" si="9"/>
        <v>0</v>
      </c>
      <c r="T103" s="278">
        <f t="shared" si="10"/>
        <v>0</v>
      </c>
      <c r="U103" s="187">
        <f t="shared" ref="U103:V103" si="89">C103/100</f>
        <v>0</v>
      </c>
      <c r="V103" s="187">
        <f t="shared" si="89"/>
        <v>0</v>
      </c>
      <c r="W103" s="187">
        <f t="shared" si="12"/>
        <v>0</v>
      </c>
      <c r="X103" s="189">
        <f t="shared" si="13"/>
        <v>0</v>
      </c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</row>
    <row r="104" ht="27.0" customHeight="1">
      <c r="A104" s="160">
        <v>73.0</v>
      </c>
      <c r="B104" s="191"/>
      <c r="C104" s="191"/>
      <c r="D104" s="191"/>
      <c r="E104" s="191"/>
      <c r="F104" s="192">
        <f t="shared" si="5"/>
        <v>0</v>
      </c>
      <c r="G104" s="191"/>
      <c r="H104" s="194">
        <f t="shared" si="6"/>
        <v>0</v>
      </c>
      <c r="I104" s="139"/>
      <c r="J104" s="197"/>
      <c r="K104" s="198" t="str">
        <f t="shared" si="76"/>
        <v/>
      </c>
      <c r="L104" s="198"/>
      <c r="M104" s="139"/>
      <c r="N104" s="139"/>
      <c r="O104" s="176"/>
      <c r="P104" s="141"/>
      <c r="Q104" s="187">
        <f t="shared" si="7"/>
        <v>0</v>
      </c>
      <c r="R104" s="181" t="str">
        <f t="shared" si="8"/>
        <v/>
      </c>
      <c r="S104" s="181">
        <f t="shared" si="9"/>
        <v>0</v>
      </c>
      <c r="T104" s="278">
        <f t="shared" si="10"/>
        <v>0</v>
      </c>
      <c r="U104" s="187">
        <f t="shared" ref="U104:V104" si="90">C104/100</f>
        <v>0</v>
      </c>
      <c r="V104" s="187">
        <f t="shared" si="90"/>
        <v>0</v>
      </c>
      <c r="W104" s="187">
        <f t="shared" si="12"/>
        <v>0</v>
      </c>
      <c r="X104" s="189">
        <f t="shared" si="13"/>
        <v>0</v>
      </c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</row>
    <row r="105" ht="27.0" customHeight="1">
      <c r="A105" s="160">
        <v>74.0</v>
      </c>
      <c r="B105" s="191"/>
      <c r="C105" s="191"/>
      <c r="D105" s="191"/>
      <c r="E105" s="191"/>
      <c r="F105" s="192">
        <f t="shared" si="5"/>
        <v>0</v>
      </c>
      <c r="G105" s="191"/>
      <c r="H105" s="194">
        <f t="shared" si="6"/>
        <v>0</v>
      </c>
      <c r="I105" s="139"/>
      <c r="J105" s="197"/>
      <c r="K105" s="198" t="str">
        <f t="shared" si="76"/>
        <v/>
      </c>
      <c r="L105" s="198"/>
      <c r="M105" s="139"/>
      <c r="N105" s="139"/>
      <c r="O105" s="176"/>
      <c r="P105" s="141"/>
      <c r="Q105" s="187">
        <f t="shared" si="7"/>
        <v>0</v>
      </c>
      <c r="R105" s="181" t="str">
        <f t="shared" si="8"/>
        <v/>
      </c>
      <c r="S105" s="181">
        <f t="shared" si="9"/>
        <v>0</v>
      </c>
      <c r="T105" s="278">
        <f t="shared" si="10"/>
        <v>0</v>
      </c>
      <c r="U105" s="187">
        <f t="shared" ref="U105:V105" si="91">C105/100</f>
        <v>0</v>
      </c>
      <c r="V105" s="187">
        <f t="shared" si="91"/>
        <v>0</v>
      </c>
      <c r="W105" s="187">
        <f t="shared" si="12"/>
        <v>0</v>
      </c>
      <c r="X105" s="189">
        <f t="shared" si="13"/>
        <v>0</v>
      </c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</row>
    <row r="106" ht="27.0" customHeight="1">
      <c r="A106" s="160">
        <v>75.0</v>
      </c>
      <c r="B106" s="191"/>
      <c r="C106" s="191"/>
      <c r="D106" s="191"/>
      <c r="E106" s="191"/>
      <c r="F106" s="192">
        <f t="shared" si="5"/>
        <v>0</v>
      </c>
      <c r="G106" s="191"/>
      <c r="H106" s="194">
        <f t="shared" si="6"/>
        <v>0</v>
      </c>
      <c r="I106" s="139"/>
      <c r="J106" s="197"/>
      <c r="K106" s="198" t="str">
        <f t="shared" si="76"/>
        <v/>
      </c>
      <c r="L106" s="198"/>
      <c r="M106" s="139"/>
      <c r="N106" s="139"/>
      <c r="O106" s="176"/>
      <c r="P106" s="141"/>
      <c r="Q106" s="187">
        <f t="shared" si="7"/>
        <v>0</v>
      </c>
      <c r="R106" s="181" t="str">
        <f t="shared" si="8"/>
        <v/>
      </c>
      <c r="S106" s="181">
        <f t="shared" si="9"/>
        <v>0</v>
      </c>
      <c r="T106" s="278">
        <f t="shared" si="10"/>
        <v>0</v>
      </c>
      <c r="U106" s="187">
        <f t="shared" ref="U106:V106" si="92">C106/100</f>
        <v>0</v>
      </c>
      <c r="V106" s="187">
        <f t="shared" si="92"/>
        <v>0</v>
      </c>
      <c r="W106" s="187">
        <f t="shared" si="12"/>
        <v>0</v>
      </c>
      <c r="X106" s="189">
        <f t="shared" si="13"/>
        <v>0</v>
      </c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</row>
    <row r="107" ht="27.0" customHeight="1">
      <c r="A107" s="160">
        <v>76.0</v>
      </c>
      <c r="B107" s="191"/>
      <c r="C107" s="191"/>
      <c r="D107" s="191"/>
      <c r="E107" s="191"/>
      <c r="F107" s="192" t="str">
        <f t="shared" si="5"/>
        <v/>
      </c>
      <c r="G107" s="191"/>
      <c r="H107" s="194">
        <f t="shared" si="6"/>
        <v>0</v>
      </c>
      <c r="I107" s="139"/>
      <c r="J107" s="197"/>
      <c r="K107" s="198"/>
      <c r="L107" s="198"/>
      <c r="M107" s="139"/>
      <c r="N107" s="139"/>
      <c r="O107" s="194"/>
      <c r="P107" s="141"/>
      <c r="Q107" s="187">
        <f t="shared" si="7"/>
        <v>0</v>
      </c>
      <c r="R107" s="181" t="str">
        <f t="shared" si="8"/>
        <v/>
      </c>
      <c r="S107" s="181">
        <f t="shared" si="9"/>
        <v>0</v>
      </c>
      <c r="T107" s="186"/>
      <c r="U107" s="187">
        <f t="shared" ref="U107:V107" si="93">C107/100</f>
        <v>0</v>
      </c>
      <c r="V107" s="187">
        <f t="shared" si="93"/>
        <v>0</v>
      </c>
      <c r="W107" s="187">
        <f t="shared" si="12"/>
        <v>0</v>
      </c>
      <c r="X107" s="189">
        <f t="shared" si="13"/>
        <v>0</v>
      </c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</row>
    <row r="108" ht="27.0" customHeight="1">
      <c r="A108" s="160">
        <v>77.0</v>
      </c>
      <c r="B108" s="191"/>
      <c r="C108" s="191"/>
      <c r="D108" s="191"/>
      <c r="E108" s="191"/>
      <c r="F108" s="192" t="str">
        <f t="shared" si="5"/>
        <v/>
      </c>
      <c r="G108" s="191"/>
      <c r="H108" s="194">
        <f t="shared" si="6"/>
        <v>0</v>
      </c>
      <c r="I108" s="139"/>
      <c r="J108" s="197"/>
      <c r="K108" s="198"/>
      <c r="L108" s="198"/>
      <c r="M108" s="139"/>
      <c r="N108" s="139"/>
      <c r="O108" s="194"/>
      <c r="P108" s="141"/>
      <c r="Q108" s="187">
        <f t="shared" si="7"/>
        <v>0</v>
      </c>
      <c r="R108" s="181" t="str">
        <f t="shared" si="8"/>
        <v/>
      </c>
      <c r="S108" s="181">
        <f t="shared" si="9"/>
        <v>0</v>
      </c>
      <c r="T108" s="186"/>
      <c r="U108" s="187">
        <f t="shared" ref="U108:V108" si="94">C108/100</f>
        <v>0</v>
      </c>
      <c r="V108" s="187">
        <f t="shared" si="94"/>
        <v>0</v>
      </c>
      <c r="W108" s="187">
        <f t="shared" si="12"/>
        <v>0</v>
      </c>
      <c r="X108" s="189">
        <f t="shared" si="13"/>
        <v>0</v>
      </c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</row>
    <row r="109" ht="27.0" customHeight="1">
      <c r="A109" s="160">
        <v>78.0</v>
      </c>
      <c r="B109" s="191"/>
      <c r="C109" s="191"/>
      <c r="D109" s="191"/>
      <c r="E109" s="191"/>
      <c r="F109" s="192" t="str">
        <f t="shared" si="5"/>
        <v/>
      </c>
      <c r="G109" s="191"/>
      <c r="H109" s="194">
        <f t="shared" si="6"/>
        <v>0</v>
      </c>
      <c r="I109" s="139"/>
      <c r="J109" s="197"/>
      <c r="K109" s="198"/>
      <c r="L109" s="198"/>
      <c r="M109" s="139"/>
      <c r="N109" s="139"/>
      <c r="O109" s="194"/>
      <c r="P109" s="141"/>
      <c r="Q109" s="187">
        <f t="shared" si="7"/>
        <v>0</v>
      </c>
      <c r="R109" s="181" t="str">
        <f t="shared" si="8"/>
        <v/>
      </c>
      <c r="S109" s="181">
        <f t="shared" si="9"/>
        <v>0</v>
      </c>
      <c r="T109" s="186"/>
      <c r="U109" s="187">
        <f t="shared" ref="U109:V109" si="95">C109/100</f>
        <v>0</v>
      </c>
      <c r="V109" s="187">
        <f t="shared" si="95"/>
        <v>0</v>
      </c>
      <c r="W109" s="187">
        <f t="shared" si="12"/>
        <v>0</v>
      </c>
      <c r="X109" s="189">
        <f t="shared" si="13"/>
        <v>0</v>
      </c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</row>
    <row r="110" ht="27.0" customHeight="1">
      <c r="A110" s="160">
        <v>79.0</v>
      </c>
      <c r="B110" s="191"/>
      <c r="C110" s="191"/>
      <c r="D110" s="191"/>
      <c r="E110" s="191"/>
      <c r="F110" s="192" t="str">
        <f t="shared" si="5"/>
        <v/>
      </c>
      <c r="G110" s="191"/>
      <c r="H110" s="194">
        <f t="shared" si="6"/>
        <v>0</v>
      </c>
      <c r="I110" s="139"/>
      <c r="J110" s="197"/>
      <c r="K110" s="198"/>
      <c r="L110" s="198"/>
      <c r="M110" s="139"/>
      <c r="N110" s="139"/>
      <c r="O110" s="194"/>
      <c r="P110" s="141"/>
      <c r="Q110" s="187">
        <f t="shared" si="7"/>
        <v>0</v>
      </c>
      <c r="R110" s="181" t="str">
        <f t="shared" si="8"/>
        <v/>
      </c>
      <c r="S110" s="181">
        <f t="shared" si="9"/>
        <v>0</v>
      </c>
      <c r="T110" s="186"/>
      <c r="U110" s="187">
        <f t="shared" ref="U110:V110" si="96">C110/100</f>
        <v>0</v>
      </c>
      <c r="V110" s="187">
        <f t="shared" si="96"/>
        <v>0</v>
      </c>
      <c r="W110" s="187">
        <f t="shared" si="12"/>
        <v>0</v>
      </c>
      <c r="X110" s="189">
        <f t="shared" si="13"/>
        <v>0</v>
      </c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</row>
    <row r="111" ht="27.0" customHeight="1">
      <c r="A111" s="160">
        <v>80.0</v>
      </c>
      <c r="B111" s="191"/>
      <c r="C111" s="191"/>
      <c r="D111" s="191"/>
      <c r="E111" s="191"/>
      <c r="F111" s="192" t="str">
        <f t="shared" si="5"/>
        <v/>
      </c>
      <c r="G111" s="191"/>
      <c r="H111" s="194">
        <f t="shared" si="6"/>
        <v>0</v>
      </c>
      <c r="I111" s="139"/>
      <c r="J111" s="197"/>
      <c r="K111" s="198"/>
      <c r="L111" s="198"/>
      <c r="M111" s="139"/>
      <c r="N111" s="139"/>
      <c r="O111" s="194"/>
      <c r="P111" s="141"/>
      <c r="Q111" s="187">
        <f t="shared" si="7"/>
        <v>0</v>
      </c>
      <c r="R111" s="181" t="str">
        <f t="shared" si="8"/>
        <v/>
      </c>
      <c r="S111" s="181">
        <f t="shared" si="9"/>
        <v>0</v>
      </c>
      <c r="T111" s="186"/>
      <c r="U111" s="187">
        <f t="shared" ref="U111:V111" si="97">C111/100</f>
        <v>0</v>
      </c>
      <c r="V111" s="187">
        <f t="shared" si="97"/>
        <v>0</v>
      </c>
      <c r="W111" s="187">
        <f t="shared" si="12"/>
        <v>0</v>
      </c>
      <c r="X111" s="189">
        <f t="shared" si="13"/>
        <v>0</v>
      </c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</row>
    <row r="112" ht="27.0" customHeight="1">
      <c r="A112" s="160">
        <v>81.0</v>
      </c>
      <c r="B112" s="191"/>
      <c r="C112" s="191"/>
      <c r="D112" s="191"/>
      <c r="E112" s="191"/>
      <c r="F112" s="192" t="str">
        <f t="shared" si="5"/>
        <v/>
      </c>
      <c r="G112" s="191"/>
      <c r="H112" s="194">
        <f t="shared" si="6"/>
        <v>0</v>
      </c>
      <c r="I112" s="139"/>
      <c r="J112" s="197"/>
      <c r="K112" s="198"/>
      <c r="L112" s="198"/>
      <c r="M112" s="139"/>
      <c r="N112" s="139"/>
      <c r="O112" s="194"/>
      <c r="P112" s="141"/>
      <c r="Q112" s="187">
        <f t="shared" si="7"/>
        <v>0</v>
      </c>
      <c r="R112" s="181" t="str">
        <f t="shared" si="8"/>
        <v/>
      </c>
      <c r="S112" s="181">
        <f t="shared" si="9"/>
        <v>0</v>
      </c>
      <c r="T112" s="186"/>
      <c r="U112" s="187">
        <f t="shared" ref="U112:V112" si="98">C112/100</f>
        <v>0</v>
      </c>
      <c r="V112" s="187">
        <f t="shared" si="98"/>
        <v>0</v>
      </c>
      <c r="W112" s="187">
        <f t="shared" si="12"/>
        <v>0</v>
      </c>
      <c r="X112" s="189">
        <f t="shared" si="13"/>
        <v>0</v>
      </c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</row>
    <row r="113" ht="27.0" customHeight="1">
      <c r="A113" s="160">
        <v>82.0</v>
      </c>
      <c r="B113" s="191"/>
      <c r="C113" s="191"/>
      <c r="D113" s="191"/>
      <c r="E113" s="191"/>
      <c r="F113" s="192" t="str">
        <f t="shared" si="5"/>
        <v/>
      </c>
      <c r="G113" s="191"/>
      <c r="H113" s="194">
        <f t="shared" si="6"/>
        <v>0</v>
      </c>
      <c r="I113" s="139"/>
      <c r="J113" s="197"/>
      <c r="K113" s="198"/>
      <c r="L113" s="198"/>
      <c r="M113" s="139"/>
      <c r="N113" s="139"/>
      <c r="O113" s="194"/>
      <c r="P113" s="141"/>
      <c r="Q113" s="187">
        <f t="shared" si="7"/>
        <v>0</v>
      </c>
      <c r="R113" s="181" t="str">
        <f t="shared" si="8"/>
        <v/>
      </c>
      <c r="S113" s="181">
        <f t="shared" si="9"/>
        <v>0</v>
      </c>
      <c r="T113" s="186"/>
      <c r="U113" s="187">
        <f t="shared" ref="U113:V113" si="99">C113/100</f>
        <v>0</v>
      </c>
      <c r="V113" s="187">
        <f t="shared" si="99"/>
        <v>0</v>
      </c>
      <c r="W113" s="187">
        <f t="shared" si="12"/>
        <v>0</v>
      </c>
      <c r="X113" s="189">
        <f t="shared" si="13"/>
        <v>0</v>
      </c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</row>
    <row r="114" ht="27.0" customHeight="1">
      <c r="A114" s="160">
        <v>83.0</v>
      </c>
      <c r="B114" s="191"/>
      <c r="C114" s="191"/>
      <c r="D114" s="191"/>
      <c r="E114" s="191"/>
      <c r="F114" s="192" t="str">
        <f t="shared" si="5"/>
        <v/>
      </c>
      <c r="G114" s="191"/>
      <c r="H114" s="194">
        <f t="shared" si="6"/>
        <v>0</v>
      </c>
      <c r="I114" s="139"/>
      <c r="J114" s="197"/>
      <c r="K114" s="198"/>
      <c r="L114" s="198"/>
      <c r="M114" s="139"/>
      <c r="N114" s="139"/>
      <c r="O114" s="194"/>
      <c r="P114" s="141"/>
      <c r="Q114" s="187">
        <f t="shared" si="7"/>
        <v>0</v>
      </c>
      <c r="R114" s="181" t="str">
        <f t="shared" si="8"/>
        <v/>
      </c>
      <c r="S114" s="181">
        <f t="shared" si="9"/>
        <v>0</v>
      </c>
      <c r="T114" s="186"/>
      <c r="U114" s="187">
        <f t="shared" ref="U114:V114" si="100">C114/100</f>
        <v>0</v>
      </c>
      <c r="V114" s="187">
        <f t="shared" si="100"/>
        <v>0</v>
      </c>
      <c r="W114" s="187">
        <f t="shared" si="12"/>
        <v>0</v>
      </c>
      <c r="X114" s="189">
        <f t="shared" si="13"/>
        <v>0</v>
      </c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</row>
    <row r="115" ht="27.0" customHeight="1">
      <c r="A115" s="160">
        <v>84.0</v>
      </c>
      <c r="B115" s="191"/>
      <c r="C115" s="191"/>
      <c r="D115" s="191"/>
      <c r="E115" s="191"/>
      <c r="F115" s="192" t="str">
        <f t="shared" si="5"/>
        <v/>
      </c>
      <c r="G115" s="191"/>
      <c r="H115" s="194">
        <f t="shared" si="6"/>
        <v>0</v>
      </c>
      <c r="I115" s="139"/>
      <c r="J115" s="197"/>
      <c r="K115" s="198"/>
      <c r="L115" s="198"/>
      <c r="M115" s="139"/>
      <c r="N115" s="139"/>
      <c r="O115" s="194"/>
      <c r="P115" s="141"/>
      <c r="Q115" s="187">
        <f t="shared" si="7"/>
        <v>0</v>
      </c>
      <c r="R115" s="181" t="str">
        <f t="shared" si="8"/>
        <v/>
      </c>
      <c r="S115" s="181">
        <f t="shared" si="9"/>
        <v>0</v>
      </c>
      <c r="T115" s="186"/>
      <c r="U115" s="187">
        <f t="shared" ref="U115:V115" si="101">C115/100</f>
        <v>0</v>
      </c>
      <c r="V115" s="187">
        <f t="shared" si="101"/>
        <v>0</v>
      </c>
      <c r="W115" s="187">
        <f t="shared" si="12"/>
        <v>0</v>
      </c>
      <c r="X115" s="189">
        <f t="shared" si="13"/>
        <v>0</v>
      </c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</row>
    <row r="116" ht="27.0" customHeight="1">
      <c r="A116" s="160">
        <v>85.0</v>
      </c>
      <c r="B116" s="191"/>
      <c r="C116" s="191"/>
      <c r="D116" s="191"/>
      <c r="E116" s="191"/>
      <c r="F116" s="192" t="str">
        <f t="shared" si="5"/>
        <v/>
      </c>
      <c r="G116" s="191"/>
      <c r="H116" s="194">
        <f t="shared" si="6"/>
        <v>0</v>
      </c>
      <c r="I116" s="139"/>
      <c r="J116" s="197"/>
      <c r="K116" s="198"/>
      <c r="L116" s="198"/>
      <c r="M116" s="139"/>
      <c r="N116" s="139"/>
      <c r="O116" s="194"/>
      <c r="P116" s="141"/>
      <c r="Q116" s="187">
        <f t="shared" si="7"/>
        <v>0</v>
      </c>
      <c r="R116" s="181" t="str">
        <f t="shared" si="8"/>
        <v/>
      </c>
      <c r="S116" s="181">
        <f t="shared" si="9"/>
        <v>0</v>
      </c>
      <c r="T116" s="186"/>
      <c r="U116" s="187">
        <f t="shared" ref="U116:V116" si="102">C116/100</f>
        <v>0</v>
      </c>
      <c r="V116" s="187">
        <f t="shared" si="102"/>
        <v>0</v>
      </c>
      <c r="W116" s="187">
        <f t="shared" si="12"/>
        <v>0</v>
      </c>
      <c r="X116" s="189">
        <f t="shared" si="13"/>
        <v>0</v>
      </c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</row>
    <row r="117" ht="27.0" customHeight="1">
      <c r="A117" s="160">
        <v>86.0</v>
      </c>
      <c r="B117" s="191"/>
      <c r="C117" s="191"/>
      <c r="D117" s="191"/>
      <c r="E117" s="191"/>
      <c r="F117" s="192" t="str">
        <f t="shared" si="5"/>
        <v/>
      </c>
      <c r="G117" s="191"/>
      <c r="H117" s="194">
        <f t="shared" si="6"/>
        <v>0</v>
      </c>
      <c r="I117" s="139"/>
      <c r="J117" s="197"/>
      <c r="K117" s="198"/>
      <c r="L117" s="198"/>
      <c r="M117" s="139"/>
      <c r="N117" s="139"/>
      <c r="O117" s="194"/>
      <c r="P117" s="141"/>
      <c r="Q117" s="187">
        <f t="shared" si="7"/>
        <v>0</v>
      </c>
      <c r="R117" s="181" t="str">
        <f t="shared" si="8"/>
        <v/>
      </c>
      <c r="S117" s="181">
        <f t="shared" si="9"/>
        <v>0</v>
      </c>
      <c r="T117" s="186"/>
      <c r="U117" s="187">
        <f t="shared" ref="U117:V117" si="103">C117/100</f>
        <v>0</v>
      </c>
      <c r="V117" s="187">
        <f t="shared" si="103"/>
        <v>0</v>
      </c>
      <c r="W117" s="187">
        <f t="shared" si="12"/>
        <v>0</v>
      </c>
      <c r="X117" s="189">
        <f t="shared" si="13"/>
        <v>0</v>
      </c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</row>
    <row r="118" ht="27.0" customHeight="1">
      <c r="A118" s="160">
        <v>87.0</v>
      </c>
      <c r="B118" s="191"/>
      <c r="C118" s="191"/>
      <c r="D118" s="191"/>
      <c r="E118" s="191"/>
      <c r="F118" s="192" t="str">
        <f t="shared" si="5"/>
        <v/>
      </c>
      <c r="G118" s="191"/>
      <c r="H118" s="194">
        <f t="shared" si="6"/>
        <v>0</v>
      </c>
      <c r="I118" s="139"/>
      <c r="J118" s="197"/>
      <c r="K118" s="198"/>
      <c r="L118" s="198"/>
      <c r="M118" s="139"/>
      <c r="N118" s="139"/>
      <c r="O118" s="194"/>
      <c r="P118" s="141"/>
      <c r="Q118" s="187">
        <f t="shared" si="7"/>
        <v>0</v>
      </c>
      <c r="R118" s="181" t="str">
        <f t="shared" si="8"/>
        <v/>
      </c>
      <c r="S118" s="181">
        <f t="shared" si="9"/>
        <v>0</v>
      </c>
      <c r="T118" s="186"/>
      <c r="U118" s="187">
        <f t="shared" ref="U118:V118" si="104">C118/100</f>
        <v>0</v>
      </c>
      <c r="V118" s="187">
        <f t="shared" si="104"/>
        <v>0</v>
      </c>
      <c r="W118" s="187">
        <f t="shared" si="12"/>
        <v>0</v>
      </c>
      <c r="X118" s="189">
        <f t="shared" si="13"/>
        <v>0</v>
      </c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</row>
    <row r="119" ht="27.0" customHeight="1">
      <c r="A119" s="160">
        <v>88.0</v>
      </c>
      <c r="B119" s="191"/>
      <c r="C119" s="191"/>
      <c r="D119" s="191"/>
      <c r="E119" s="191"/>
      <c r="F119" s="192" t="str">
        <f t="shared" si="5"/>
        <v/>
      </c>
      <c r="G119" s="191"/>
      <c r="H119" s="194">
        <f t="shared" si="6"/>
        <v>0</v>
      </c>
      <c r="I119" s="139"/>
      <c r="J119" s="197"/>
      <c r="K119" s="198"/>
      <c r="L119" s="198"/>
      <c r="M119" s="139"/>
      <c r="N119" s="139"/>
      <c r="O119" s="194"/>
      <c r="P119" s="141"/>
      <c r="Q119" s="187">
        <f t="shared" si="7"/>
        <v>0</v>
      </c>
      <c r="R119" s="181" t="str">
        <f t="shared" si="8"/>
        <v/>
      </c>
      <c r="S119" s="181">
        <f t="shared" si="9"/>
        <v>0</v>
      </c>
      <c r="T119" s="186"/>
      <c r="U119" s="187">
        <f t="shared" ref="U119:V119" si="105">C119/100</f>
        <v>0</v>
      </c>
      <c r="V119" s="187">
        <f t="shared" si="105"/>
        <v>0</v>
      </c>
      <c r="W119" s="187">
        <f t="shared" si="12"/>
        <v>0</v>
      </c>
      <c r="X119" s="189">
        <f t="shared" si="13"/>
        <v>0</v>
      </c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</row>
    <row r="120" ht="27.0" customHeight="1">
      <c r="A120" s="160">
        <v>89.0</v>
      </c>
      <c r="B120" s="191"/>
      <c r="C120" s="191"/>
      <c r="D120" s="191"/>
      <c r="E120" s="191"/>
      <c r="F120" s="192" t="str">
        <f t="shared" si="5"/>
        <v/>
      </c>
      <c r="G120" s="191"/>
      <c r="H120" s="194">
        <f t="shared" si="6"/>
        <v>0</v>
      </c>
      <c r="I120" s="139"/>
      <c r="J120" s="197"/>
      <c r="K120" s="198"/>
      <c r="L120" s="198"/>
      <c r="M120" s="139"/>
      <c r="N120" s="139"/>
      <c r="O120" s="194"/>
      <c r="P120" s="141"/>
      <c r="Q120" s="187">
        <f t="shared" si="7"/>
        <v>0</v>
      </c>
      <c r="R120" s="181" t="str">
        <f t="shared" si="8"/>
        <v/>
      </c>
      <c r="S120" s="181">
        <f t="shared" si="9"/>
        <v>0</v>
      </c>
      <c r="T120" s="186"/>
      <c r="U120" s="187">
        <f t="shared" ref="U120:V120" si="106">C120/100</f>
        <v>0</v>
      </c>
      <c r="V120" s="187">
        <f t="shared" si="106"/>
        <v>0</v>
      </c>
      <c r="W120" s="187">
        <f t="shared" si="12"/>
        <v>0</v>
      </c>
      <c r="X120" s="189">
        <f t="shared" si="13"/>
        <v>0</v>
      </c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</row>
    <row r="121" ht="27.0" customHeight="1">
      <c r="A121" s="160">
        <v>90.0</v>
      </c>
      <c r="B121" s="191"/>
      <c r="C121" s="191"/>
      <c r="D121" s="191"/>
      <c r="E121" s="191"/>
      <c r="F121" s="192" t="str">
        <f t="shared" si="5"/>
        <v/>
      </c>
      <c r="G121" s="191"/>
      <c r="H121" s="194">
        <f t="shared" si="6"/>
        <v>0</v>
      </c>
      <c r="I121" s="139"/>
      <c r="J121" s="197"/>
      <c r="K121" s="198"/>
      <c r="L121" s="198"/>
      <c r="M121" s="139"/>
      <c r="N121" s="139"/>
      <c r="O121" s="194"/>
      <c r="P121" s="141"/>
      <c r="Q121" s="187">
        <f t="shared" si="7"/>
        <v>0</v>
      </c>
      <c r="R121" s="181" t="str">
        <f t="shared" si="8"/>
        <v/>
      </c>
      <c r="S121" s="181">
        <f t="shared" si="9"/>
        <v>0</v>
      </c>
      <c r="T121" s="186"/>
      <c r="U121" s="187">
        <f t="shared" ref="U121:V121" si="107">C121/100</f>
        <v>0</v>
      </c>
      <c r="V121" s="187">
        <f t="shared" si="107"/>
        <v>0</v>
      </c>
      <c r="W121" s="187">
        <f t="shared" si="12"/>
        <v>0</v>
      </c>
      <c r="X121" s="189">
        <f t="shared" si="13"/>
        <v>0</v>
      </c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</row>
    <row r="122" ht="27.0" customHeight="1">
      <c r="A122" s="160">
        <v>91.0</v>
      </c>
      <c r="B122" s="191"/>
      <c r="C122" s="191"/>
      <c r="D122" s="191"/>
      <c r="E122" s="191"/>
      <c r="F122" s="192" t="str">
        <f t="shared" si="5"/>
        <v/>
      </c>
      <c r="G122" s="191"/>
      <c r="H122" s="194">
        <f t="shared" si="6"/>
        <v>0</v>
      </c>
      <c r="I122" s="139"/>
      <c r="J122" s="197"/>
      <c r="K122" s="198"/>
      <c r="L122" s="198"/>
      <c r="M122" s="139"/>
      <c r="N122" s="139"/>
      <c r="O122" s="194"/>
      <c r="P122" s="141"/>
      <c r="Q122" s="187">
        <f t="shared" si="7"/>
        <v>0</v>
      </c>
      <c r="R122" s="181" t="str">
        <f t="shared" si="8"/>
        <v/>
      </c>
      <c r="S122" s="181">
        <f t="shared" si="9"/>
        <v>0</v>
      </c>
      <c r="T122" s="186"/>
      <c r="U122" s="187">
        <f t="shared" ref="U122:V122" si="108">C122/100</f>
        <v>0</v>
      </c>
      <c r="V122" s="187">
        <f t="shared" si="108"/>
        <v>0</v>
      </c>
      <c r="W122" s="187">
        <f t="shared" si="12"/>
        <v>0</v>
      </c>
      <c r="X122" s="189">
        <f t="shared" si="13"/>
        <v>0</v>
      </c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</row>
    <row r="123" ht="27.0" customHeight="1">
      <c r="A123" s="160">
        <v>92.0</v>
      </c>
      <c r="B123" s="191"/>
      <c r="C123" s="191"/>
      <c r="D123" s="191"/>
      <c r="E123" s="191"/>
      <c r="F123" s="192" t="str">
        <f t="shared" si="5"/>
        <v/>
      </c>
      <c r="G123" s="191"/>
      <c r="H123" s="194">
        <f t="shared" si="6"/>
        <v>0</v>
      </c>
      <c r="I123" s="139"/>
      <c r="J123" s="197"/>
      <c r="K123" s="198"/>
      <c r="L123" s="198"/>
      <c r="M123" s="139"/>
      <c r="N123" s="139"/>
      <c r="O123" s="194"/>
      <c r="P123" s="141"/>
      <c r="Q123" s="187">
        <f t="shared" si="7"/>
        <v>0</v>
      </c>
      <c r="R123" s="181" t="str">
        <f t="shared" si="8"/>
        <v/>
      </c>
      <c r="S123" s="181">
        <f t="shared" si="9"/>
        <v>0</v>
      </c>
      <c r="T123" s="186"/>
      <c r="U123" s="187">
        <f t="shared" ref="U123:V123" si="109">C123/100</f>
        <v>0</v>
      </c>
      <c r="V123" s="187">
        <f t="shared" si="109"/>
        <v>0</v>
      </c>
      <c r="W123" s="187">
        <f t="shared" si="12"/>
        <v>0</v>
      </c>
      <c r="X123" s="189">
        <f t="shared" si="13"/>
        <v>0</v>
      </c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</row>
    <row r="124" ht="27.0" customHeight="1">
      <c r="A124" s="160">
        <v>93.0</v>
      </c>
      <c r="B124" s="191"/>
      <c r="C124" s="191"/>
      <c r="D124" s="191"/>
      <c r="E124" s="191"/>
      <c r="F124" s="192" t="str">
        <f t="shared" si="5"/>
        <v/>
      </c>
      <c r="G124" s="191"/>
      <c r="H124" s="194">
        <f t="shared" si="6"/>
        <v>0</v>
      </c>
      <c r="I124" s="139"/>
      <c r="J124" s="197"/>
      <c r="K124" s="198"/>
      <c r="L124" s="198"/>
      <c r="M124" s="139"/>
      <c r="N124" s="139"/>
      <c r="O124" s="194"/>
      <c r="P124" s="141"/>
      <c r="Q124" s="187">
        <f t="shared" si="7"/>
        <v>0</v>
      </c>
      <c r="R124" s="181" t="str">
        <f t="shared" si="8"/>
        <v/>
      </c>
      <c r="S124" s="181">
        <f t="shared" si="9"/>
        <v>0</v>
      </c>
      <c r="T124" s="186"/>
      <c r="U124" s="187">
        <f t="shared" ref="U124:V124" si="110">C124/100</f>
        <v>0</v>
      </c>
      <c r="V124" s="187">
        <f t="shared" si="110"/>
        <v>0</v>
      </c>
      <c r="W124" s="187">
        <f t="shared" si="12"/>
        <v>0</v>
      </c>
      <c r="X124" s="189">
        <f t="shared" si="13"/>
        <v>0</v>
      </c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</row>
    <row r="125" ht="27.0" customHeight="1">
      <c r="A125" s="160">
        <v>94.0</v>
      </c>
      <c r="B125" s="191"/>
      <c r="C125" s="191"/>
      <c r="D125" s="191"/>
      <c r="E125" s="191"/>
      <c r="F125" s="192" t="str">
        <f t="shared" si="5"/>
        <v/>
      </c>
      <c r="G125" s="191"/>
      <c r="H125" s="194">
        <f t="shared" si="6"/>
        <v>0</v>
      </c>
      <c r="I125" s="139"/>
      <c r="J125" s="197"/>
      <c r="K125" s="198"/>
      <c r="L125" s="198"/>
      <c r="M125" s="139"/>
      <c r="N125" s="139"/>
      <c r="O125" s="194"/>
      <c r="P125" s="141"/>
      <c r="Q125" s="187">
        <f t="shared" si="7"/>
        <v>0</v>
      </c>
      <c r="R125" s="181" t="str">
        <f t="shared" si="8"/>
        <v/>
      </c>
      <c r="S125" s="181">
        <f t="shared" si="9"/>
        <v>0</v>
      </c>
      <c r="T125" s="186"/>
      <c r="U125" s="187">
        <f t="shared" ref="U125:V125" si="111">C125/100</f>
        <v>0</v>
      </c>
      <c r="V125" s="187">
        <f t="shared" si="111"/>
        <v>0</v>
      </c>
      <c r="W125" s="187">
        <f t="shared" si="12"/>
        <v>0</v>
      </c>
      <c r="X125" s="189">
        <f t="shared" si="13"/>
        <v>0</v>
      </c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</row>
    <row r="126" ht="27.0" customHeight="1">
      <c r="A126" s="160">
        <v>95.0</v>
      </c>
      <c r="B126" s="191"/>
      <c r="C126" s="191"/>
      <c r="D126" s="191"/>
      <c r="E126" s="191"/>
      <c r="F126" s="192" t="str">
        <f t="shared" si="5"/>
        <v/>
      </c>
      <c r="G126" s="191"/>
      <c r="H126" s="194">
        <f t="shared" si="6"/>
        <v>0</v>
      </c>
      <c r="I126" s="139"/>
      <c r="J126" s="197"/>
      <c r="K126" s="198"/>
      <c r="L126" s="198"/>
      <c r="M126" s="139"/>
      <c r="N126" s="139"/>
      <c r="O126" s="194"/>
      <c r="P126" s="141"/>
      <c r="Q126" s="187">
        <f t="shared" si="7"/>
        <v>0</v>
      </c>
      <c r="R126" s="181" t="str">
        <f t="shared" si="8"/>
        <v/>
      </c>
      <c r="S126" s="181">
        <f t="shared" si="9"/>
        <v>0</v>
      </c>
      <c r="T126" s="186"/>
      <c r="U126" s="187">
        <f t="shared" ref="U126:V126" si="112">C126/100</f>
        <v>0</v>
      </c>
      <c r="V126" s="187">
        <f t="shared" si="112"/>
        <v>0</v>
      </c>
      <c r="W126" s="187">
        <f t="shared" si="12"/>
        <v>0</v>
      </c>
      <c r="X126" s="189">
        <f t="shared" si="13"/>
        <v>0</v>
      </c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</row>
    <row r="127" ht="27.0" customHeight="1">
      <c r="A127" s="160">
        <v>96.0</v>
      </c>
      <c r="B127" s="191"/>
      <c r="C127" s="191"/>
      <c r="D127" s="191"/>
      <c r="E127" s="191"/>
      <c r="F127" s="192" t="str">
        <f t="shared" si="5"/>
        <v/>
      </c>
      <c r="G127" s="191"/>
      <c r="H127" s="194">
        <f t="shared" si="6"/>
        <v>0</v>
      </c>
      <c r="I127" s="139"/>
      <c r="J127" s="197"/>
      <c r="K127" s="198"/>
      <c r="L127" s="198"/>
      <c r="M127" s="139"/>
      <c r="N127" s="139"/>
      <c r="O127" s="194"/>
      <c r="P127" s="141"/>
      <c r="Q127" s="187">
        <f t="shared" si="7"/>
        <v>0</v>
      </c>
      <c r="R127" s="181" t="str">
        <f t="shared" si="8"/>
        <v/>
      </c>
      <c r="S127" s="181">
        <f t="shared" si="9"/>
        <v>0</v>
      </c>
      <c r="T127" s="186"/>
      <c r="U127" s="187">
        <f t="shared" ref="U127:V127" si="113">C127/100</f>
        <v>0</v>
      </c>
      <c r="V127" s="187">
        <f t="shared" si="113"/>
        <v>0</v>
      </c>
      <c r="W127" s="187">
        <f t="shared" si="12"/>
        <v>0</v>
      </c>
      <c r="X127" s="189">
        <f t="shared" si="13"/>
        <v>0</v>
      </c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</row>
    <row r="128" ht="27.0" customHeight="1">
      <c r="A128" s="160">
        <v>97.0</v>
      </c>
      <c r="B128" s="191"/>
      <c r="C128" s="191"/>
      <c r="D128" s="191"/>
      <c r="E128" s="191"/>
      <c r="F128" s="192" t="str">
        <f t="shared" si="5"/>
        <v/>
      </c>
      <c r="G128" s="191"/>
      <c r="H128" s="194">
        <f t="shared" si="6"/>
        <v>0</v>
      </c>
      <c r="I128" s="139"/>
      <c r="J128" s="197"/>
      <c r="K128" s="198"/>
      <c r="L128" s="198"/>
      <c r="M128" s="139"/>
      <c r="N128" s="139"/>
      <c r="O128" s="194"/>
      <c r="P128" s="141"/>
      <c r="Q128" s="187">
        <f t="shared" si="7"/>
        <v>0</v>
      </c>
      <c r="R128" s="181" t="str">
        <f t="shared" si="8"/>
        <v/>
      </c>
      <c r="S128" s="181">
        <f t="shared" si="9"/>
        <v>0</v>
      </c>
      <c r="T128" s="186"/>
      <c r="U128" s="187">
        <f t="shared" ref="U128:V128" si="114">C128/100</f>
        <v>0</v>
      </c>
      <c r="V128" s="187">
        <f t="shared" si="114"/>
        <v>0</v>
      </c>
      <c r="W128" s="187">
        <f t="shared" si="12"/>
        <v>0</v>
      </c>
      <c r="X128" s="189">
        <f t="shared" si="13"/>
        <v>0</v>
      </c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</row>
    <row r="129" ht="27.0" customHeight="1">
      <c r="A129" s="160">
        <v>98.0</v>
      </c>
      <c r="B129" s="191"/>
      <c r="C129" s="191"/>
      <c r="D129" s="191"/>
      <c r="E129" s="191"/>
      <c r="F129" s="192" t="str">
        <f t="shared" si="5"/>
        <v/>
      </c>
      <c r="G129" s="191"/>
      <c r="H129" s="194">
        <f t="shared" si="6"/>
        <v>0</v>
      </c>
      <c r="I129" s="139"/>
      <c r="J129" s="197"/>
      <c r="K129" s="198"/>
      <c r="L129" s="198"/>
      <c r="M129" s="139"/>
      <c r="N129" s="139"/>
      <c r="O129" s="194"/>
      <c r="P129" s="141"/>
      <c r="Q129" s="187">
        <f t="shared" si="7"/>
        <v>0</v>
      </c>
      <c r="R129" s="181" t="str">
        <f t="shared" si="8"/>
        <v/>
      </c>
      <c r="S129" s="181">
        <f t="shared" si="9"/>
        <v>0</v>
      </c>
      <c r="T129" s="186"/>
      <c r="U129" s="187">
        <f t="shared" ref="U129:V129" si="115">C129/100</f>
        <v>0</v>
      </c>
      <c r="V129" s="187">
        <f t="shared" si="115"/>
        <v>0</v>
      </c>
      <c r="W129" s="187">
        <f t="shared" si="12"/>
        <v>0</v>
      </c>
      <c r="X129" s="189">
        <f t="shared" si="13"/>
        <v>0</v>
      </c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</row>
    <row r="130" ht="27.0" customHeight="1">
      <c r="A130" s="160">
        <v>99.0</v>
      </c>
      <c r="B130" s="191"/>
      <c r="C130" s="191"/>
      <c r="D130" s="191"/>
      <c r="E130" s="191"/>
      <c r="F130" s="192" t="str">
        <f t="shared" si="5"/>
        <v/>
      </c>
      <c r="G130" s="191"/>
      <c r="H130" s="194">
        <f t="shared" si="6"/>
        <v>0</v>
      </c>
      <c r="I130" s="139"/>
      <c r="J130" s="197"/>
      <c r="K130" s="198"/>
      <c r="L130" s="198"/>
      <c r="M130" s="139"/>
      <c r="N130" s="139"/>
      <c r="O130" s="194"/>
      <c r="P130" s="141"/>
      <c r="Q130" s="187">
        <f t="shared" si="7"/>
        <v>0</v>
      </c>
      <c r="R130" s="181" t="str">
        <f t="shared" si="8"/>
        <v/>
      </c>
      <c r="S130" s="181">
        <f t="shared" si="9"/>
        <v>0</v>
      </c>
      <c r="T130" s="186"/>
      <c r="U130" s="187">
        <f t="shared" ref="U130:V130" si="116">C130/100</f>
        <v>0</v>
      </c>
      <c r="V130" s="187">
        <f t="shared" si="116"/>
        <v>0</v>
      </c>
      <c r="W130" s="187">
        <f t="shared" si="12"/>
        <v>0</v>
      </c>
      <c r="X130" s="189">
        <f t="shared" si="13"/>
        <v>0</v>
      </c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</row>
    <row r="131" ht="27.0" customHeight="1">
      <c r="A131" s="160">
        <v>100.0</v>
      </c>
      <c r="B131" s="191"/>
      <c r="C131" s="191"/>
      <c r="D131" s="191"/>
      <c r="E131" s="191"/>
      <c r="F131" s="192" t="str">
        <f t="shared" si="5"/>
        <v/>
      </c>
      <c r="G131" s="191"/>
      <c r="H131" s="194">
        <f t="shared" si="6"/>
        <v>0</v>
      </c>
      <c r="I131" s="139"/>
      <c r="J131" s="197"/>
      <c r="K131" s="198"/>
      <c r="L131" s="198"/>
      <c r="M131" s="139"/>
      <c r="N131" s="139"/>
      <c r="O131" s="194"/>
      <c r="P131" s="141"/>
      <c r="Q131" s="187">
        <f t="shared" si="7"/>
        <v>0</v>
      </c>
      <c r="R131" s="181" t="str">
        <f t="shared" si="8"/>
        <v/>
      </c>
      <c r="S131" s="181">
        <f t="shared" si="9"/>
        <v>0</v>
      </c>
      <c r="T131" s="186"/>
      <c r="U131" s="187">
        <f t="shared" ref="U131:V131" si="117">C131/100</f>
        <v>0</v>
      </c>
      <c r="V131" s="187">
        <f t="shared" si="117"/>
        <v>0</v>
      </c>
      <c r="W131" s="187">
        <f t="shared" si="12"/>
        <v>0</v>
      </c>
      <c r="X131" s="189">
        <f t="shared" si="13"/>
        <v>0</v>
      </c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</row>
    <row r="132" ht="27.0" customHeight="1">
      <c r="A132" s="160">
        <v>101.0</v>
      </c>
      <c r="B132" s="191"/>
      <c r="C132" s="191"/>
      <c r="D132" s="191"/>
      <c r="E132" s="191"/>
      <c r="F132" s="192" t="str">
        <f t="shared" si="5"/>
        <v/>
      </c>
      <c r="G132" s="191"/>
      <c r="H132" s="194">
        <f t="shared" si="6"/>
        <v>0</v>
      </c>
      <c r="I132" s="139"/>
      <c r="J132" s="197"/>
      <c r="K132" s="198"/>
      <c r="L132" s="198"/>
      <c r="M132" s="139"/>
      <c r="N132" s="139"/>
      <c r="O132" s="194"/>
      <c r="P132" s="141"/>
      <c r="Q132" s="187">
        <f t="shared" si="7"/>
        <v>0</v>
      </c>
      <c r="R132" s="181" t="str">
        <f t="shared" si="8"/>
        <v/>
      </c>
      <c r="S132" s="181">
        <f t="shared" si="9"/>
        <v>0</v>
      </c>
      <c r="T132" s="186"/>
      <c r="U132" s="187">
        <f t="shared" ref="U132:V132" si="118">C132/100</f>
        <v>0</v>
      </c>
      <c r="V132" s="187">
        <f t="shared" si="118"/>
        <v>0</v>
      </c>
      <c r="W132" s="187">
        <f t="shared" si="12"/>
        <v>0</v>
      </c>
      <c r="X132" s="189">
        <f t="shared" si="13"/>
        <v>0</v>
      </c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</row>
    <row r="133" ht="27.0" customHeight="1">
      <c r="A133" s="160">
        <v>102.0</v>
      </c>
      <c r="B133" s="191"/>
      <c r="C133" s="191"/>
      <c r="D133" s="191"/>
      <c r="E133" s="191"/>
      <c r="F133" s="192" t="str">
        <f t="shared" si="5"/>
        <v/>
      </c>
      <c r="G133" s="191"/>
      <c r="H133" s="194">
        <f t="shared" si="6"/>
        <v>0</v>
      </c>
      <c r="I133" s="139"/>
      <c r="J133" s="197"/>
      <c r="K133" s="198"/>
      <c r="L133" s="198"/>
      <c r="M133" s="139"/>
      <c r="N133" s="139"/>
      <c r="O133" s="194"/>
      <c r="P133" s="141"/>
      <c r="Q133" s="187">
        <f t="shared" si="7"/>
        <v>0</v>
      </c>
      <c r="R133" s="181" t="str">
        <f t="shared" si="8"/>
        <v/>
      </c>
      <c r="S133" s="181">
        <f t="shared" si="9"/>
        <v>0</v>
      </c>
      <c r="T133" s="186"/>
      <c r="U133" s="187">
        <f t="shared" ref="U133:V133" si="119">C133/100</f>
        <v>0</v>
      </c>
      <c r="V133" s="187">
        <f t="shared" si="119"/>
        <v>0</v>
      </c>
      <c r="W133" s="187">
        <f t="shared" si="12"/>
        <v>0</v>
      </c>
      <c r="X133" s="189">
        <f t="shared" si="13"/>
        <v>0</v>
      </c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</row>
    <row r="134" ht="27.0" customHeight="1">
      <c r="A134" s="160">
        <v>103.0</v>
      </c>
      <c r="B134" s="191"/>
      <c r="C134" s="191"/>
      <c r="D134" s="191"/>
      <c r="E134" s="191"/>
      <c r="F134" s="192" t="str">
        <f t="shared" si="5"/>
        <v/>
      </c>
      <c r="G134" s="191"/>
      <c r="H134" s="194">
        <f t="shared" si="6"/>
        <v>0</v>
      </c>
      <c r="I134" s="139"/>
      <c r="J134" s="197"/>
      <c r="K134" s="198"/>
      <c r="L134" s="198"/>
      <c r="M134" s="139"/>
      <c r="N134" s="139"/>
      <c r="O134" s="194"/>
      <c r="P134" s="141"/>
      <c r="Q134" s="187">
        <f t="shared" si="7"/>
        <v>0</v>
      </c>
      <c r="R134" s="181" t="str">
        <f t="shared" si="8"/>
        <v/>
      </c>
      <c r="S134" s="181">
        <f t="shared" si="9"/>
        <v>0</v>
      </c>
      <c r="T134" s="186"/>
      <c r="U134" s="187">
        <f t="shared" ref="U134:V134" si="120">C134/100</f>
        <v>0</v>
      </c>
      <c r="V134" s="187">
        <f t="shared" si="120"/>
        <v>0</v>
      </c>
      <c r="W134" s="187">
        <f t="shared" si="12"/>
        <v>0</v>
      </c>
      <c r="X134" s="189">
        <f t="shared" si="13"/>
        <v>0</v>
      </c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</row>
    <row r="135" ht="27.0" customHeight="1">
      <c r="A135" s="160">
        <v>104.0</v>
      </c>
      <c r="B135" s="191"/>
      <c r="C135" s="191"/>
      <c r="D135" s="191"/>
      <c r="E135" s="191"/>
      <c r="F135" s="192" t="str">
        <f t="shared" si="5"/>
        <v/>
      </c>
      <c r="G135" s="191"/>
      <c r="H135" s="194">
        <f t="shared" si="6"/>
        <v>0</v>
      </c>
      <c r="I135" s="139"/>
      <c r="J135" s="197"/>
      <c r="K135" s="198"/>
      <c r="L135" s="198"/>
      <c r="M135" s="139"/>
      <c r="N135" s="139"/>
      <c r="O135" s="194"/>
      <c r="P135" s="141"/>
      <c r="Q135" s="187">
        <f t="shared" si="7"/>
        <v>0</v>
      </c>
      <c r="R135" s="181" t="str">
        <f t="shared" si="8"/>
        <v/>
      </c>
      <c r="S135" s="181">
        <f t="shared" si="9"/>
        <v>0</v>
      </c>
      <c r="T135" s="186"/>
      <c r="U135" s="187">
        <f t="shared" ref="U135:V135" si="121">C135/100</f>
        <v>0</v>
      </c>
      <c r="V135" s="187">
        <f t="shared" si="121"/>
        <v>0</v>
      </c>
      <c r="W135" s="187">
        <f t="shared" si="12"/>
        <v>0</v>
      </c>
      <c r="X135" s="189">
        <f t="shared" si="13"/>
        <v>0</v>
      </c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</row>
    <row r="136" ht="27.0" customHeight="1">
      <c r="A136" s="160">
        <v>105.0</v>
      </c>
      <c r="B136" s="191"/>
      <c r="C136" s="191"/>
      <c r="D136" s="191"/>
      <c r="E136" s="191"/>
      <c r="F136" s="192" t="str">
        <f t="shared" si="5"/>
        <v/>
      </c>
      <c r="G136" s="191"/>
      <c r="H136" s="194">
        <f t="shared" si="6"/>
        <v>0</v>
      </c>
      <c r="I136" s="139"/>
      <c r="J136" s="197"/>
      <c r="K136" s="198"/>
      <c r="L136" s="198"/>
      <c r="M136" s="139"/>
      <c r="N136" s="139"/>
      <c r="O136" s="194"/>
      <c r="P136" s="141"/>
      <c r="Q136" s="187">
        <f t="shared" si="7"/>
        <v>0</v>
      </c>
      <c r="R136" s="181" t="str">
        <f t="shared" si="8"/>
        <v/>
      </c>
      <c r="S136" s="181">
        <f t="shared" si="9"/>
        <v>0</v>
      </c>
      <c r="T136" s="186"/>
      <c r="U136" s="187">
        <f t="shared" ref="U136:V136" si="122">C136/100</f>
        <v>0</v>
      </c>
      <c r="V136" s="187">
        <f t="shared" si="122"/>
        <v>0</v>
      </c>
      <c r="W136" s="187">
        <f t="shared" si="12"/>
        <v>0</v>
      </c>
      <c r="X136" s="189">
        <f t="shared" si="13"/>
        <v>0</v>
      </c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</row>
    <row r="137" ht="27.0" customHeight="1">
      <c r="A137" s="160">
        <v>106.0</v>
      </c>
      <c r="B137" s="191"/>
      <c r="C137" s="191"/>
      <c r="D137" s="191"/>
      <c r="E137" s="191"/>
      <c r="F137" s="192" t="str">
        <f t="shared" si="5"/>
        <v/>
      </c>
      <c r="G137" s="191"/>
      <c r="H137" s="194">
        <f t="shared" si="6"/>
        <v>0</v>
      </c>
      <c r="I137" s="139"/>
      <c r="J137" s="197"/>
      <c r="K137" s="198"/>
      <c r="L137" s="198"/>
      <c r="M137" s="139"/>
      <c r="N137" s="139"/>
      <c r="O137" s="194"/>
      <c r="P137" s="141"/>
      <c r="Q137" s="187">
        <f t="shared" si="7"/>
        <v>0</v>
      </c>
      <c r="R137" s="181" t="str">
        <f t="shared" si="8"/>
        <v/>
      </c>
      <c r="S137" s="181">
        <f t="shared" si="9"/>
        <v>0</v>
      </c>
      <c r="T137" s="186"/>
      <c r="U137" s="187">
        <f t="shared" ref="U137:V137" si="123">C137/100</f>
        <v>0</v>
      </c>
      <c r="V137" s="187">
        <f t="shared" si="123"/>
        <v>0</v>
      </c>
      <c r="W137" s="187">
        <f t="shared" si="12"/>
        <v>0</v>
      </c>
      <c r="X137" s="189">
        <f t="shared" si="13"/>
        <v>0</v>
      </c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</row>
    <row r="138" ht="27.0" customHeight="1">
      <c r="A138" s="160">
        <v>107.0</v>
      </c>
      <c r="B138" s="191"/>
      <c r="C138" s="191"/>
      <c r="D138" s="191"/>
      <c r="E138" s="191"/>
      <c r="F138" s="192" t="str">
        <f t="shared" si="5"/>
        <v/>
      </c>
      <c r="G138" s="191"/>
      <c r="H138" s="194">
        <f t="shared" si="6"/>
        <v>0</v>
      </c>
      <c r="I138" s="139"/>
      <c r="J138" s="197"/>
      <c r="K138" s="198"/>
      <c r="L138" s="198"/>
      <c r="M138" s="139"/>
      <c r="N138" s="139"/>
      <c r="O138" s="194"/>
      <c r="P138" s="141"/>
      <c r="Q138" s="187">
        <f t="shared" si="7"/>
        <v>0</v>
      </c>
      <c r="R138" s="181" t="str">
        <f t="shared" si="8"/>
        <v/>
      </c>
      <c r="S138" s="181">
        <f t="shared" si="9"/>
        <v>0</v>
      </c>
      <c r="T138" s="186"/>
      <c r="U138" s="187">
        <f t="shared" ref="U138:V138" si="124">C138/100</f>
        <v>0</v>
      </c>
      <c r="V138" s="187">
        <f t="shared" si="124"/>
        <v>0</v>
      </c>
      <c r="W138" s="187">
        <f t="shared" si="12"/>
        <v>0</v>
      </c>
      <c r="X138" s="189">
        <f t="shared" si="13"/>
        <v>0</v>
      </c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</row>
    <row r="139" ht="27.0" customHeight="1">
      <c r="A139" s="160">
        <v>108.0</v>
      </c>
      <c r="B139" s="191"/>
      <c r="C139" s="191"/>
      <c r="D139" s="191"/>
      <c r="E139" s="191"/>
      <c r="F139" s="192" t="str">
        <f t="shared" si="5"/>
        <v/>
      </c>
      <c r="G139" s="191"/>
      <c r="H139" s="194">
        <f t="shared" si="6"/>
        <v>0</v>
      </c>
      <c r="I139" s="139"/>
      <c r="J139" s="197"/>
      <c r="K139" s="198"/>
      <c r="L139" s="198"/>
      <c r="M139" s="139"/>
      <c r="N139" s="139"/>
      <c r="O139" s="194"/>
      <c r="P139" s="141"/>
      <c r="Q139" s="187">
        <f t="shared" si="7"/>
        <v>0</v>
      </c>
      <c r="R139" s="181" t="str">
        <f t="shared" si="8"/>
        <v/>
      </c>
      <c r="S139" s="181">
        <f t="shared" si="9"/>
        <v>0</v>
      </c>
      <c r="T139" s="186"/>
      <c r="U139" s="187">
        <f t="shared" ref="U139:V139" si="125">C139/100</f>
        <v>0</v>
      </c>
      <c r="V139" s="187">
        <f t="shared" si="125"/>
        <v>0</v>
      </c>
      <c r="W139" s="187">
        <f t="shared" si="12"/>
        <v>0</v>
      </c>
      <c r="X139" s="189">
        <f t="shared" si="13"/>
        <v>0</v>
      </c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</row>
    <row r="140" ht="27.0" customHeight="1">
      <c r="A140" s="160">
        <v>109.0</v>
      </c>
      <c r="B140" s="191"/>
      <c r="C140" s="191"/>
      <c r="D140" s="191"/>
      <c r="E140" s="191"/>
      <c r="F140" s="192" t="str">
        <f t="shared" si="5"/>
        <v/>
      </c>
      <c r="G140" s="191"/>
      <c r="H140" s="194">
        <f t="shared" si="6"/>
        <v>0</v>
      </c>
      <c r="I140" s="139"/>
      <c r="J140" s="197"/>
      <c r="K140" s="198"/>
      <c r="L140" s="198"/>
      <c r="M140" s="139"/>
      <c r="N140" s="139"/>
      <c r="O140" s="194"/>
      <c r="P140" s="141"/>
      <c r="Q140" s="187">
        <f t="shared" si="7"/>
        <v>0</v>
      </c>
      <c r="R140" s="181" t="str">
        <f t="shared" si="8"/>
        <v/>
      </c>
      <c r="S140" s="181">
        <f t="shared" si="9"/>
        <v>0</v>
      </c>
      <c r="T140" s="186"/>
      <c r="U140" s="187">
        <f t="shared" ref="U140:V140" si="126">C140/100</f>
        <v>0</v>
      </c>
      <c r="V140" s="187">
        <f t="shared" si="126"/>
        <v>0</v>
      </c>
      <c r="W140" s="187">
        <f t="shared" si="12"/>
        <v>0</v>
      </c>
      <c r="X140" s="189">
        <f t="shared" si="13"/>
        <v>0</v>
      </c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</row>
    <row r="141" ht="27.0" customHeight="1">
      <c r="A141" s="160">
        <v>110.0</v>
      </c>
      <c r="B141" s="191"/>
      <c r="C141" s="191"/>
      <c r="D141" s="191"/>
      <c r="E141" s="191"/>
      <c r="F141" s="192" t="str">
        <f t="shared" si="5"/>
        <v/>
      </c>
      <c r="G141" s="191"/>
      <c r="H141" s="194">
        <f t="shared" si="6"/>
        <v>0</v>
      </c>
      <c r="I141" s="139"/>
      <c r="J141" s="197"/>
      <c r="K141" s="198"/>
      <c r="L141" s="198"/>
      <c r="M141" s="139"/>
      <c r="N141" s="139"/>
      <c r="O141" s="194"/>
      <c r="P141" s="141"/>
      <c r="Q141" s="187">
        <f t="shared" si="7"/>
        <v>0</v>
      </c>
      <c r="R141" s="181" t="str">
        <f t="shared" si="8"/>
        <v/>
      </c>
      <c r="S141" s="181">
        <f t="shared" si="9"/>
        <v>0</v>
      </c>
      <c r="T141" s="186"/>
      <c r="U141" s="187">
        <f t="shared" ref="U141:V141" si="127">C141/100</f>
        <v>0</v>
      </c>
      <c r="V141" s="187">
        <f t="shared" si="127"/>
        <v>0</v>
      </c>
      <c r="W141" s="187">
        <f t="shared" si="12"/>
        <v>0</v>
      </c>
      <c r="X141" s="189">
        <f t="shared" si="13"/>
        <v>0</v>
      </c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</row>
    <row r="142" ht="27.0" customHeight="1">
      <c r="A142" s="160">
        <v>111.0</v>
      </c>
      <c r="B142" s="191"/>
      <c r="C142" s="191"/>
      <c r="D142" s="191"/>
      <c r="E142" s="191"/>
      <c r="F142" s="192" t="str">
        <f t="shared" si="5"/>
        <v/>
      </c>
      <c r="G142" s="191"/>
      <c r="H142" s="194">
        <f t="shared" si="6"/>
        <v>0</v>
      </c>
      <c r="I142" s="139"/>
      <c r="J142" s="197"/>
      <c r="K142" s="198"/>
      <c r="L142" s="198"/>
      <c r="M142" s="139"/>
      <c r="N142" s="139"/>
      <c r="O142" s="194"/>
      <c r="P142" s="141"/>
      <c r="Q142" s="187">
        <f t="shared" si="7"/>
        <v>0</v>
      </c>
      <c r="R142" s="181" t="str">
        <f t="shared" si="8"/>
        <v/>
      </c>
      <c r="S142" s="181">
        <f t="shared" si="9"/>
        <v>0</v>
      </c>
      <c r="T142" s="186"/>
      <c r="U142" s="187">
        <f t="shared" ref="U142:V142" si="128">C142/100</f>
        <v>0</v>
      </c>
      <c r="V142" s="187">
        <f t="shared" si="128"/>
        <v>0</v>
      </c>
      <c r="W142" s="187">
        <f t="shared" si="12"/>
        <v>0</v>
      </c>
      <c r="X142" s="189">
        <f t="shared" si="13"/>
        <v>0</v>
      </c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</row>
    <row r="143" ht="27.0" customHeight="1">
      <c r="A143" s="160">
        <v>112.0</v>
      </c>
      <c r="B143" s="191"/>
      <c r="C143" s="191"/>
      <c r="D143" s="191"/>
      <c r="E143" s="191"/>
      <c r="F143" s="192" t="str">
        <f t="shared" si="5"/>
        <v/>
      </c>
      <c r="G143" s="191"/>
      <c r="H143" s="194">
        <f t="shared" si="6"/>
        <v>0</v>
      </c>
      <c r="I143" s="139"/>
      <c r="J143" s="197"/>
      <c r="K143" s="198"/>
      <c r="L143" s="198"/>
      <c r="M143" s="139"/>
      <c r="N143" s="139"/>
      <c r="O143" s="194"/>
      <c r="P143" s="141"/>
      <c r="Q143" s="187">
        <f t="shared" si="7"/>
        <v>0</v>
      </c>
      <c r="R143" s="181" t="str">
        <f t="shared" si="8"/>
        <v/>
      </c>
      <c r="S143" s="181">
        <f t="shared" si="9"/>
        <v>0</v>
      </c>
      <c r="T143" s="186"/>
      <c r="U143" s="187">
        <f t="shared" ref="U143:V143" si="129">C143/100</f>
        <v>0</v>
      </c>
      <c r="V143" s="187">
        <f t="shared" si="129"/>
        <v>0</v>
      </c>
      <c r="W143" s="187">
        <f t="shared" si="12"/>
        <v>0</v>
      </c>
      <c r="X143" s="189">
        <f t="shared" si="13"/>
        <v>0</v>
      </c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</row>
    <row r="144" ht="27.0" customHeight="1">
      <c r="A144" s="160">
        <v>113.0</v>
      </c>
      <c r="B144" s="191"/>
      <c r="C144" s="191"/>
      <c r="D144" s="191"/>
      <c r="E144" s="191"/>
      <c r="F144" s="192" t="str">
        <f t="shared" si="5"/>
        <v/>
      </c>
      <c r="G144" s="191"/>
      <c r="H144" s="194">
        <f t="shared" si="6"/>
        <v>0</v>
      </c>
      <c r="I144" s="139"/>
      <c r="J144" s="197"/>
      <c r="K144" s="198"/>
      <c r="L144" s="198"/>
      <c r="M144" s="139"/>
      <c r="N144" s="139"/>
      <c r="O144" s="194"/>
      <c r="P144" s="141"/>
      <c r="Q144" s="187">
        <f t="shared" si="7"/>
        <v>0</v>
      </c>
      <c r="R144" s="181" t="str">
        <f t="shared" si="8"/>
        <v/>
      </c>
      <c r="S144" s="181">
        <f t="shared" si="9"/>
        <v>0</v>
      </c>
      <c r="T144" s="186"/>
      <c r="U144" s="187">
        <f t="shared" ref="U144:V144" si="130">C144/100</f>
        <v>0</v>
      </c>
      <c r="V144" s="187">
        <f t="shared" si="130"/>
        <v>0</v>
      </c>
      <c r="W144" s="187">
        <f t="shared" si="12"/>
        <v>0</v>
      </c>
      <c r="X144" s="189">
        <f t="shared" si="13"/>
        <v>0</v>
      </c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</row>
    <row r="145" ht="27.0" customHeight="1">
      <c r="A145" s="160">
        <v>114.0</v>
      </c>
      <c r="B145" s="191"/>
      <c r="C145" s="191"/>
      <c r="D145" s="191"/>
      <c r="E145" s="191"/>
      <c r="F145" s="192" t="str">
        <f t="shared" si="5"/>
        <v/>
      </c>
      <c r="G145" s="191"/>
      <c r="H145" s="194">
        <f t="shared" si="6"/>
        <v>0</v>
      </c>
      <c r="I145" s="139"/>
      <c r="J145" s="197"/>
      <c r="K145" s="198"/>
      <c r="L145" s="198"/>
      <c r="M145" s="139"/>
      <c r="N145" s="139"/>
      <c r="O145" s="194"/>
      <c r="P145" s="141"/>
      <c r="Q145" s="187">
        <f t="shared" si="7"/>
        <v>0</v>
      </c>
      <c r="R145" s="181" t="str">
        <f t="shared" si="8"/>
        <v/>
      </c>
      <c r="S145" s="181">
        <f t="shared" si="9"/>
        <v>0</v>
      </c>
      <c r="T145" s="186"/>
      <c r="U145" s="187">
        <f t="shared" ref="U145:V145" si="131">C145/100</f>
        <v>0</v>
      </c>
      <c r="V145" s="187">
        <f t="shared" si="131"/>
        <v>0</v>
      </c>
      <c r="W145" s="187">
        <f t="shared" si="12"/>
        <v>0</v>
      </c>
      <c r="X145" s="189">
        <f t="shared" si="13"/>
        <v>0</v>
      </c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</row>
    <row r="146" ht="27.0" customHeight="1">
      <c r="A146" s="160">
        <v>115.0</v>
      </c>
      <c r="B146" s="191"/>
      <c r="C146" s="191"/>
      <c r="D146" s="191"/>
      <c r="E146" s="191"/>
      <c r="F146" s="192" t="str">
        <f t="shared" si="5"/>
        <v/>
      </c>
      <c r="G146" s="191"/>
      <c r="H146" s="194">
        <f t="shared" si="6"/>
        <v>0</v>
      </c>
      <c r="I146" s="139"/>
      <c r="J146" s="197"/>
      <c r="K146" s="198"/>
      <c r="L146" s="198"/>
      <c r="M146" s="139"/>
      <c r="N146" s="139"/>
      <c r="O146" s="194"/>
      <c r="P146" s="141"/>
      <c r="Q146" s="187">
        <f t="shared" si="7"/>
        <v>0</v>
      </c>
      <c r="R146" s="181" t="str">
        <f t="shared" si="8"/>
        <v/>
      </c>
      <c r="S146" s="181">
        <f t="shared" si="9"/>
        <v>0</v>
      </c>
      <c r="T146" s="186"/>
      <c r="U146" s="187">
        <f t="shared" ref="U146:V146" si="132">C146/100</f>
        <v>0</v>
      </c>
      <c r="V146" s="187">
        <f t="shared" si="132"/>
        <v>0</v>
      </c>
      <c r="W146" s="187">
        <f t="shared" si="12"/>
        <v>0</v>
      </c>
      <c r="X146" s="189">
        <f t="shared" si="13"/>
        <v>0</v>
      </c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</row>
    <row r="147" ht="27.0" customHeight="1">
      <c r="A147" s="160">
        <v>116.0</v>
      </c>
      <c r="B147" s="191"/>
      <c r="C147" s="191"/>
      <c r="D147" s="191"/>
      <c r="E147" s="191"/>
      <c r="F147" s="192" t="str">
        <f t="shared" si="5"/>
        <v/>
      </c>
      <c r="G147" s="191"/>
      <c r="H147" s="194">
        <f t="shared" si="6"/>
        <v>0</v>
      </c>
      <c r="I147" s="139"/>
      <c r="J147" s="197"/>
      <c r="K147" s="198"/>
      <c r="L147" s="198"/>
      <c r="M147" s="139"/>
      <c r="N147" s="139"/>
      <c r="O147" s="194"/>
      <c r="P147" s="141"/>
      <c r="Q147" s="187">
        <f t="shared" si="7"/>
        <v>0</v>
      </c>
      <c r="R147" s="181" t="str">
        <f t="shared" si="8"/>
        <v/>
      </c>
      <c r="S147" s="181">
        <f t="shared" si="9"/>
        <v>0</v>
      </c>
      <c r="T147" s="186"/>
      <c r="U147" s="187">
        <f t="shared" ref="U147:V147" si="133">C147/100</f>
        <v>0</v>
      </c>
      <c r="V147" s="187">
        <f t="shared" si="133"/>
        <v>0</v>
      </c>
      <c r="W147" s="187">
        <f t="shared" si="12"/>
        <v>0</v>
      </c>
      <c r="X147" s="189">
        <f t="shared" si="13"/>
        <v>0</v>
      </c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</row>
    <row r="148" ht="27.0" customHeight="1">
      <c r="A148" s="160">
        <v>117.0</v>
      </c>
      <c r="B148" s="191"/>
      <c r="C148" s="191"/>
      <c r="D148" s="191"/>
      <c r="E148" s="191"/>
      <c r="F148" s="192" t="str">
        <f t="shared" si="5"/>
        <v/>
      </c>
      <c r="G148" s="191"/>
      <c r="H148" s="194">
        <f t="shared" si="6"/>
        <v>0</v>
      </c>
      <c r="I148" s="139"/>
      <c r="J148" s="197"/>
      <c r="K148" s="198"/>
      <c r="L148" s="198"/>
      <c r="M148" s="139"/>
      <c r="N148" s="139"/>
      <c r="O148" s="194"/>
      <c r="P148" s="141"/>
      <c r="Q148" s="187">
        <f t="shared" si="7"/>
        <v>0</v>
      </c>
      <c r="R148" s="181" t="str">
        <f t="shared" si="8"/>
        <v/>
      </c>
      <c r="S148" s="181">
        <f t="shared" si="9"/>
        <v>0</v>
      </c>
      <c r="T148" s="186"/>
      <c r="U148" s="187">
        <f t="shared" ref="U148:V148" si="134">C148/100</f>
        <v>0</v>
      </c>
      <c r="V148" s="187">
        <f t="shared" si="134"/>
        <v>0</v>
      </c>
      <c r="W148" s="187">
        <f t="shared" si="12"/>
        <v>0</v>
      </c>
      <c r="X148" s="189">
        <f t="shared" si="13"/>
        <v>0</v>
      </c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</row>
    <row r="149" ht="27.0" customHeight="1">
      <c r="A149" s="160">
        <v>118.0</v>
      </c>
      <c r="B149" s="191"/>
      <c r="C149" s="191"/>
      <c r="D149" s="191"/>
      <c r="E149" s="191"/>
      <c r="F149" s="192" t="str">
        <f t="shared" si="5"/>
        <v/>
      </c>
      <c r="G149" s="191"/>
      <c r="H149" s="194">
        <f t="shared" si="6"/>
        <v>0</v>
      </c>
      <c r="I149" s="139"/>
      <c r="J149" s="197"/>
      <c r="K149" s="198"/>
      <c r="L149" s="198"/>
      <c r="M149" s="139"/>
      <c r="N149" s="139"/>
      <c r="O149" s="194"/>
      <c r="P149" s="141"/>
      <c r="Q149" s="187">
        <f t="shared" si="7"/>
        <v>0</v>
      </c>
      <c r="R149" s="181" t="str">
        <f t="shared" si="8"/>
        <v/>
      </c>
      <c r="S149" s="181">
        <f t="shared" si="9"/>
        <v>0</v>
      </c>
      <c r="T149" s="186"/>
      <c r="U149" s="187">
        <f t="shared" ref="U149:V149" si="135">C149/100</f>
        <v>0</v>
      </c>
      <c r="V149" s="187">
        <f t="shared" si="135"/>
        <v>0</v>
      </c>
      <c r="W149" s="187">
        <f t="shared" si="12"/>
        <v>0</v>
      </c>
      <c r="X149" s="189">
        <f t="shared" si="13"/>
        <v>0</v>
      </c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</row>
    <row r="150" ht="27.0" customHeight="1">
      <c r="A150" s="160">
        <v>119.0</v>
      </c>
      <c r="B150" s="191"/>
      <c r="C150" s="191"/>
      <c r="D150" s="191"/>
      <c r="E150" s="191"/>
      <c r="F150" s="192" t="str">
        <f t="shared" si="5"/>
        <v/>
      </c>
      <c r="G150" s="191"/>
      <c r="H150" s="194">
        <f t="shared" si="6"/>
        <v>0</v>
      </c>
      <c r="I150" s="139"/>
      <c r="J150" s="197"/>
      <c r="K150" s="198"/>
      <c r="L150" s="198"/>
      <c r="M150" s="139"/>
      <c r="N150" s="139"/>
      <c r="O150" s="194"/>
      <c r="P150" s="141"/>
      <c r="Q150" s="187">
        <f t="shared" si="7"/>
        <v>0</v>
      </c>
      <c r="R150" s="181" t="str">
        <f t="shared" si="8"/>
        <v/>
      </c>
      <c r="S150" s="181">
        <f t="shared" si="9"/>
        <v>0</v>
      </c>
      <c r="T150" s="186"/>
      <c r="U150" s="187">
        <f t="shared" ref="U150:V150" si="136">C150/100</f>
        <v>0</v>
      </c>
      <c r="V150" s="187">
        <f t="shared" si="136"/>
        <v>0</v>
      </c>
      <c r="W150" s="187">
        <f t="shared" si="12"/>
        <v>0</v>
      </c>
      <c r="X150" s="189">
        <f t="shared" si="13"/>
        <v>0</v>
      </c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</row>
    <row r="151" ht="27.0" customHeight="1">
      <c r="A151" s="160">
        <v>120.0</v>
      </c>
      <c r="B151" s="191"/>
      <c r="C151" s="191"/>
      <c r="D151" s="191"/>
      <c r="E151" s="191"/>
      <c r="F151" s="192" t="str">
        <f t="shared" si="5"/>
        <v/>
      </c>
      <c r="G151" s="191"/>
      <c r="H151" s="194">
        <f t="shared" si="6"/>
        <v>0</v>
      </c>
      <c r="I151" s="139"/>
      <c r="J151" s="197"/>
      <c r="K151" s="198"/>
      <c r="L151" s="198"/>
      <c r="M151" s="139"/>
      <c r="N151" s="139"/>
      <c r="O151" s="194"/>
      <c r="P151" s="141"/>
      <c r="Q151" s="187">
        <f t="shared" si="7"/>
        <v>0</v>
      </c>
      <c r="R151" s="181" t="str">
        <f t="shared" si="8"/>
        <v/>
      </c>
      <c r="S151" s="181">
        <f t="shared" si="9"/>
        <v>0</v>
      </c>
      <c r="T151" s="186"/>
      <c r="U151" s="187">
        <f t="shared" ref="U151:V151" si="137">C151/100</f>
        <v>0</v>
      </c>
      <c r="V151" s="187">
        <f t="shared" si="137"/>
        <v>0</v>
      </c>
      <c r="W151" s="187">
        <f t="shared" si="12"/>
        <v>0</v>
      </c>
      <c r="X151" s="189">
        <f t="shared" si="13"/>
        <v>0</v>
      </c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</row>
    <row r="152" ht="27.0" customHeight="1">
      <c r="A152" s="160">
        <v>121.0</v>
      </c>
      <c r="B152" s="191"/>
      <c r="C152" s="191"/>
      <c r="D152" s="191"/>
      <c r="E152" s="191"/>
      <c r="F152" s="192" t="str">
        <f t="shared" si="5"/>
        <v/>
      </c>
      <c r="G152" s="191"/>
      <c r="H152" s="194">
        <f t="shared" si="6"/>
        <v>0</v>
      </c>
      <c r="I152" s="139"/>
      <c r="J152" s="197"/>
      <c r="K152" s="198"/>
      <c r="L152" s="198"/>
      <c r="M152" s="139"/>
      <c r="N152" s="139"/>
      <c r="O152" s="194"/>
      <c r="P152" s="141"/>
      <c r="Q152" s="187">
        <f t="shared" si="7"/>
        <v>0</v>
      </c>
      <c r="R152" s="181" t="str">
        <f t="shared" si="8"/>
        <v/>
      </c>
      <c r="S152" s="181">
        <f t="shared" si="9"/>
        <v>0</v>
      </c>
      <c r="T152" s="186"/>
      <c r="U152" s="187">
        <f t="shared" ref="U152:V152" si="138">C152/100</f>
        <v>0</v>
      </c>
      <c r="V152" s="187">
        <f t="shared" si="138"/>
        <v>0</v>
      </c>
      <c r="W152" s="187">
        <f t="shared" si="12"/>
        <v>0</v>
      </c>
      <c r="X152" s="189">
        <f t="shared" si="13"/>
        <v>0</v>
      </c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</row>
    <row r="153" ht="27.0" customHeight="1">
      <c r="A153" s="160">
        <v>122.0</v>
      </c>
      <c r="B153" s="191"/>
      <c r="C153" s="191"/>
      <c r="D153" s="191"/>
      <c r="E153" s="191"/>
      <c r="F153" s="192" t="str">
        <f t="shared" si="5"/>
        <v/>
      </c>
      <c r="G153" s="191"/>
      <c r="H153" s="194">
        <f t="shared" si="6"/>
        <v>0</v>
      </c>
      <c r="I153" s="139"/>
      <c r="J153" s="197"/>
      <c r="K153" s="198"/>
      <c r="L153" s="198"/>
      <c r="M153" s="139"/>
      <c r="N153" s="139"/>
      <c r="O153" s="194"/>
      <c r="P153" s="141"/>
      <c r="Q153" s="187">
        <f t="shared" si="7"/>
        <v>0</v>
      </c>
      <c r="R153" s="181" t="str">
        <f t="shared" si="8"/>
        <v/>
      </c>
      <c r="S153" s="181">
        <f t="shared" si="9"/>
        <v>0</v>
      </c>
      <c r="T153" s="186"/>
      <c r="U153" s="187">
        <f t="shared" ref="U153:V153" si="139">C153/100</f>
        <v>0</v>
      </c>
      <c r="V153" s="187">
        <f t="shared" si="139"/>
        <v>0</v>
      </c>
      <c r="W153" s="187">
        <f t="shared" si="12"/>
        <v>0</v>
      </c>
      <c r="X153" s="189">
        <f t="shared" si="13"/>
        <v>0</v>
      </c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</row>
    <row r="154" ht="27.0" customHeight="1">
      <c r="A154" s="160">
        <v>123.0</v>
      </c>
      <c r="B154" s="191"/>
      <c r="C154" s="191"/>
      <c r="D154" s="191"/>
      <c r="E154" s="191"/>
      <c r="F154" s="192" t="str">
        <f t="shared" si="5"/>
        <v/>
      </c>
      <c r="G154" s="191"/>
      <c r="H154" s="194">
        <f t="shared" si="6"/>
        <v>0</v>
      </c>
      <c r="I154" s="139"/>
      <c r="J154" s="197"/>
      <c r="K154" s="198"/>
      <c r="L154" s="198"/>
      <c r="M154" s="139"/>
      <c r="N154" s="139"/>
      <c r="O154" s="194"/>
      <c r="P154" s="141"/>
      <c r="Q154" s="187">
        <f t="shared" si="7"/>
        <v>0</v>
      </c>
      <c r="R154" s="181" t="str">
        <f t="shared" si="8"/>
        <v/>
      </c>
      <c r="S154" s="181">
        <f t="shared" si="9"/>
        <v>0</v>
      </c>
      <c r="T154" s="186"/>
      <c r="U154" s="187">
        <f t="shared" ref="U154:V154" si="140">C154/100</f>
        <v>0</v>
      </c>
      <c r="V154" s="187">
        <f t="shared" si="140"/>
        <v>0</v>
      </c>
      <c r="W154" s="187">
        <f t="shared" si="12"/>
        <v>0</v>
      </c>
      <c r="X154" s="189">
        <f t="shared" si="13"/>
        <v>0</v>
      </c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</row>
    <row r="155" ht="27.0" customHeight="1">
      <c r="A155" s="160">
        <v>124.0</v>
      </c>
      <c r="B155" s="191"/>
      <c r="C155" s="191"/>
      <c r="D155" s="191"/>
      <c r="E155" s="191"/>
      <c r="F155" s="192" t="str">
        <f t="shared" si="5"/>
        <v/>
      </c>
      <c r="G155" s="191"/>
      <c r="H155" s="194">
        <f t="shared" si="6"/>
        <v>0</v>
      </c>
      <c r="I155" s="139"/>
      <c r="J155" s="197"/>
      <c r="K155" s="198"/>
      <c r="L155" s="198"/>
      <c r="M155" s="139"/>
      <c r="N155" s="139"/>
      <c r="O155" s="194"/>
      <c r="P155" s="141"/>
      <c r="Q155" s="187">
        <f t="shared" si="7"/>
        <v>0</v>
      </c>
      <c r="R155" s="181" t="str">
        <f t="shared" si="8"/>
        <v/>
      </c>
      <c r="S155" s="181">
        <f t="shared" si="9"/>
        <v>0</v>
      </c>
      <c r="T155" s="186"/>
      <c r="U155" s="187">
        <f t="shared" ref="U155:V155" si="141">C155/100</f>
        <v>0</v>
      </c>
      <c r="V155" s="187">
        <f t="shared" si="141"/>
        <v>0</v>
      </c>
      <c r="W155" s="187">
        <f t="shared" si="12"/>
        <v>0</v>
      </c>
      <c r="X155" s="189">
        <f t="shared" si="13"/>
        <v>0</v>
      </c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</row>
    <row r="156" ht="27.0" customHeight="1">
      <c r="A156" s="160">
        <v>125.0</v>
      </c>
      <c r="B156" s="191"/>
      <c r="C156" s="191"/>
      <c r="D156" s="191"/>
      <c r="E156" s="191"/>
      <c r="F156" s="192" t="str">
        <f t="shared" si="5"/>
        <v/>
      </c>
      <c r="G156" s="191"/>
      <c r="H156" s="194">
        <f t="shared" si="6"/>
        <v>0</v>
      </c>
      <c r="I156" s="139"/>
      <c r="J156" s="197"/>
      <c r="K156" s="198"/>
      <c r="L156" s="198"/>
      <c r="M156" s="139"/>
      <c r="N156" s="139"/>
      <c r="O156" s="194"/>
      <c r="P156" s="141"/>
      <c r="Q156" s="187">
        <f t="shared" si="7"/>
        <v>0</v>
      </c>
      <c r="R156" s="181" t="str">
        <f t="shared" si="8"/>
        <v/>
      </c>
      <c r="S156" s="181">
        <f t="shared" si="9"/>
        <v>0</v>
      </c>
      <c r="T156" s="186"/>
      <c r="U156" s="187">
        <f t="shared" ref="U156:V156" si="142">C156/100</f>
        <v>0</v>
      </c>
      <c r="V156" s="187">
        <f t="shared" si="142"/>
        <v>0</v>
      </c>
      <c r="W156" s="187">
        <f t="shared" si="12"/>
        <v>0</v>
      </c>
      <c r="X156" s="189">
        <f t="shared" si="13"/>
        <v>0</v>
      </c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</row>
    <row r="157" ht="27.0" customHeight="1">
      <c r="A157" s="160">
        <v>126.0</v>
      </c>
      <c r="B157" s="191"/>
      <c r="C157" s="191"/>
      <c r="D157" s="191"/>
      <c r="E157" s="191"/>
      <c r="F157" s="192" t="str">
        <f t="shared" si="5"/>
        <v/>
      </c>
      <c r="G157" s="191"/>
      <c r="H157" s="194">
        <f t="shared" si="6"/>
        <v>0</v>
      </c>
      <c r="I157" s="139"/>
      <c r="J157" s="197"/>
      <c r="K157" s="198"/>
      <c r="L157" s="198"/>
      <c r="M157" s="139"/>
      <c r="N157" s="139"/>
      <c r="O157" s="194"/>
      <c r="P157" s="141"/>
      <c r="Q157" s="187">
        <f t="shared" si="7"/>
        <v>0</v>
      </c>
      <c r="R157" s="181" t="str">
        <f t="shared" si="8"/>
        <v/>
      </c>
      <c r="S157" s="181">
        <f t="shared" si="9"/>
        <v>0</v>
      </c>
      <c r="T157" s="186"/>
      <c r="U157" s="187">
        <f t="shared" ref="U157:V157" si="143">C157/100</f>
        <v>0</v>
      </c>
      <c r="V157" s="187">
        <f t="shared" si="143"/>
        <v>0</v>
      </c>
      <c r="W157" s="187">
        <f t="shared" si="12"/>
        <v>0</v>
      </c>
      <c r="X157" s="189">
        <f t="shared" si="13"/>
        <v>0</v>
      </c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</row>
    <row r="158" ht="27.0" customHeight="1">
      <c r="A158" s="160">
        <v>127.0</v>
      </c>
      <c r="B158" s="191"/>
      <c r="C158" s="191"/>
      <c r="D158" s="191"/>
      <c r="E158" s="191"/>
      <c r="F158" s="192" t="str">
        <f t="shared" si="5"/>
        <v/>
      </c>
      <c r="G158" s="191"/>
      <c r="H158" s="194">
        <f t="shared" si="6"/>
        <v>0</v>
      </c>
      <c r="I158" s="139"/>
      <c r="J158" s="197"/>
      <c r="K158" s="198"/>
      <c r="L158" s="198"/>
      <c r="M158" s="139"/>
      <c r="N158" s="139"/>
      <c r="O158" s="194"/>
      <c r="P158" s="141"/>
      <c r="Q158" s="187">
        <f t="shared" si="7"/>
        <v>0</v>
      </c>
      <c r="R158" s="181" t="str">
        <f t="shared" si="8"/>
        <v/>
      </c>
      <c r="S158" s="181">
        <f t="shared" si="9"/>
        <v>0</v>
      </c>
      <c r="T158" s="186"/>
      <c r="U158" s="187">
        <f t="shared" ref="U158:V158" si="144">C158/100</f>
        <v>0</v>
      </c>
      <c r="V158" s="187">
        <f t="shared" si="144"/>
        <v>0</v>
      </c>
      <c r="W158" s="187">
        <f t="shared" si="12"/>
        <v>0</v>
      </c>
      <c r="X158" s="189">
        <f t="shared" si="13"/>
        <v>0</v>
      </c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</row>
    <row r="159" ht="27.0" customHeight="1">
      <c r="A159" s="160">
        <v>128.0</v>
      </c>
      <c r="B159" s="191"/>
      <c r="C159" s="191"/>
      <c r="D159" s="191"/>
      <c r="E159" s="191"/>
      <c r="F159" s="192" t="str">
        <f t="shared" si="5"/>
        <v/>
      </c>
      <c r="G159" s="191"/>
      <c r="H159" s="194">
        <f t="shared" si="6"/>
        <v>0</v>
      </c>
      <c r="I159" s="139"/>
      <c r="J159" s="197"/>
      <c r="K159" s="198"/>
      <c r="L159" s="198"/>
      <c r="M159" s="139"/>
      <c r="N159" s="139"/>
      <c r="O159" s="194"/>
      <c r="P159" s="141"/>
      <c r="Q159" s="187">
        <f t="shared" si="7"/>
        <v>0</v>
      </c>
      <c r="R159" s="181" t="str">
        <f t="shared" si="8"/>
        <v/>
      </c>
      <c r="S159" s="181">
        <f t="shared" si="9"/>
        <v>0</v>
      </c>
      <c r="T159" s="186"/>
      <c r="U159" s="187">
        <f t="shared" ref="U159:V159" si="145">C159/100</f>
        <v>0</v>
      </c>
      <c r="V159" s="187">
        <f t="shared" si="145"/>
        <v>0</v>
      </c>
      <c r="W159" s="187">
        <f t="shared" si="12"/>
        <v>0</v>
      </c>
      <c r="X159" s="189">
        <f t="shared" si="13"/>
        <v>0</v>
      </c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</row>
    <row r="160" ht="27.0" customHeight="1">
      <c r="A160" s="160">
        <v>129.0</v>
      </c>
      <c r="B160" s="191"/>
      <c r="C160" s="191"/>
      <c r="D160" s="191"/>
      <c r="E160" s="191"/>
      <c r="F160" s="192" t="str">
        <f t="shared" si="5"/>
        <v/>
      </c>
      <c r="G160" s="191"/>
      <c r="H160" s="194">
        <f t="shared" si="6"/>
        <v>0</v>
      </c>
      <c r="I160" s="139"/>
      <c r="J160" s="197"/>
      <c r="K160" s="198"/>
      <c r="L160" s="198"/>
      <c r="M160" s="139"/>
      <c r="N160" s="139"/>
      <c r="O160" s="194"/>
      <c r="P160" s="141"/>
      <c r="Q160" s="187">
        <f t="shared" si="7"/>
        <v>0</v>
      </c>
      <c r="R160" s="181" t="str">
        <f t="shared" si="8"/>
        <v/>
      </c>
      <c r="S160" s="181">
        <f t="shared" si="9"/>
        <v>0</v>
      </c>
      <c r="T160" s="186"/>
      <c r="U160" s="187">
        <f t="shared" ref="U160:V160" si="146">C160/100</f>
        <v>0</v>
      </c>
      <c r="V160" s="187">
        <f t="shared" si="146"/>
        <v>0</v>
      </c>
      <c r="W160" s="187">
        <f t="shared" si="12"/>
        <v>0</v>
      </c>
      <c r="X160" s="189">
        <f t="shared" si="13"/>
        <v>0</v>
      </c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</row>
    <row r="161" ht="27.0" customHeight="1">
      <c r="A161" s="160">
        <v>130.0</v>
      </c>
      <c r="B161" s="191"/>
      <c r="C161" s="191"/>
      <c r="D161" s="191"/>
      <c r="E161" s="191"/>
      <c r="F161" s="192" t="str">
        <f t="shared" si="5"/>
        <v/>
      </c>
      <c r="G161" s="191"/>
      <c r="H161" s="194">
        <f t="shared" si="6"/>
        <v>0</v>
      </c>
      <c r="I161" s="139"/>
      <c r="J161" s="197"/>
      <c r="K161" s="198"/>
      <c r="L161" s="198"/>
      <c r="M161" s="139"/>
      <c r="N161" s="139"/>
      <c r="O161" s="194"/>
      <c r="P161" s="141"/>
      <c r="Q161" s="187">
        <f t="shared" si="7"/>
        <v>0</v>
      </c>
      <c r="R161" s="181" t="str">
        <f t="shared" si="8"/>
        <v/>
      </c>
      <c r="S161" s="181">
        <f t="shared" si="9"/>
        <v>0</v>
      </c>
      <c r="T161" s="186"/>
      <c r="U161" s="187">
        <f t="shared" ref="U161:V161" si="147">C161/100</f>
        <v>0</v>
      </c>
      <c r="V161" s="187">
        <f t="shared" si="147"/>
        <v>0</v>
      </c>
      <c r="W161" s="187">
        <f t="shared" si="12"/>
        <v>0</v>
      </c>
      <c r="X161" s="189">
        <f t="shared" si="13"/>
        <v>0</v>
      </c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</row>
    <row r="162" ht="27.0" customHeight="1">
      <c r="A162" s="160">
        <v>131.0</v>
      </c>
      <c r="B162" s="191"/>
      <c r="C162" s="191"/>
      <c r="D162" s="191"/>
      <c r="E162" s="191"/>
      <c r="F162" s="192" t="str">
        <f t="shared" si="5"/>
        <v/>
      </c>
      <c r="G162" s="191"/>
      <c r="H162" s="194">
        <f t="shared" si="6"/>
        <v>0</v>
      </c>
      <c r="I162" s="139"/>
      <c r="J162" s="197"/>
      <c r="K162" s="198"/>
      <c r="L162" s="198"/>
      <c r="M162" s="139"/>
      <c r="N162" s="139"/>
      <c r="O162" s="194"/>
      <c r="P162" s="141"/>
      <c r="Q162" s="187">
        <f t="shared" si="7"/>
        <v>0</v>
      </c>
      <c r="R162" s="181" t="str">
        <f t="shared" si="8"/>
        <v/>
      </c>
      <c r="S162" s="181">
        <f t="shared" si="9"/>
        <v>0</v>
      </c>
      <c r="T162" s="186"/>
      <c r="U162" s="187">
        <f t="shared" ref="U162:V162" si="148">C162/100</f>
        <v>0</v>
      </c>
      <c r="V162" s="187">
        <f t="shared" si="148"/>
        <v>0</v>
      </c>
      <c r="W162" s="187">
        <f t="shared" si="12"/>
        <v>0</v>
      </c>
      <c r="X162" s="189">
        <f t="shared" si="13"/>
        <v>0</v>
      </c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</row>
    <row r="163" ht="27.0" customHeight="1">
      <c r="A163" s="160">
        <v>132.0</v>
      </c>
      <c r="B163" s="191"/>
      <c r="C163" s="191"/>
      <c r="D163" s="191"/>
      <c r="E163" s="191"/>
      <c r="F163" s="192" t="str">
        <f t="shared" si="5"/>
        <v/>
      </c>
      <c r="G163" s="191"/>
      <c r="H163" s="194">
        <f t="shared" si="6"/>
        <v>0</v>
      </c>
      <c r="I163" s="139"/>
      <c r="J163" s="197"/>
      <c r="K163" s="198"/>
      <c r="L163" s="198"/>
      <c r="M163" s="139"/>
      <c r="N163" s="139"/>
      <c r="O163" s="194"/>
      <c r="P163" s="141"/>
      <c r="Q163" s="187">
        <f t="shared" si="7"/>
        <v>0</v>
      </c>
      <c r="R163" s="181" t="str">
        <f t="shared" si="8"/>
        <v/>
      </c>
      <c r="S163" s="181">
        <f t="shared" si="9"/>
        <v>0</v>
      </c>
      <c r="T163" s="186"/>
      <c r="U163" s="187">
        <f t="shared" ref="U163:V163" si="149">C163/100</f>
        <v>0</v>
      </c>
      <c r="V163" s="187">
        <f t="shared" si="149"/>
        <v>0</v>
      </c>
      <c r="W163" s="187">
        <f t="shared" si="12"/>
        <v>0</v>
      </c>
      <c r="X163" s="189">
        <f t="shared" si="13"/>
        <v>0</v>
      </c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</row>
    <row r="164" ht="27.0" customHeight="1">
      <c r="A164" s="160">
        <v>133.0</v>
      </c>
      <c r="B164" s="191"/>
      <c r="C164" s="191"/>
      <c r="D164" s="191"/>
      <c r="E164" s="191"/>
      <c r="F164" s="192" t="str">
        <f t="shared" si="5"/>
        <v/>
      </c>
      <c r="G164" s="191"/>
      <c r="H164" s="194">
        <f t="shared" si="6"/>
        <v>0</v>
      </c>
      <c r="I164" s="139"/>
      <c r="J164" s="197"/>
      <c r="K164" s="198"/>
      <c r="L164" s="198"/>
      <c r="M164" s="139"/>
      <c r="N164" s="139"/>
      <c r="O164" s="194"/>
      <c r="P164" s="141"/>
      <c r="Q164" s="187">
        <f t="shared" si="7"/>
        <v>0</v>
      </c>
      <c r="R164" s="181" t="str">
        <f t="shared" si="8"/>
        <v/>
      </c>
      <c r="S164" s="181">
        <f t="shared" si="9"/>
        <v>0</v>
      </c>
      <c r="T164" s="186"/>
      <c r="U164" s="187">
        <f t="shared" ref="U164:V164" si="150">C164/100</f>
        <v>0</v>
      </c>
      <c r="V164" s="187">
        <f t="shared" si="150"/>
        <v>0</v>
      </c>
      <c r="W164" s="187">
        <f t="shared" si="12"/>
        <v>0</v>
      </c>
      <c r="X164" s="189">
        <f t="shared" si="13"/>
        <v>0</v>
      </c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</row>
    <row r="165" ht="27.0" customHeight="1">
      <c r="A165" s="160">
        <v>134.0</v>
      </c>
      <c r="B165" s="191"/>
      <c r="C165" s="191"/>
      <c r="D165" s="191"/>
      <c r="E165" s="191"/>
      <c r="F165" s="192" t="str">
        <f t="shared" si="5"/>
        <v/>
      </c>
      <c r="G165" s="191"/>
      <c r="H165" s="194">
        <f t="shared" si="6"/>
        <v>0</v>
      </c>
      <c r="I165" s="139"/>
      <c r="J165" s="197"/>
      <c r="K165" s="198"/>
      <c r="L165" s="198"/>
      <c r="M165" s="139"/>
      <c r="N165" s="139"/>
      <c r="O165" s="194"/>
      <c r="P165" s="141"/>
      <c r="Q165" s="187">
        <f t="shared" si="7"/>
        <v>0</v>
      </c>
      <c r="R165" s="181" t="str">
        <f t="shared" si="8"/>
        <v/>
      </c>
      <c r="S165" s="181">
        <f t="shared" si="9"/>
        <v>0</v>
      </c>
      <c r="T165" s="186"/>
      <c r="U165" s="187">
        <f t="shared" ref="U165:V165" si="151">C165/100</f>
        <v>0</v>
      </c>
      <c r="V165" s="187">
        <f t="shared" si="151"/>
        <v>0</v>
      </c>
      <c r="W165" s="187">
        <f t="shared" si="12"/>
        <v>0</v>
      </c>
      <c r="X165" s="189">
        <f t="shared" si="13"/>
        <v>0</v>
      </c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</row>
    <row r="166" ht="27.0" customHeight="1">
      <c r="A166" s="160">
        <v>135.0</v>
      </c>
      <c r="B166" s="191"/>
      <c r="C166" s="191"/>
      <c r="D166" s="191"/>
      <c r="E166" s="191"/>
      <c r="F166" s="192" t="str">
        <f t="shared" si="5"/>
        <v/>
      </c>
      <c r="G166" s="191"/>
      <c r="H166" s="194">
        <f t="shared" si="6"/>
        <v>0</v>
      </c>
      <c r="I166" s="139"/>
      <c r="J166" s="197"/>
      <c r="K166" s="198"/>
      <c r="L166" s="198"/>
      <c r="M166" s="139"/>
      <c r="N166" s="139"/>
      <c r="O166" s="194"/>
      <c r="P166" s="141"/>
      <c r="Q166" s="187">
        <f t="shared" si="7"/>
        <v>0</v>
      </c>
      <c r="R166" s="181" t="str">
        <f t="shared" si="8"/>
        <v/>
      </c>
      <c r="S166" s="181">
        <f t="shared" si="9"/>
        <v>0</v>
      </c>
      <c r="T166" s="186"/>
      <c r="U166" s="187">
        <f t="shared" ref="U166:V166" si="152">C166/100</f>
        <v>0</v>
      </c>
      <c r="V166" s="187">
        <f t="shared" si="152"/>
        <v>0</v>
      </c>
      <c r="W166" s="187">
        <f t="shared" si="12"/>
        <v>0</v>
      </c>
      <c r="X166" s="189">
        <f t="shared" si="13"/>
        <v>0</v>
      </c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</row>
    <row r="167" ht="27.0" customHeight="1">
      <c r="A167" s="160">
        <v>136.0</v>
      </c>
      <c r="B167" s="191"/>
      <c r="C167" s="191"/>
      <c r="D167" s="191"/>
      <c r="E167" s="191"/>
      <c r="F167" s="192" t="str">
        <f t="shared" si="5"/>
        <v/>
      </c>
      <c r="G167" s="191"/>
      <c r="H167" s="194">
        <f t="shared" si="6"/>
        <v>0</v>
      </c>
      <c r="I167" s="139"/>
      <c r="J167" s="197"/>
      <c r="K167" s="198"/>
      <c r="L167" s="198"/>
      <c r="M167" s="139"/>
      <c r="N167" s="139"/>
      <c r="O167" s="194"/>
      <c r="P167" s="141"/>
      <c r="Q167" s="187">
        <f t="shared" si="7"/>
        <v>0</v>
      </c>
      <c r="R167" s="181" t="str">
        <f t="shared" si="8"/>
        <v/>
      </c>
      <c r="S167" s="181">
        <f t="shared" si="9"/>
        <v>0</v>
      </c>
      <c r="T167" s="186"/>
      <c r="U167" s="187">
        <f t="shared" ref="U167:V167" si="153">C167/100</f>
        <v>0</v>
      </c>
      <c r="V167" s="187">
        <f t="shared" si="153"/>
        <v>0</v>
      </c>
      <c r="W167" s="187">
        <f t="shared" si="12"/>
        <v>0</v>
      </c>
      <c r="X167" s="189">
        <f t="shared" si="13"/>
        <v>0</v>
      </c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</row>
    <row r="168" ht="27.0" customHeight="1">
      <c r="A168" s="160">
        <v>137.0</v>
      </c>
      <c r="B168" s="191"/>
      <c r="C168" s="191"/>
      <c r="D168" s="191"/>
      <c r="E168" s="191"/>
      <c r="F168" s="192" t="str">
        <f t="shared" si="5"/>
        <v/>
      </c>
      <c r="G168" s="191"/>
      <c r="H168" s="194">
        <f t="shared" si="6"/>
        <v>0</v>
      </c>
      <c r="I168" s="139"/>
      <c r="J168" s="197"/>
      <c r="K168" s="198"/>
      <c r="L168" s="198"/>
      <c r="M168" s="139"/>
      <c r="N168" s="139"/>
      <c r="O168" s="194"/>
      <c r="P168" s="141"/>
      <c r="Q168" s="187">
        <f t="shared" si="7"/>
        <v>0</v>
      </c>
      <c r="R168" s="181" t="str">
        <f t="shared" si="8"/>
        <v/>
      </c>
      <c r="S168" s="181">
        <f t="shared" si="9"/>
        <v>0</v>
      </c>
      <c r="T168" s="186"/>
      <c r="U168" s="187">
        <f t="shared" ref="U168:V168" si="154">C168/100</f>
        <v>0</v>
      </c>
      <c r="V168" s="187">
        <f t="shared" si="154"/>
        <v>0</v>
      </c>
      <c r="W168" s="187">
        <f t="shared" si="12"/>
        <v>0</v>
      </c>
      <c r="X168" s="189">
        <f t="shared" si="13"/>
        <v>0</v>
      </c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</row>
    <row r="169" ht="27.0" customHeight="1">
      <c r="A169" s="160">
        <v>138.0</v>
      </c>
      <c r="B169" s="191"/>
      <c r="C169" s="191"/>
      <c r="D169" s="191"/>
      <c r="E169" s="191"/>
      <c r="F169" s="192" t="str">
        <f t="shared" si="5"/>
        <v/>
      </c>
      <c r="G169" s="191"/>
      <c r="H169" s="194">
        <f t="shared" si="6"/>
        <v>0</v>
      </c>
      <c r="I169" s="139"/>
      <c r="J169" s="197"/>
      <c r="K169" s="198"/>
      <c r="L169" s="198"/>
      <c r="M169" s="139"/>
      <c r="N169" s="139"/>
      <c r="O169" s="194"/>
      <c r="P169" s="141"/>
      <c r="Q169" s="187">
        <f t="shared" si="7"/>
        <v>0</v>
      </c>
      <c r="R169" s="181" t="str">
        <f t="shared" si="8"/>
        <v/>
      </c>
      <c r="S169" s="181">
        <f t="shared" si="9"/>
        <v>0</v>
      </c>
      <c r="T169" s="186"/>
      <c r="U169" s="187">
        <f t="shared" ref="U169:V169" si="155">C169/100</f>
        <v>0</v>
      </c>
      <c r="V169" s="187">
        <f t="shared" si="155"/>
        <v>0</v>
      </c>
      <c r="W169" s="187">
        <f t="shared" si="12"/>
        <v>0</v>
      </c>
      <c r="X169" s="189">
        <f t="shared" si="13"/>
        <v>0</v>
      </c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</row>
    <row r="170" ht="27.0" customHeight="1">
      <c r="A170" s="160">
        <v>139.0</v>
      </c>
      <c r="B170" s="191"/>
      <c r="C170" s="191"/>
      <c r="D170" s="191"/>
      <c r="E170" s="191"/>
      <c r="F170" s="192" t="str">
        <f t="shared" si="5"/>
        <v/>
      </c>
      <c r="G170" s="191"/>
      <c r="H170" s="194">
        <f t="shared" si="6"/>
        <v>0</v>
      </c>
      <c r="I170" s="139"/>
      <c r="J170" s="197"/>
      <c r="K170" s="198"/>
      <c r="L170" s="198"/>
      <c r="M170" s="139"/>
      <c r="N170" s="139"/>
      <c r="O170" s="194"/>
      <c r="P170" s="141"/>
      <c r="Q170" s="187">
        <f t="shared" si="7"/>
        <v>0</v>
      </c>
      <c r="R170" s="181" t="str">
        <f t="shared" si="8"/>
        <v/>
      </c>
      <c r="S170" s="181">
        <f t="shared" si="9"/>
        <v>0</v>
      </c>
      <c r="T170" s="186"/>
      <c r="U170" s="187">
        <f t="shared" ref="U170:V170" si="156">C170/100</f>
        <v>0</v>
      </c>
      <c r="V170" s="187">
        <f t="shared" si="156"/>
        <v>0</v>
      </c>
      <c r="W170" s="187">
        <f t="shared" si="12"/>
        <v>0</v>
      </c>
      <c r="X170" s="189">
        <f t="shared" si="13"/>
        <v>0</v>
      </c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</row>
    <row r="171" ht="27.0" customHeight="1">
      <c r="A171" s="160">
        <v>140.0</v>
      </c>
      <c r="B171" s="191"/>
      <c r="C171" s="191"/>
      <c r="D171" s="191"/>
      <c r="E171" s="191"/>
      <c r="F171" s="192" t="str">
        <f t="shared" si="5"/>
        <v/>
      </c>
      <c r="G171" s="191"/>
      <c r="H171" s="194">
        <f t="shared" si="6"/>
        <v>0</v>
      </c>
      <c r="I171" s="139"/>
      <c r="J171" s="197"/>
      <c r="K171" s="198"/>
      <c r="L171" s="198"/>
      <c r="M171" s="139"/>
      <c r="N171" s="139"/>
      <c r="O171" s="194"/>
      <c r="P171" s="141"/>
      <c r="Q171" s="187">
        <f t="shared" si="7"/>
        <v>0</v>
      </c>
      <c r="R171" s="181" t="str">
        <f t="shared" si="8"/>
        <v/>
      </c>
      <c r="S171" s="181">
        <f t="shared" si="9"/>
        <v>0</v>
      </c>
      <c r="T171" s="186"/>
      <c r="U171" s="187">
        <f t="shared" ref="U171:V171" si="157">C171/100</f>
        <v>0</v>
      </c>
      <c r="V171" s="187">
        <f t="shared" si="157"/>
        <v>0</v>
      </c>
      <c r="W171" s="187">
        <f t="shared" si="12"/>
        <v>0</v>
      </c>
      <c r="X171" s="189">
        <f t="shared" si="13"/>
        <v>0</v>
      </c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</row>
    <row r="172" ht="27.0" customHeight="1">
      <c r="A172" s="160">
        <v>141.0</v>
      </c>
      <c r="B172" s="191"/>
      <c r="C172" s="191"/>
      <c r="D172" s="191"/>
      <c r="E172" s="191"/>
      <c r="F172" s="192" t="str">
        <f t="shared" si="5"/>
        <v/>
      </c>
      <c r="G172" s="191"/>
      <c r="H172" s="194">
        <f t="shared" si="6"/>
        <v>0</v>
      </c>
      <c r="I172" s="139"/>
      <c r="J172" s="197"/>
      <c r="K172" s="198"/>
      <c r="L172" s="198"/>
      <c r="M172" s="139"/>
      <c r="N172" s="139"/>
      <c r="O172" s="194"/>
      <c r="P172" s="141"/>
      <c r="Q172" s="187">
        <f t="shared" si="7"/>
        <v>0</v>
      </c>
      <c r="R172" s="181" t="str">
        <f t="shared" si="8"/>
        <v/>
      </c>
      <c r="S172" s="181">
        <f t="shared" si="9"/>
        <v>0</v>
      </c>
      <c r="T172" s="186"/>
      <c r="U172" s="187">
        <f t="shared" ref="U172:V172" si="158">C172/100</f>
        <v>0</v>
      </c>
      <c r="V172" s="187">
        <f t="shared" si="158"/>
        <v>0</v>
      </c>
      <c r="W172" s="187">
        <f t="shared" si="12"/>
        <v>0</v>
      </c>
      <c r="X172" s="189">
        <f t="shared" si="13"/>
        <v>0</v>
      </c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</row>
    <row r="173" ht="27.0" customHeight="1">
      <c r="A173" s="160">
        <v>142.0</v>
      </c>
      <c r="B173" s="191"/>
      <c r="C173" s="191"/>
      <c r="D173" s="191"/>
      <c r="E173" s="191"/>
      <c r="F173" s="192" t="str">
        <f t="shared" si="5"/>
        <v/>
      </c>
      <c r="G173" s="191"/>
      <c r="H173" s="194">
        <f t="shared" si="6"/>
        <v>0</v>
      </c>
      <c r="I173" s="139"/>
      <c r="J173" s="197"/>
      <c r="K173" s="198"/>
      <c r="L173" s="198"/>
      <c r="M173" s="139"/>
      <c r="N173" s="139"/>
      <c r="O173" s="194"/>
      <c r="P173" s="141"/>
      <c r="Q173" s="187">
        <f t="shared" si="7"/>
        <v>0</v>
      </c>
      <c r="R173" s="181" t="str">
        <f t="shared" si="8"/>
        <v/>
      </c>
      <c r="S173" s="181">
        <f t="shared" si="9"/>
        <v>0</v>
      </c>
      <c r="T173" s="186"/>
      <c r="U173" s="187">
        <f t="shared" ref="U173:V173" si="159">C173/100</f>
        <v>0</v>
      </c>
      <c r="V173" s="187">
        <f t="shared" si="159"/>
        <v>0</v>
      </c>
      <c r="W173" s="187">
        <f t="shared" si="12"/>
        <v>0</v>
      </c>
      <c r="X173" s="189">
        <f t="shared" si="13"/>
        <v>0</v>
      </c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</row>
    <row r="174" ht="27.0" customHeight="1">
      <c r="A174" s="160">
        <v>143.0</v>
      </c>
      <c r="B174" s="191"/>
      <c r="C174" s="191"/>
      <c r="D174" s="191"/>
      <c r="E174" s="191"/>
      <c r="F174" s="192" t="str">
        <f t="shared" si="5"/>
        <v/>
      </c>
      <c r="G174" s="191"/>
      <c r="H174" s="194">
        <f t="shared" si="6"/>
        <v>0</v>
      </c>
      <c r="I174" s="139"/>
      <c r="J174" s="197"/>
      <c r="K174" s="198"/>
      <c r="L174" s="198"/>
      <c r="M174" s="139"/>
      <c r="N174" s="139"/>
      <c r="O174" s="194"/>
      <c r="P174" s="141"/>
      <c r="Q174" s="187">
        <f t="shared" si="7"/>
        <v>0</v>
      </c>
      <c r="R174" s="181" t="str">
        <f t="shared" si="8"/>
        <v/>
      </c>
      <c r="S174" s="181">
        <f t="shared" si="9"/>
        <v>0</v>
      </c>
      <c r="T174" s="186"/>
      <c r="U174" s="187">
        <f t="shared" ref="U174:V174" si="160">C174/100</f>
        <v>0</v>
      </c>
      <c r="V174" s="187">
        <f t="shared" si="160"/>
        <v>0</v>
      </c>
      <c r="W174" s="187">
        <f t="shared" si="12"/>
        <v>0</v>
      </c>
      <c r="X174" s="189">
        <f t="shared" si="13"/>
        <v>0</v>
      </c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</row>
    <row r="175" ht="27.0" customHeight="1">
      <c r="A175" s="160">
        <v>144.0</v>
      </c>
      <c r="B175" s="191"/>
      <c r="C175" s="191"/>
      <c r="D175" s="191"/>
      <c r="E175" s="191"/>
      <c r="F175" s="192" t="str">
        <f t="shared" si="5"/>
        <v/>
      </c>
      <c r="G175" s="191"/>
      <c r="H175" s="194">
        <f t="shared" si="6"/>
        <v>0</v>
      </c>
      <c r="I175" s="139"/>
      <c r="J175" s="197"/>
      <c r="K175" s="198"/>
      <c r="L175" s="198"/>
      <c r="M175" s="139"/>
      <c r="N175" s="139"/>
      <c r="O175" s="194"/>
      <c r="P175" s="141"/>
      <c r="Q175" s="187">
        <f t="shared" si="7"/>
        <v>0</v>
      </c>
      <c r="R175" s="181" t="str">
        <f t="shared" si="8"/>
        <v/>
      </c>
      <c r="S175" s="181">
        <f t="shared" si="9"/>
        <v>0</v>
      </c>
      <c r="T175" s="186"/>
      <c r="U175" s="187">
        <f t="shared" ref="U175:V175" si="161">C175/100</f>
        <v>0</v>
      </c>
      <c r="V175" s="187">
        <f t="shared" si="161"/>
        <v>0</v>
      </c>
      <c r="W175" s="187">
        <f t="shared" si="12"/>
        <v>0</v>
      </c>
      <c r="X175" s="189">
        <f t="shared" si="13"/>
        <v>0</v>
      </c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</row>
    <row r="176" ht="27.0" customHeight="1">
      <c r="A176" s="160">
        <v>145.0</v>
      </c>
      <c r="B176" s="191"/>
      <c r="C176" s="191"/>
      <c r="D176" s="191"/>
      <c r="E176" s="191"/>
      <c r="F176" s="192" t="str">
        <f t="shared" si="5"/>
        <v/>
      </c>
      <c r="G176" s="191"/>
      <c r="H176" s="194">
        <f t="shared" si="6"/>
        <v>0</v>
      </c>
      <c r="I176" s="139"/>
      <c r="J176" s="197"/>
      <c r="K176" s="198"/>
      <c r="L176" s="198"/>
      <c r="M176" s="139"/>
      <c r="N176" s="139"/>
      <c r="O176" s="194"/>
      <c r="P176" s="141"/>
      <c r="Q176" s="187">
        <f t="shared" si="7"/>
        <v>0</v>
      </c>
      <c r="R176" s="181" t="str">
        <f t="shared" si="8"/>
        <v/>
      </c>
      <c r="S176" s="181">
        <f t="shared" si="9"/>
        <v>0</v>
      </c>
      <c r="T176" s="186"/>
      <c r="U176" s="187">
        <f t="shared" ref="U176:V176" si="162">C176/100</f>
        <v>0</v>
      </c>
      <c r="V176" s="187">
        <f t="shared" si="162"/>
        <v>0</v>
      </c>
      <c r="W176" s="187">
        <f t="shared" si="12"/>
        <v>0</v>
      </c>
      <c r="X176" s="189">
        <f t="shared" si="13"/>
        <v>0</v>
      </c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</row>
    <row r="177" ht="27.0" customHeight="1">
      <c r="A177" s="160">
        <v>146.0</v>
      </c>
      <c r="B177" s="191"/>
      <c r="C177" s="191"/>
      <c r="D177" s="191"/>
      <c r="E177" s="191"/>
      <c r="F177" s="192" t="str">
        <f t="shared" si="5"/>
        <v/>
      </c>
      <c r="G177" s="191"/>
      <c r="H177" s="194">
        <f t="shared" si="6"/>
        <v>0</v>
      </c>
      <c r="I177" s="139"/>
      <c r="J177" s="197"/>
      <c r="K177" s="198"/>
      <c r="L177" s="198"/>
      <c r="M177" s="139"/>
      <c r="N177" s="139"/>
      <c r="O177" s="194"/>
      <c r="P177" s="141"/>
      <c r="Q177" s="187">
        <f t="shared" si="7"/>
        <v>0</v>
      </c>
      <c r="R177" s="181" t="str">
        <f t="shared" si="8"/>
        <v/>
      </c>
      <c r="S177" s="181">
        <f t="shared" si="9"/>
        <v>0</v>
      </c>
      <c r="T177" s="186"/>
      <c r="U177" s="187">
        <f t="shared" ref="U177:V177" si="163">C177/100</f>
        <v>0</v>
      </c>
      <c r="V177" s="187">
        <f t="shared" si="163"/>
        <v>0</v>
      </c>
      <c r="W177" s="187">
        <f t="shared" si="12"/>
        <v>0</v>
      </c>
      <c r="X177" s="189">
        <f t="shared" si="13"/>
        <v>0</v>
      </c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</row>
    <row r="178" ht="27.0" customHeight="1">
      <c r="A178" s="160">
        <v>147.0</v>
      </c>
      <c r="B178" s="191"/>
      <c r="C178" s="191"/>
      <c r="D178" s="191"/>
      <c r="E178" s="191"/>
      <c r="F178" s="192" t="str">
        <f t="shared" si="5"/>
        <v/>
      </c>
      <c r="G178" s="191"/>
      <c r="H178" s="194">
        <f t="shared" si="6"/>
        <v>0</v>
      </c>
      <c r="I178" s="139"/>
      <c r="J178" s="197"/>
      <c r="K178" s="198"/>
      <c r="L178" s="198"/>
      <c r="M178" s="139"/>
      <c r="N178" s="139"/>
      <c r="O178" s="194"/>
      <c r="P178" s="141"/>
      <c r="Q178" s="187">
        <f t="shared" si="7"/>
        <v>0</v>
      </c>
      <c r="R178" s="181" t="str">
        <f t="shared" si="8"/>
        <v/>
      </c>
      <c r="S178" s="181">
        <f t="shared" si="9"/>
        <v>0</v>
      </c>
      <c r="T178" s="186"/>
      <c r="U178" s="187">
        <f t="shared" ref="U178:V178" si="164">C178/100</f>
        <v>0</v>
      </c>
      <c r="V178" s="187">
        <f t="shared" si="164"/>
        <v>0</v>
      </c>
      <c r="W178" s="187">
        <f t="shared" si="12"/>
        <v>0</v>
      </c>
      <c r="X178" s="189">
        <f t="shared" si="13"/>
        <v>0</v>
      </c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</row>
    <row r="179" ht="27.0" customHeight="1">
      <c r="A179" s="160">
        <v>148.0</v>
      </c>
      <c r="B179" s="191"/>
      <c r="C179" s="191"/>
      <c r="D179" s="191"/>
      <c r="E179" s="191"/>
      <c r="F179" s="192" t="str">
        <f t="shared" si="5"/>
        <v/>
      </c>
      <c r="G179" s="191"/>
      <c r="H179" s="194">
        <f t="shared" si="6"/>
        <v>0</v>
      </c>
      <c r="I179" s="139"/>
      <c r="J179" s="197"/>
      <c r="K179" s="198"/>
      <c r="L179" s="198"/>
      <c r="M179" s="139"/>
      <c r="N179" s="139"/>
      <c r="O179" s="194"/>
      <c r="P179" s="141"/>
      <c r="Q179" s="187">
        <f t="shared" si="7"/>
        <v>0</v>
      </c>
      <c r="R179" s="181" t="str">
        <f t="shared" si="8"/>
        <v/>
      </c>
      <c r="S179" s="181">
        <f t="shared" si="9"/>
        <v>0</v>
      </c>
      <c r="T179" s="186"/>
      <c r="U179" s="187">
        <f t="shared" ref="U179:V179" si="165">C179/100</f>
        <v>0</v>
      </c>
      <c r="V179" s="187">
        <f t="shared" si="165"/>
        <v>0</v>
      </c>
      <c r="W179" s="187">
        <f t="shared" si="12"/>
        <v>0</v>
      </c>
      <c r="X179" s="189">
        <f t="shared" si="13"/>
        <v>0</v>
      </c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</row>
    <row r="180" ht="27.0" customHeight="1">
      <c r="A180" s="160">
        <v>149.0</v>
      </c>
      <c r="B180" s="191"/>
      <c r="C180" s="191"/>
      <c r="D180" s="191"/>
      <c r="E180" s="191"/>
      <c r="F180" s="192" t="str">
        <f t="shared" si="5"/>
        <v/>
      </c>
      <c r="G180" s="191"/>
      <c r="H180" s="194">
        <f t="shared" si="6"/>
        <v>0</v>
      </c>
      <c r="I180" s="139"/>
      <c r="J180" s="197"/>
      <c r="K180" s="198"/>
      <c r="L180" s="198"/>
      <c r="M180" s="139"/>
      <c r="N180" s="139"/>
      <c r="O180" s="194"/>
      <c r="P180" s="141"/>
      <c r="Q180" s="187">
        <f t="shared" si="7"/>
        <v>0</v>
      </c>
      <c r="R180" s="181" t="str">
        <f t="shared" si="8"/>
        <v/>
      </c>
      <c r="S180" s="181">
        <f t="shared" si="9"/>
        <v>0</v>
      </c>
      <c r="T180" s="186"/>
      <c r="U180" s="187">
        <f t="shared" ref="U180:V180" si="166">C180/100</f>
        <v>0</v>
      </c>
      <c r="V180" s="187">
        <f t="shared" si="166"/>
        <v>0</v>
      </c>
      <c r="W180" s="187">
        <f t="shared" si="12"/>
        <v>0</v>
      </c>
      <c r="X180" s="189">
        <f t="shared" si="13"/>
        <v>0</v>
      </c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</row>
    <row r="181" ht="27.0" customHeight="1">
      <c r="A181" s="160">
        <v>150.0</v>
      </c>
      <c r="B181" s="191"/>
      <c r="C181" s="191"/>
      <c r="D181" s="191"/>
      <c r="E181" s="191"/>
      <c r="F181" s="192" t="str">
        <f t="shared" si="5"/>
        <v/>
      </c>
      <c r="G181" s="191"/>
      <c r="H181" s="194">
        <f t="shared" si="6"/>
        <v>0</v>
      </c>
      <c r="I181" s="139"/>
      <c r="J181" s="197"/>
      <c r="K181" s="198"/>
      <c r="L181" s="198"/>
      <c r="M181" s="139"/>
      <c r="N181" s="139"/>
      <c r="O181" s="194"/>
      <c r="P181" s="141"/>
      <c r="Q181" s="187">
        <f t="shared" si="7"/>
        <v>0</v>
      </c>
      <c r="R181" s="181" t="str">
        <f t="shared" si="8"/>
        <v/>
      </c>
      <c r="S181" s="181">
        <f t="shared" si="9"/>
        <v>0</v>
      </c>
      <c r="T181" s="186"/>
      <c r="U181" s="187">
        <f t="shared" ref="U181:V181" si="167">C181/100</f>
        <v>0</v>
      </c>
      <c r="V181" s="187">
        <f t="shared" si="167"/>
        <v>0</v>
      </c>
      <c r="W181" s="187">
        <f t="shared" si="12"/>
        <v>0</v>
      </c>
      <c r="X181" s="189">
        <f t="shared" si="13"/>
        <v>0</v>
      </c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</row>
    <row r="182" ht="27.0" customHeight="1">
      <c r="A182" s="160">
        <v>151.0</v>
      </c>
      <c r="B182" s="191"/>
      <c r="C182" s="191"/>
      <c r="D182" s="191"/>
      <c r="E182" s="191"/>
      <c r="F182" s="192" t="str">
        <f t="shared" si="5"/>
        <v/>
      </c>
      <c r="G182" s="191"/>
      <c r="H182" s="194">
        <f t="shared" si="6"/>
        <v>0</v>
      </c>
      <c r="I182" s="139"/>
      <c r="J182" s="197"/>
      <c r="K182" s="198"/>
      <c r="L182" s="198"/>
      <c r="M182" s="139"/>
      <c r="N182" s="139"/>
      <c r="O182" s="194"/>
      <c r="P182" s="141"/>
      <c r="Q182" s="187">
        <f t="shared" si="7"/>
        <v>0</v>
      </c>
      <c r="R182" s="181" t="str">
        <f t="shared" si="8"/>
        <v/>
      </c>
      <c r="S182" s="181">
        <f t="shared" si="9"/>
        <v>0</v>
      </c>
      <c r="T182" s="186"/>
      <c r="U182" s="187">
        <f t="shared" ref="U182:V182" si="168">C182/100</f>
        <v>0</v>
      </c>
      <c r="V182" s="187">
        <f t="shared" si="168"/>
        <v>0</v>
      </c>
      <c r="W182" s="187">
        <f t="shared" si="12"/>
        <v>0</v>
      </c>
      <c r="X182" s="189">
        <f t="shared" si="13"/>
        <v>0</v>
      </c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</row>
    <row r="183" ht="27.0" customHeight="1">
      <c r="A183" s="160">
        <v>152.0</v>
      </c>
      <c r="B183" s="191"/>
      <c r="C183" s="191"/>
      <c r="D183" s="191"/>
      <c r="E183" s="191"/>
      <c r="F183" s="192" t="str">
        <f t="shared" si="5"/>
        <v/>
      </c>
      <c r="G183" s="191"/>
      <c r="H183" s="194">
        <f t="shared" si="6"/>
        <v>0</v>
      </c>
      <c r="I183" s="139"/>
      <c r="J183" s="197"/>
      <c r="K183" s="198"/>
      <c r="L183" s="198"/>
      <c r="M183" s="139"/>
      <c r="N183" s="139"/>
      <c r="O183" s="194"/>
      <c r="P183" s="141"/>
      <c r="Q183" s="187">
        <f t="shared" si="7"/>
        <v>0</v>
      </c>
      <c r="R183" s="181" t="str">
        <f t="shared" si="8"/>
        <v/>
      </c>
      <c r="S183" s="181">
        <f t="shared" si="9"/>
        <v>0</v>
      </c>
      <c r="T183" s="186"/>
      <c r="U183" s="187">
        <f t="shared" ref="U183:V183" si="169">C183/100</f>
        <v>0</v>
      </c>
      <c r="V183" s="187">
        <f t="shared" si="169"/>
        <v>0</v>
      </c>
      <c r="W183" s="187">
        <f t="shared" si="12"/>
        <v>0</v>
      </c>
      <c r="X183" s="189">
        <f t="shared" si="13"/>
        <v>0</v>
      </c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</row>
    <row r="184" ht="27.0" customHeight="1">
      <c r="A184" s="160">
        <v>153.0</v>
      </c>
      <c r="B184" s="191"/>
      <c r="C184" s="191"/>
      <c r="D184" s="191"/>
      <c r="E184" s="191"/>
      <c r="F184" s="192" t="str">
        <f t="shared" si="5"/>
        <v/>
      </c>
      <c r="G184" s="191"/>
      <c r="H184" s="194">
        <f t="shared" si="6"/>
        <v>0</v>
      </c>
      <c r="I184" s="139"/>
      <c r="J184" s="197"/>
      <c r="K184" s="198"/>
      <c r="L184" s="198"/>
      <c r="M184" s="139"/>
      <c r="N184" s="139"/>
      <c r="O184" s="194"/>
      <c r="P184" s="141"/>
      <c r="Q184" s="187">
        <f t="shared" si="7"/>
        <v>0</v>
      </c>
      <c r="R184" s="181" t="str">
        <f t="shared" si="8"/>
        <v/>
      </c>
      <c r="S184" s="181">
        <f t="shared" si="9"/>
        <v>0</v>
      </c>
      <c r="T184" s="186"/>
      <c r="U184" s="187">
        <f t="shared" ref="U184:V184" si="170">C184/100</f>
        <v>0</v>
      </c>
      <c r="V184" s="187">
        <f t="shared" si="170"/>
        <v>0</v>
      </c>
      <c r="W184" s="187">
        <f t="shared" si="12"/>
        <v>0</v>
      </c>
      <c r="X184" s="189">
        <f t="shared" si="13"/>
        <v>0</v>
      </c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</row>
    <row r="185" ht="27.0" customHeight="1">
      <c r="A185" s="160">
        <v>154.0</v>
      </c>
      <c r="B185" s="191"/>
      <c r="C185" s="191"/>
      <c r="D185" s="191"/>
      <c r="E185" s="191"/>
      <c r="F185" s="192" t="str">
        <f t="shared" si="5"/>
        <v/>
      </c>
      <c r="G185" s="191"/>
      <c r="H185" s="194">
        <f t="shared" si="6"/>
        <v>0</v>
      </c>
      <c r="I185" s="139"/>
      <c r="J185" s="197"/>
      <c r="K185" s="198"/>
      <c r="L185" s="198"/>
      <c r="M185" s="139"/>
      <c r="N185" s="139"/>
      <c r="O185" s="194"/>
      <c r="P185" s="141"/>
      <c r="Q185" s="187">
        <f t="shared" si="7"/>
        <v>0</v>
      </c>
      <c r="R185" s="181" t="str">
        <f t="shared" si="8"/>
        <v/>
      </c>
      <c r="S185" s="181">
        <f t="shared" si="9"/>
        <v>0</v>
      </c>
      <c r="T185" s="186"/>
      <c r="U185" s="187">
        <f t="shared" ref="U185:V185" si="171">C185/100</f>
        <v>0</v>
      </c>
      <c r="V185" s="187">
        <f t="shared" si="171"/>
        <v>0</v>
      </c>
      <c r="W185" s="187">
        <f t="shared" si="12"/>
        <v>0</v>
      </c>
      <c r="X185" s="189">
        <f t="shared" si="13"/>
        <v>0</v>
      </c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</row>
    <row r="186" ht="27.0" customHeight="1">
      <c r="A186" s="160">
        <v>155.0</v>
      </c>
      <c r="B186" s="191"/>
      <c r="C186" s="191"/>
      <c r="D186" s="191"/>
      <c r="E186" s="191"/>
      <c r="F186" s="192" t="str">
        <f t="shared" si="5"/>
        <v/>
      </c>
      <c r="G186" s="191"/>
      <c r="H186" s="194">
        <f t="shared" si="6"/>
        <v>0</v>
      </c>
      <c r="I186" s="139"/>
      <c r="J186" s="197"/>
      <c r="K186" s="198"/>
      <c r="L186" s="198"/>
      <c r="M186" s="139"/>
      <c r="N186" s="139"/>
      <c r="O186" s="194"/>
      <c r="P186" s="141"/>
      <c r="Q186" s="187">
        <f t="shared" si="7"/>
        <v>0</v>
      </c>
      <c r="R186" s="181" t="str">
        <f t="shared" si="8"/>
        <v/>
      </c>
      <c r="S186" s="181">
        <f t="shared" si="9"/>
        <v>0</v>
      </c>
      <c r="T186" s="186"/>
      <c r="U186" s="187">
        <f t="shared" ref="U186:V186" si="172">C186/100</f>
        <v>0</v>
      </c>
      <c r="V186" s="187">
        <f t="shared" si="172"/>
        <v>0</v>
      </c>
      <c r="W186" s="187">
        <f t="shared" si="12"/>
        <v>0</v>
      </c>
      <c r="X186" s="189">
        <f t="shared" si="13"/>
        <v>0</v>
      </c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</row>
    <row r="187" ht="27.0" customHeight="1">
      <c r="A187" s="160">
        <v>156.0</v>
      </c>
      <c r="B187" s="191"/>
      <c r="C187" s="191"/>
      <c r="D187" s="191"/>
      <c r="E187" s="191"/>
      <c r="F187" s="192" t="str">
        <f t="shared" si="5"/>
        <v/>
      </c>
      <c r="G187" s="191"/>
      <c r="H187" s="194">
        <f t="shared" si="6"/>
        <v>0</v>
      </c>
      <c r="I187" s="139"/>
      <c r="J187" s="197"/>
      <c r="K187" s="198"/>
      <c r="L187" s="198"/>
      <c r="M187" s="139"/>
      <c r="N187" s="139"/>
      <c r="O187" s="194"/>
      <c r="P187" s="141"/>
      <c r="Q187" s="187">
        <f t="shared" si="7"/>
        <v>0</v>
      </c>
      <c r="R187" s="181" t="str">
        <f t="shared" si="8"/>
        <v/>
      </c>
      <c r="S187" s="181">
        <f t="shared" si="9"/>
        <v>0</v>
      </c>
      <c r="T187" s="186"/>
      <c r="U187" s="187">
        <f t="shared" ref="U187:V187" si="173">C187/100</f>
        <v>0</v>
      </c>
      <c r="V187" s="187">
        <f t="shared" si="173"/>
        <v>0</v>
      </c>
      <c r="W187" s="187">
        <f t="shared" si="12"/>
        <v>0</v>
      </c>
      <c r="X187" s="189">
        <f t="shared" si="13"/>
        <v>0</v>
      </c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</row>
    <row r="188" ht="27.0" customHeight="1">
      <c r="A188" s="160">
        <v>157.0</v>
      </c>
      <c r="B188" s="191"/>
      <c r="C188" s="191"/>
      <c r="D188" s="191"/>
      <c r="E188" s="191"/>
      <c r="F188" s="192" t="str">
        <f t="shared" si="5"/>
        <v/>
      </c>
      <c r="G188" s="191"/>
      <c r="H188" s="194">
        <f t="shared" si="6"/>
        <v>0</v>
      </c>
      <c r="I188" s="139"/>
      <c r="J188" s="197"/>
      <c r="K188" s="198"/>
      <c r="L188" s="198"/>
      <c r="M188" s="139"/>
      <c r="N188" s="139"/>
      <c r="O188" s="194"/>
      <c r="P188" s="141"/>
      <c r="Q188" s="187">
        <f t="shared" si="7"/>
        <v>0</v>
      </c>
      <c r="R188" s="181" t="str">
        <f t="shared" si="8"/>
        <v/>
      </c>
      <c r="S188" s="181">
        <f t="shared" si="9"/>
        <v>0</v>
      </c>
      <c r="T188" s="186"/>
      <c r="U188" s="187">
        <f t="shared" ref="U188:V188" si="174">C188/100</f>
        <v>0</v>
      </c>
      <c r="V188" s="187">
        <f t="shared" si="174"/>
        <v>0</v>
      </c>
      <c r="W188" s="187">
        <f t="shared" si="12"/>
        <v>0</v>
      </c>
      <c r="X188" s="189">
        <f t="shared" si="13"/>
        <v>0</v>
      </c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</row>
    <row r="189" ht="27.0" customHeight="1">
      <c r="A189" s="160">
        <v>158.0</v>
      </c>
      <c r="B189" s="191"/>
      <c r="C189" s="191"/>
      <c r="D189" s="191"/>
      <c r="E189" s="191"/>
      <c r="F189" s="192" t="str">
        <f t="shared" si="5"/>
        <v/>
      </c>
      <c r="G189" s="191"/>
      <c r="H189" s="194">
        <f t="shared" si="6"/>
        <v>0</v>
      </c>
      <c r="I189" s="139"/>
      <c r="J189" s="197"/>
      <c r="K189" s="198"/>
      <c r="L189" s="198"/>
      <c r="M189" s="139"/>
      <c r="N189" s="139"/>
      <c r="O189" s="194"/>
      <c r="P189" s="141"/>
      <c r="Q189" s="187">
        <f t="shared" si="7"/>
        <v>0</v>
      </c>
      <c r="R189" s="181" t="str">
        <f t="shared" si="8"/>
        <v/>
      </c>
      <c r="S189" s="181">
        <f t="shared" si="9"/>
        <v>0</v>
      </c>
      <c r="T189" s="186"/>
      <c r="U189" s="187">
        <f t="shared" ref="U189:V189" si="175">C189/100</f>
        <v>0</v>
      </c>
      <c r="V189" s="187">
        <f t="shared" si="175"/>
        <v>0</v>
      </c>
      <c r="W189" s="187">
        <f t="shared" si="12"/>
        <v>0</v>
      </c>
      <c r="X189" s="189">
        <f t="shared" si="13"/>
        <v>0</v>
      </c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</row>
    <row r="190" ht="27.0" customHeight="1">
      <c r="A190" s="160">
        <v>159.0</v>
      </c>
      <c r="B190" s="191"/>
      <c r="C190" s="191"/>
      <c r="D190" s="191"/>
      <c r="E190" s="191"/>
      <c r="F190" s="192" t="str">
        <f t="shared" si="5"/>
        <v/>
      </c>
      <c r="G190" s="191"/>
      <c r="H190" s="194">
        <f t="shared" si="6"/>
        <v>0</v>
      </c>
      <c r="I190" s="139"/>
      <c r="J190" s="197"/>
      <c r="K190" s="198"/>
      <c r="L190" s="198"/>
      <c r="M190" s="139"/>
      <c r="N190" s="139"/>
      <c r="O190" s="194"/>
      <c r="P190" s="141"/>
      <c r="Q190" s="187">
        <f t="shared" si="7"/>
        <v>0</v>
      </c>
      <c r="R190" s="181" t="str">
        <f t="shared" si="8"/>
        <v/>
      </c>
      <c r="S190" s="181">
        <f t="shared" si="9"/>
        <v>0</v>
      </c>
      <c r="T190" s="186"/>
      <c r="U190" s="187">
        <f t="shared" ref="U190:V190" si="176">C190/100</f>
        <v>0</v>
      </c>
      <c r="V190" s="187">
        <f t="shared" si="176"/>
        <v>0</v>
      </c>
      <c r="W190" s="187">
        <f t="shared" si="12"/>
        <v>0</v>
      </c>
      <c r="X190" s="189">
        <f t="shared" si="13"/>
        <v>0</v>
      </c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</row>
    <row r="191" ht="27.0" customHeight="1">
      <c r="A191" s="160">
        <v>160.0</v>
      </c>
      <c r="B191" s="191"/>
      <c r="C191" s="191"/>
      <c r="D191" s="191"/>
      <c r="E191" s="191"/>
      <c r="F191" s="192" t="str">
        <f t="shared" si="5"/>
        <v/>
      </c>
      <c r="G191" s="191"/>
      <c r="H191" s="194">
        <f t="shared" si="6"/>
        <v>0</v>
      </c>
      <c r="I191" s="139"/>
      <c r="J191" s="197"/>
      <c r="K191" s="198"/>
      <c r="L191" s="198"/>
      <c r="M191" s="139"/>
      <c r="N191" s="139"/>
      <c r="O191" s="194"/>
      <c r="P191" s="141"/>
      <c r="Q191" s="187">
        <f t="shared" si="7"/>
        <v>0</v>
      </c>
      <c r="R191" s="181" t="str">
        <f t="shared" si="8"/>
        <v/>
      </c>
      <c r="S191" s="181">
        <f t="shared" si="9"/>
        <v>0</v>
      </c>
      <c r="T191" s="186"/>
      <c r="U191" s="187">
        <f t="shared" ref="U191:V191" si="177">C191/100</f>
        <v>0</v>
      </c>
      <c r="V191" s="187">
        <f t="shared" si="177"/>
        <v>0</v>
      </c>
      <c r="W191" s="187">
        <f t="shared" si="12"/>
        <v>0</v>
      </c>
      <c r="X191" s="189">
        <f t="shared" si="13"/>
        <v>0</v>
      </c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</row>
    <row r="192" ht="27.0" customHeight="1">
      <c r="A192" s="160">
        <v>161.0</v>
      </c>
      <c r="B192" s="191"/>
      <c r="C192" s="191"/>
      <c r="D192" s="191"/>
      <c r="E192" s="191"/>
      <c r="F192" s="192" t="str">
        <f t="shared" si="5"/>
        <v/>
      </c>
      <c r="G192" s="191"/>
      <c r="H192" s="194">
        <f t="shared" si="6"/>
        <v>0</v>
      </c>
      <c r="I192" s="139"/>
      <c r="J192" s="197"/>
      <c r="K192" s="198"/>
      <c r="L192" s="198"/>
      <c r="M192" s="139"/>
      <c r="N192" s="139"/>
      <c r="O192" s="194"/>
      <c r="P192" s="141"/>
      <c r="Q192" s="187">
        <f t="shared" si="7"/>
        <v>0</v>
      </c>
      <c r="R192" s="181" t="str">
        <f t="shared" si="8"/>
        <v/>
      </c>
      <c r="S192" s="181">
        <f t="shared" si="9"/>
        <v>0</v>
      </c>
      <c r="T192" s="186"/>
      <c r="U192" s="187">
        <f t="shared" ref="U192:V192" si="178">C192/100</f>
        <v>0</v>
      </c>
      <c r="V192" s="187">
        <f t="shared" si="178"/>
        <v>0</v>
      </c>
      <c r="W192" s="187">
        <f t="shared" si="12"/>
        <v>0</v>
      </c>
      <c r="X192" s="189">
        <f t="shared" si="13"/>
        <v>0</v>
      </c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</row>
    <row r="193" ht="27.0" customHeight="1">
      <c r="A193" s="160">
        <v>162.0</v>
      </c>
      <c r="B193" s="191"/>
      <c r="C193" s="191"/>
      <c r="D193" s="191"/>
      <c r="E193" s="191"/>
      <c r="F193" s="192" t="str">
        <f t="shared" si="5"/>
        <v/>
      </c>
      <c r="G193" s="191"/>
      <c r="H193" s="194">
        <f t="shared" si="6"/>
        <v>0</v>
      </c>
      <c r="I193" s="139"/>
      <c r="J193" s="197"/>
      <c r="K193" s="198"/>
      <c r="L193" s="198"/>
      <c r="M193" s="139"/>
      <c r="N193" s="139"/>
      <c r="O193" s="194"/>
      <c r="P193" s="141"/>
      <c r="Q193" s="187">
        <f t="shared" si="7"/>
        <v>0</v>
      </c>
      <c r="R193" s="181" t="str">
        <f t="shared" si="8"/>
        <v/>
      </c>
      <c r="S193" s="181">
        <f t="shared" si="9"/>
        <v>0</v>
      </c>
      <c r="T193" s="186"/>
      <c r="U193" s="187">
        <f t="shared" ref="U193:V193" si="179">C193/100</f>
        <v>0</v>
      </c>
      <c r="V193" s="187">
        <f t="shared" si="179"/>
        <v>0</v>
      </c>
      <c r="W193" s="187">
        <f t="shared" si="12"/>
        <v>0</v>
      </c>
      <c r="X193" s="189">
        <f t="shared" si="13"/>
        <v>0</v>
      </c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</row>
    <row r="194" ht="27.0" customHeight="1">
      <c r="A194" s="160">
        <v>163.0</v>
      </c>
      <c r="B194" s="191"/>
      <c r="C194" s="191"/>
      <c r="D194" s="191"/>
      <c r="E194" s="191"/>
      <c r="F194" s="192" t="str">
        <f t="shared" si="5"/>
        <v/>
      </c>
      <c r="G194" s="191"/>
      <c r="H194" s="194">
        <f t="shared" si="6"/>
        <v>0</v>
      </c>
      <c r="I194" s="139"/>
      <c r="J194" s="197"/>
      <c r="K194" s="198"/>
      <c r="L194" s="198"/>
      <c r="M194" s="139"/>
      <c r="N194" s="139"/>
      <c r="O194" s="194"/>
      <c r="P194" s="141"/>
      <c r="Q194" s="187">
        <f t="shared" si="7"/>
        <v>0</v>
      </c>
      <c r="R194" s="181" t="str">
        <f t="shared" si="8"/>
        <v/>
      </c>
      <c r="S194" s="181">
        <f t="shared" si="9"/>
        <v>0</v>
      </c>
      <c r="T194" s="186"/>
      <c r="U194" s="187">
        <f t="shared" ref="U194:V194" si="180">C194/100</f>
        <v>0</v>
      </c>
      <c r="V194" s="187">
        <f t="shared" si="180"/>
        <v>0</v>
      </c>
      <c r="W194" s="187">
        <f t="shared" si="12"/>
        <v>0</v>
      </c>
      <c r="X194" s="189">
        <f t="shared" si="13"/>
        <v>0</v>
      </c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</row>
    <row r="195" ht="27.0" customHeight="1">
      <c r="A195" s="160">
        <v>164.0</v>
      </c>
      <c r="B195" s="191"/>
      <c r="C195" s="191"/>
      <c r="D195" s="191"/>
      <c r="E195" s="191"/>
      <c r="F195" s="192" t="str">
        <f t="shared" si="5"/>
        <v/>
      </c>
      <c r="G195" s="191"/>
      <c r="H195" s="194">
        <f t="shared" si="6"/>
        <v>0</v>
      </c>
      <c r="I195" s="139"/>
      <c r="J195" s="197"/>
      <c r="K195" s="198"/>
      <c r="L195" s="198"/>
      <c r="M195" s="139"/>
      <c r="N195" s="139"/>
      <c r="O195" s="194"/>
      <c r="P195" s="141"/>
      <c r="Q195" s="187">
        <f t="shared" si="7"/>
        <v>0</v>
      </c>
      <c r="R195" s="181" t="str">
        <f t="shared" si="8"/>
        <v/>
      </c>
      <c r="S195" s="181">
        <f t="shared" si="9"/>
        <v>0</v>
      </c>
      <c r="T195" s="186"/>
      <c r="U195" s="187">
        <f t="shared" ref="U195:V195" si="181">C195/100</f>
        <v>0</v>
      </c>
      <c r="V195" s="187">
        <f t="shared" si="181"/>
        <v>0</v>
      </c>
      <c r="W195" s="187">
        <f t="shared" si="12"/>
        <v>0</v>
      </c>
      <c r="X195" s="189">
        <f t="shared" si="13"/>
        <v>0</v>
      </c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</row>
    <row r="196" ht="27.0" customHeight="1">
      <c r="A196" s="160">
        <v>165.0</v>
      </c>
      <c r="B196" s="191"/>
      <c r="C196" s="191"/>
      <c r="D196" s="191"/>
      <c r="E196" s="191"/>
      <c r="F196" s="192" t="str">
        <f t="shared" si="5"/>
        <v/>
      </c>
      <c r="G196" s="191"/>
      <c r="H196" s="194">
        <f t="shared" si="6"/>
        <v>0</v>
      </c>
      <c r="I196" s="139"/>
      <c r="J196" s="197"/>
      <c r="K196" s="198"/>
      <c r="L196" s="198"/>
      <c r="M196" s="139"/>
      <c r="N196" s="139"/>
      <c r="O196" s="194"/>
      <c r="P196" s="141"/>
      <c r="Q196" s="187">
        <f t="shared" si="7"/>
        <v>0</v>
      </c>
      <c r="R196" s="181" t="str">
        <f t="shared" si="8"/>
        <v/>
      </c>
      <c r="S196" s="181">
        <f t="shared" si="9"/>
        <v>0</v>
      </c>
      <c r="T196" s="186"/>
      <c r="U196" s="187">
        <f t="shared" ref="U196:V196" si="182">C196/100</f>
        <v>0</v>
      </c>
      <c r="V196" s="187">
        <f t="shared" si="182"/>
        <v>0</v>
      </c>
      <c r="W196" s="187">
        <f t="shared" si="12"/>
        <v>0</v>
      </c>
      <c r="X196" s="189">
        <f t="shared" si="13"/>
        <v>0</v>
      </c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</row>
    <row r="197" ht="27.0" customHeight="1">
      <c r="A197" s="160">
        <v>166.0</v>
      </c>
      <c r="B197" s="191"/>
      <c r="C197" s="191"/>
      <c r="D197" s="191"/>
      <c r="E197" s="191"/>
      <c r="F197" s="192" t="str">
        <f t="shared" si="5"/>
        <v/>
      </c>
      <c r="G197" s="191"/>
      <c r="H197" s="194">
        <f t="shared" si="6"/>
        <v>0</v>
      </c>
      <c r="I197" s="139"/>
      <c r="J197" s="197"/>
      <c r="K197" s="198"/>
      <c r="L197" s="198"/>
      <c r="M197" s="139"/>
      <c r="N197" s="139"/>
      <c r="O197" s="194"/>
      <c r="P197" s="141"/>
      <c r="Q197" s="187">
        <f t="shared" si="7"/>
        <v>0</v>
      </c>
      <c r="R197" s="181" t="str">
        <f t="shared" si="8"/>
        <v/>
      </c>
      <c r="S197" s="181">
        <f t="shared" si="9"/>
        <v>0</v>
      </c>
      <c r="T197" s="186"/>
      <c r="U197" s="187">
        <f t="shared" ref="U197:V197" si="183">C197/100</f>
        <v>0</v>
      </c>
      <c r="V197" s="187">
        <f t="shared" si="183"/>
        <v>0</v>
      </c>
      <c r="W197" s="187">
        <f t="shared" si="12"/>
        <v>0</v>
      </c>
      <c r="X197" s="189">
        <f t="shared" si="13"/>
        <v>0</v>
      </c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</row>
    <row r="198" ht="27.0" customHeight="1">
      <c r="A198" s="160">
        <v>167.0</v>
      </c>
      <c r="B198" s="191"/>
      <c r="C198" s="191"/>
      <c r="D198" s="191"/>
      <c r="E198" s="191"/>
      <c r="F198" s="192" t="str">
        <f t="shared" si="5"/>
        <v/>
      </c>
      <c r="G198" s="191"/>
      <c r="H198" s="194">
        <f t="shared" si="6"/>
        <v>0</v>
      </c>
      <c r="I198" s="139"/>
      <c r="J198" s="197"/>
      <c r="K198" s="198"/>
      <c r="L198" s="198"/>
      <c r="M198" s="139"/>
      <c r="N198" s="139"/>
      <c r="O198" s="194"/>
      <c r="P198" s="141"/>
      <c r="Q198" s="187">
        <f t="shared" si="7"/>
        <v>0</v>
      </c>
      <c r="R198" s="181" t="str">
        <f t="shared" si="8"/>
        <v/>
      </c>
      <c r="S198" s="181">
        <f t="shared" si="9"/>
        <v>0</v>
      </c>
      <c r="T198" s="186"/>
      <c r="U198" s="187">
        <f t="shared" ref="U198:V198" si="184">C198/100</f>
        <v>0</v>
      </c>
      <c r="V198" s="187">
        <f t="shared" si="184"/>
        <v>0</v>
      </c>
      <c r="W198" s="187">
        <f t="shared" si="12"/>
        <v>0</v>
      </c>
      <c r="X198" s="189">
        <f t="shared" si="13"/>
        <v>0</v>
      </c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</row>
    <row r="199" ht="27.0" customHeight="1">
      <c r="A199" s="160">
        <v>168.0</v>
      </c>
      <c r="B199" s="191"/>
      <c r="C199" s="191"/>
      <c r="D199" s="191"/>
      <c r="E199" s="191"/>
      <c r="F199" s="192" t="str">
        <f t="shared" si="5"/>
        <v/>
      </c>
      <c r="G199" s="191"/>
      <c r="H199" s="194">
        <f t="shared" si="6"/>
        <v>0</v>
      </c>
      <c r="I199" s="139"/>
      <c r="J199" s="197"/>
      <c r="K199" s="198"/>
      <c r="L199" s="198"/>
      <c r="M199" s="139"/>
      <c r="N199" s="139"/>
      <c r="O199" s="194"/>
      <c r="P199" s="141"/>
      <c r="Q199" s="187">
        <f t="shared" si="7"/>
        <v>0</v>
      </c>
      <c r="R199" s="181" t="str">
        <f t="shared" si="8"/>
        <v/>
      </c>
      <c r="S199" s="181">
        <f t="shared" si="9"/>
        <v>0</v>
      </c>
      <c r="T199" s="186"/>
      <c r="U199" s="187">
        <f t="shared" ref="U199:V199" si="185">C199/100</f>
        <v>0</v>
      </c>
      <c r="V199" s="187">
        <f t="shared" si="185"/>
        <v>0</v>
      </c>
      <c r="W199" s="187">
        <f t="shared" si="12"/>
        <v>0</v>
      </c>
      <c r="X199" s="189">
        <f t="shared" si="13"/>
        <v>0</v>
      </c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</row>
    <row r="200" ht="27.0" customHeight="1">
      <c r="A200" s="160">
        <v>169.0</v>
      </c>
      <c r="B200" s="191"/>
      <c r="C200" s="191"/>
      <c r="D200" s="191"/>
      <c r="E200" s="191"/>
      <c r="F200" s="192" t="str">
        <f t="shared" si="5"/>
        <v/>
      </c>
      <c r="G200" s="191"/>
      <c r="H200" s="194">
        <f t="shared" si="6"/>
        <v>0</v>
      </c>
      <c r="I200" s="139"/>
      <c r="J200" s="197"/>
      <c r="K200" s="198"/>
      <c r="L200" s="198"/>
      <c r="M200" s="139"/>
      <c r="N200" s="139"/>
      <c r="O200" s="194"/>
      <c r="P200" s="141"/>
      <c r="Q200" s="187">
        <f t="shared" si="7"/>
        <v>0</v>
      </c>
      <c r="R200" s="181" t="str">
        <f t="shared" si="8"/>
        <v/>
      </c>
      <c r="S200" s="181">
        <f t="shared" si="9"/>
        <v>0</v>
      </c>
      <c r="T200" s="186"/>
      <c r="U200" s="187">
        <f t="shared" ref="U200:V200" si="186">C200/100</f>
        <v>0</v>
      </c>
      <c r="V200" s="187">
        <f t="shared" si="186"/>
        <v>0</v>
      </c>
      <c r="W200" s="187">
        <f t="shared" si="12"/>
        <v>0</v>
      </c>
      <c r="X200" s="189">
        <f t="shared" si="13"/>
        <v>0</v>
      </c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</row>
    <row r="201" ht="27.0" customHeight="1">
      <c r="A201" s="160">
        <v>170.0</v>
      </c>
      <c r="B201" s="191"/>
      <c r="C201" s="191"/>
      <c r="D201" s="191"/>
      <c r="E201" s="191"/>
      <c r="F201" s="192" t="str">
        <f t="shared" si="5"/>
        <v/>
      </c>
      <c r="G201" s="191"/>
      <c r="H201" s="194">
        <f t="shared" si="6"/>
        <v>0</v>
      </c>
      <c r="I201" s="139"/>
      <c r="J201" s="197"/>
      <c r="K201" s="198"/>
      <c r="L201" s="198"/>
      <c r="M201" s="139"/>
      <c r="N201" s="139"/>
      <c r="O201" s="194"/>
      <c r="P201" s="141"/>
      <c r="Q201" s="187">
        <f t="shared" si="7"/>
        <v>0</v>
      </c>
      <c r="R201" s="181" t="str">
        <f t="shared" si="8"/>
        <v/>
      </c>
      <c r="S201" s="181">
        <f t="shared" si="9"/>
        <v>0</v>
      </c>
      <c r="T201" s="186"/>
      <c r="U201" s="187">
        <f t="shared" ref="U201:V201" si="187">C201/100</f>
        <v>0</v>
      </c>
      <c r="V201" s="187">
        <f t="shared" si="187"/>
        <v>0</v>
      </c>
      <c r="W201" s="187">
        <f t="shared" si="12"/>
        <v>0</v>
      </c>
      <c r="X201" s="189">
        <f t="shared" si="13"/>
        <v>0</v>
      </c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</row>
    <row r="202" ht="27.0" customHeight="1">
      <c r="A202" s="160">
        <v>171.0</v>
      </c>
      <c r="B202" s="191"/>
      <c r="C202" s="191"/>
      <c r="D202" s="191"/>
      <c r="E202" s="191"/>
      <c r="F202" s="192" t="str">
        <f t="shared" si="5"/>
        <v/>
      </c>
      <c r="G202" s="191"/>
      <c r="H202" s="194">
        <f t="shared" si="6"/>
        <v>0</v>
      </c>
      <c r="I202" s="139"/>
      <c r="J202" s="197"/>
      <c r="K202" s="198"/>
      <c r="L202" s="198"/>
      <c r="M202" s="139"/>
      <c r="N202" s="139"/>
      <c r="O202" s="194"/>
      <c r="P202" s="141"/>
      <c r="Q202" s="187">
        <f t="shared" si="7"/>
        <v>0</v>
      </c>
      <c r="R202" s="181" t="str">
        <f t="shared" si="8"/>
        <v/>
      </c>
      <c r="S202" s="181">
        <f t="shared" si="9"/>
        <v>0</v>
      </c>
      <c r="T202" s="186"/>
      <c r="U202" s="187">
        <f t="shared" ref="U202:V202" si="188">C202/100</f>
        <v>0</v>
      </c>
      <c r="V202" s="187">
        <f t="shared" si="188"/>
        <v>0</v>
      </c>
      <c r="W202" s="187">
        <f t="shared" si="12"/>
        <v>0</v>
      </c>
      <c r="X202" s="189">
        <f t="shared" si="13"/>
        <v>0</v>
      </c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</row>
    <row r="203" ht="27.0" customHeight="1">
      <c r="A203" s="160">
        <v>172.0</v>
      </c>
      <c r="B203" s="191"/>
      <c r="C203" s="191"/>
      <c r="D203" s="191"/>
      <c r="E203" s="191"/>
      <c r="F203" s="192" t="str">
        <f t="shared" si="5"/>
        <v/>
      </c>
      <c r="G203" s="191"/>
      <c r="H203" s="194">
        <f t="shared" si="6"/>
        <v>0</v>
      </c>
      <c r="I203" s="139"/>
      <c r="J203" s="197"/>
      <c r="K203" s="198"/>
      <c r="L203" s="198"/>
      <c r="M203" s="139"/>
      <c r="N203" s="139"/>
      <c r="O203" s="194"/>
      <c r="P203" s="141"/>
      <c r="Q203" s="187">
        <f t="shared" si="7"/>
        <v>0</v>
      </c>
      <c r="R203" s="181" t="str">
        <f t="shared" si="8"/>
        <v/>
      </c>
      <c r="S203" s="181">
        <f t="shared" si="9"/>
        <v>0</v>
      </c>
      <c r="T203" s="186"/>
      <c r="U203" s="187">
        <f t="shared" ref="U203:V203" si="189">C203/100</f>
        <v>0</v>
      </c>
      <c r="V203" s="187">
        <f t="shared" si="189"/>
        <v>0</v>
      </c>
      <c r="W203" s="187">
        <f t="shared" si="12"/>
        <v>0</v>
      </c>
      <c r="X203" s="189">
        <f t="shared" si="13"/>
        <v>0</v>
      </c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</row>
    <row r="204" ht="27.0" customHeight="1">
      <c r="A204" s="160">
        <v>173.0</v>
      </c>
      <c r="B204" s="191"/>
      <c r="C204" s="191"/>
      <c r="D204" s="191"/>
      <c r="E204" s="191"/>
      <c r="F204" s="192" t="str">
        <f t="shared" si="5"/>
        <v/>
      </c>
      <c r="G204" s="191"/>
      <c r="H204" s="194">
        <f t="shared" si="6"/>
        <v>0</v>
      </c>
      <c r="I204" s="139"/>
      <c r="J204" s="197"/>
      <c r="K204" s="198"/>
      <c r="L204" s="198"/>
      <c r="M204" s="139"/>
      <c r="N204" s="139"/>
      <c r="O204" s="194"/>
      <c r="P204" s="141"/>
      <c r="Q204" s="187">
        <f t="shared" si="7"/>
        <v>0</v>
      </c>
      <c r="R204" s="181" t="str">
        <f t="shared" si="8"/>
        <v/>
      </c>
      <c r="S204" s="181">
        <f t="shared" si="9"/>
        <v>0</v>
      </c>
      <c r="T204" s="186"/>
      <c r="U204" s="187">
        <f t="shared" ref="U204:V204" si="190">C204/100</f>
        <v>0</v>
      </c>
      <c r="V204" s="187">
        <f t="shared" si="190"/>
        <v>0</v>
      </c>
      <c r="W204" s="187">
        <f t="shared" si="12"/>
        <v>0</v>
      </c>
      <c r="X204" s="189">
        <f t="shared" si="13"/>
        <v>0</v>
      </c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</row>
    <row r="205" ht="27.0" customHeight="1">
      <c r="A205" s="160">
        <v>174.0</v>
      </c>
      <c r="B205" s="191"/>
      <c r="C205" s="191"/>
      <c r="D205" s="191"/>
      <c r="E205" s="191"/>
      <c r="F205" s="192" t="str">
        <f t="shared" si="5"/>
        <v/>
      </c>
      <c r="G205" s="191"/>
      <c r="H205" s="194">
        <f t="shared" si="6"/>
        <v>0</v>
      </c>
      <c r="I205" s="139"/>
      <c r="J205" s="197"/>
      <c r="K205" s="198"/>
      <c r="L205" s="198"/>
      <c r="M205" s="139"/>
      <c r="N205" s="139"/>
      <c r="O205" s="194"/>
      <c r="P205" s="141"/>
      <c r="Q205" s="187">
        <f t="shared" si="7"/>
        <v>0</v>
      </c>
      <c r="R205" s="181" t="str">
        <f t="shared" si="8"/>
        <v/>
      </c>
      <c r="S205" s="181">
        <f t="shared" si="9"/>
        <v>0</v>
      </c>
      <c r="T205" s="186"/>
      <c r="U205" s="187">
        <f t="shared" ref="U205:V205" si="191">C205/100</f>
        <v>0</v>
      </c>
      <c r="V205" s="187">
        <f t="shared" si="191"/>
        <v>0</v>
      </c>
      <c r="W205" s="187">
        <f t="shared" si="12"/>
        <v>0</v>
      </c>
      <c r="X205" s="189">
        <f t="shared" si="13"/>
        <v>0</v>
      </c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</row>
    <row r="206" ht="27.0" customHeight="1">
      <c r="A206" s="160">
        <v>175.0</v>
      </c>
      <c r="B206" s="191"/>
      <c r="C206" s="191"/>
      <c r="D206" s="191"/>
      <c r="E206" s="191"/>
      <c r="F206" s="192" t="str">
        <f t="shared" si="5"/>
        <v/>
      </c>
      <c r="G206" s="191"/>
      <c r="H206" s="194">
        <f t="shared" si="6"/>
        <v>0</v>
      </c>
      <c r="I206" s="139"/>
      <c r="J206" s="197"/>
      <c r="K206" s="198"/>
      <c r="L206" s="198"/>
      <c r="M206" s="139"/>
      <c r="N206" s="139"/>
      <c r="O206" s="194"/>
      <c r="P206" s="141"/>
      <c r="Q206" s="187">
        <f t="shared" si="7"/>
        <v>0</v>
      </c>
      <c r="R206" s="181" t="str">
        <f t="shared" si="8"/>
        <v/>
      </c>
      <c r="S206" s="181">
        <f t="shared" si="9"/>
        <v>0</v>
      </c>
      <c r="T206" s="186"/>
      <c r="U206" s="187">
        <f t="shared" ref="U206:V206" si="192">C206/100</f>
        <v>0</v>
      </c>
      <c r="V206" s="187">
        <f t="shared" si="192"/>
        <v>0</v>
      </c>
      <c r="W206" s="187">
        <f t="shared" si="12"/>
        <v>0</v>
      </c>
      <c r="X206" s="189">
        <f t="shared" si="13"/>
        <v>0</v>
      </c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</row>
    <row r="207" ht="27.0" customHeight="1">
      <c r="A207" s="160">
        <v>176.0</v>
      </c>
      <c r="B207" s="191"/>
      <c r="C207" s="191"/>
      <c r="D207" s="191"/>
      <c r="E207" s="191"/>
      <c r="F207" s="192" t="str">
        <f t="shared" si="5"/>
        <v/>
      </c>
      <c r="G207" s="191"/>
      <c r="H207" s="194">
        <f t="shared" si="6"/>
        <v>0</v>
      </c>
      <c r="I207" s="139"/>
      <c r="J207" s="197"/>
      <c r="K207" s="198"/>
      <c r="L207" s="198"/>
      <c r="M207" s="139"/>
      <c r="N207" s="139"/>
      <c r="O207" s="194"/>
      <c r="P207" s="141"/>
      <c r="Q207" s="187">
        <f t="shared" si="7"/>
        <v>0</v>
      </c>
      <c r="R207" s="181" t="str">
        <f t="shared" si="8"/>
        <v/>
      </c>
      <c r="S207" s="181">
        <f t="shared" si="9"/>
        <v>0</v>
      </c>
      <c r="T207" s="186"/>
      <c r="U207" s="187">
        <f t="shared" ref="U207:V207" si="193">C207/100</f>
        <v>0</v>
      </c>
      <c r="V207" s="187">
        <f t="shared" si="193"/>
        <v>0</v>
      </c>
      <c r="W207" s="187">
        <f t="shared" si="12"/>
        <v>0</v>
      </c>
      <c r="X207" s="189">
        <f t="shared" si="13"/>
        <v>0</v>
      </c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</row>
    <row r="208" ht="27.0" customHeight="1">
      <c r="A208" s="160">
        <v>177.0</v>
      </c>
      <c r="B208" s="191"/>
      <c r="C208" s="191"/>
      <c r="D208" s="191"/>
      <c r="E208" s="191"/>
      <c r="F208" s="192" t="str">
        <f t="shared" si="5"/>
        <v/>
      </c>
      <c r="G208" s="191"/>
      <c r="H208" s="194">
        <f t="shared" si="6"/>
        <v>0</v>
      </c>
      <c r="I208" s="139"/>
      <c r="J208" s="197"/>
      <c r="K208" s="198"/>
      <c r="L208" s="198"/>
      <c r="M208" s="139"/>
      <c r="N208" s="139"/>
      <c r="O208" s="194"/>
      <c r="P208" s="141"/>
      <c r="Q208" s="187">
        <f t="shared" si="7"/>
        <v>0</v>
      </c>
      <c r="R208" s="181" t="str">
        <f t="shared" si="8"/>
        <v/>
      </c>
      <c r="S208" s="181">
        <f t="shared" si="9"/>
        <v>0</v>
      </c>
      <c r="T208" s="186"/>
      <c r="U208" s="187">
        <f t="shared" ref="U208:V208" si="194">C208/100</f>
        <v>0</v>
      </c>
      <c r="V208" s="187">
        <f t="shared" si="194"/>
        <v>0</v>
      </c>
      <c r="W208" s="187">
        <f t="shared" si="12"/>
        <v>0</v>
      </c>
      <c r="X208" s="189">
        <f t="shared" si="13"/>
        <v>0</v>
      </c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</row>
    <row r="209" ht="27.0" customHeight="1">
      <c r="A209" s="160">
        <v>178.0</v>
      </c>
      <c r="B209" s="191"/>
      <c r="C209" s="191"/>
      <c r="D209" s="191"/>
      <c r="E209" s="191"/>
      <c r="F209" s="192" t="str">
        <f t="shared" si="5"/>
        <v/>
      </c>
      <c r="G209" s="191"/>
      <c r="H209" s="194">
        <f t="shared" si="6"/>
        <v>0</v>
      </c>
      <c r="I209" s="139"/>
      <c r="J209" s="197"/>
      <c r="K209" s="198"/>
      <c r="L209" s="198"/>
      <c r="M209" s="139"/>
      <c r="N209" s="139"/>
      <c r="O209" s="194"/>
      <c r="P209" s="141"/>
      <c r="Q209" s="187">
        <f t="shared" si="7"/>
        <v>0</v>
      </c>
      <c r="R209" s="181" t="str">
        <f t="shared" si="8"/>
        <v/>
      </c>
      <c r="S209" s="181">
        <f t="shared" si="9"/>
        <v>0</v>
      </c>
      <c r="T209" s="186"/>
      <c r="U209" s="187">
        <f t="shared" ref="U209:V209" si="195">C209/100</f>
        <v>0</v>
      </c>
      <c r="V209" s="187">
        <f t="shared" si="195"/>
        <v>0</v>
      </c>
      <c r="W209" s="187">
        <f t="shared" si="12"/>
        <v>0</v>
      </c>
      <c r="X209" s="189">
        <f t="shared" si="13"/>
        <v>0</v>
      </c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</row>
    <row r="210" ht="27.0" customHeight="1">
      <c r="A210" s="160">
        <v>179.0</v>
      </c>
      <c r="B210" s="191"/>
      <c r="C210" s="191"/>
      <c r="D210" s="191"/>
      <c r="E210" s="191"/>
      <c r="F210" s="192" t="str">
        <f t="shared" si="5"/>
        <v/>
      </c>
      <c r="G210" s="191"/>
      <c r="H210" s="194">
        <f t="shared" si="6"/>
        <v>0</v>
      </c>
      <c r="I210" s="139"/>
      <c r="J210" s="197"/>
      <c r="K210" s="198"/>
      <c r="L210" s="198"/>
      <c r="M210" s="139"/>
      <c r="N210" s="139"/>
      <c r="O210" s="194"/>
      <c r="P210" s="141"/>
      <c r="Q210" s="187">
        <f t="shared" si="7"/>
        <v>0</v>
      </c>
      <c r="R210" s="181" t="str">
        <f t="shared" si="8"/>
        <v/>
      </c>
      <c r="S210" s="181">
        <f t="shared" si="9"/>
        <v>0</v>
      </c>
      <c r="T210" s="186"/>
      <c r="U210" s="187">
        <f t="shared" ref="U210:V210" si="196">C210/100</f>
        <v>0</v>
      </c>
      <c r="V210" s="187">
        <f t="shared" si="196"/>
        <v>0</v>
      </c>
      <c r="W210" s="187">
        <f t="shared" si="12"/>
        <v>0</v>
      </c>
      <c r="X210" s="189">
        <f t="shared" si="13"/>
        <v>0</v>
      </c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</row>
    <row r="211" ht="27.0" customHeight="1">
      <c r="A211" s="160">
        <v>180.0</v>
      </c>
      <c r="B211" s="191"/>
      <c r="C211" s="191"/>
      <c r="D211" s="191"/>
      <c r="E211" s="191"/>
      <c r="F211" s="192" t="str">
        <f t="shared" si="5"/>
        <v/>
      </c>
      <c r="G211" s="191"/>
      <c r="H211" s="194">
        <f t="shared" si="6"/>
        <v>0</v>
      </c>
      <c r="I211" s="139"/>
      <c r="J211" s="197"/>
      <c r="K211" s="198"/>
      <c r="L211" s="198"/>
      <c r="M211" s="139"/>
      <c r="N211" s="139"/>
      <c r="O211" s="194"/>
      <c r="P211" s="141"/>
      <c r="Q211" s="187">
        <f t="shared" si="7"/>
        <v>0</v>
      </c>
      <c r="R211" s="181" t="str">
        <f t="shared" si="8"/>
        <v/>
      </c>
      <c r="S211" s="181">
        <f t="shared" si="9"/>
        <v>0</v>
      </c>
      <c r="T211" s="186"/>
      <c r="U211" s="187">
        <f t="shared" ref="U211:V211" si="197">C211/100</f>
        <v>0</v>
      </c>
      <c r="V211" s="187">
        <f t="shared" si="197"/>
        <v>0</v>
      </c>
      <c r="W211" s="187">
        <f t="shared" si="12"/>
        <v>0</v>
      </c>
      <c r="X211" s="189">
        <f t="shared" si="13"/>
        <v>0</v>
      </c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</row>
    <row r="212" ht="27.0" customHeight="1">
      <c r="A212" s="160">
        <v>181.0</v>
      </c>
      <c r="B212" s="191"/>
      <c r="C212" s="191"/>
      <c r="D212" s="191"/>
      <c r="E212" s="191"/>
      <c r="F212" s="192" t="str">
        <f t="shared" si="5"/>
        <v/>
      </c>
      <c r="G212" s="191"/>
      <c r="H212" s="194">
        <f t="shared" si="6"/>
        <v>0</v>
      </c>
      <c r="I212" s="139"/>
      <c r="J212" s="197"/>
      <c r="K212" s="198"/>
      <c r="L212" s="198"/>
      <c r="M212" s="139"/>
      <c r="N212" s="139"/>
      <c r="O212" s="194"/>
      <c r="P212" s="141"/>
      <c r="Q212" s="187">
        <f t="shared" si="7"/>
        <v>0</v>
      </c>
      <c r="R212" s="181" t="str">
        <f t="shared" si="8"/>
        <v/>
      </c>
      <c r="S212" s="181">
        <f t="shared" si="9"/>
        <v>0</v>
      </c>
      <c r="T212" s="186"/>
      <c r="U212" s="187">
        <f t="shared" ref="U212:V212" si="198">C212/100</f>
        <v>0</v>
      </c>
      <c r="V212" s="187">
        <f t="shared" si="198"/>
        <v>0</v>
      </c>
      <c r="W212" s="187">
        <f t="shared" si="12"/>
        <v>0</v>
      </c>
      <c r="X212" s="189">
        <f t="shared" si="13"/>
        <v>0</v>
      </c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</row>
    <row r="213" ht="27.0" customHeight="1">
      <c r="A213" s="160">
        <v>182.0</v>
      </c>
      <c r="B213" s="191"/>
      <c r="C213" s="191"/>
      <c r="D213" s="191"/>
      <c r="E213" s="191"/>
      <c r="F213" s="192" t="str">
        <f t="shared" si="5"/>
        <v/>
      </c>
      <c r="G213" s="191"/>
      <c r="H213" s="194">
        <f t="shared" si="6"/>
        <v>0</v>
      </c>
      <c r="I213" s="139"/>
      <c r="J213" s="197"/>
      <c r="K213" s="198"/>
      <c r="L213" s="198"/>
      <c r="M213" s="139"/>
      <c r="N213" s="139"/>
      <c r="O213" s="194"/>
      <c r="P213" s="141"/>
      <c r="Q213" s="187">
        <f t="shared" si="7"/>
        <v>0</v>
      </c>
      <c r="R213" s="181" t="str">
        <f t="shared" si="8"/>
        <v/>
      </c>
      <c r="S213" s="181">
        <f t="shared" si="9"/>
        <v>0</v>
      </c>
      <c r="T213" s="186"/>
      <c r="U213" s="187">
        <f t="shared" ref="U213:V213" si="199">C213/100</f>
        <v>0</v>
      </c>
      <c r="V213" s="187">
        <f t="shared" si="199"/>
        <v>0</v>
      </c>
      <c r="W213" s="187">
        <f t="shared" si="12"/>
        <v>0</v>
      </c>
      <c r="X213" s="189">
        <f t="shared" si="13"/>
        <v>0</v>
      </c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</row>
    <row r="214" ht="27.0" customHeight="1">
      <c r="A214" s="160">
        <v>183.0</v>
      </c>
      <c r="B214" s="191"/>
      <c r="C214" s="191"/>
      <c r="D214" s="191"/>
      <c r="E214" s="191"/>
      <c r="F214" s="192" t="str">
        <f t="shared" si="5"/>
        <v/>
      </c>
      <c r="G214" s="191"/>
      <c r="H214" s="194">
        <f t="shared" si="6"/>
        <v>0</v>
      </c>
      <c r="I214" s="139"/>
      <c r="J214" s="197"/>
      <c r="K214" s="198"/>
      <c r="L214" s="198"/>
      <c r="M214" s="139"/>
      <c r="N214" s="139"/>
      <c r="O214" s="194"/>
      <c r="P214" s="141"/>
      <c r="Q214" s="187">
        <f t="shared" si="7"/>
        <v>0</v>
      </c>
      <c r="R214" s="181" t="str">
        <f t="shared" si="8"/>
        <v/>
      </c>
      <c r="S214" s="181">
        <f t="shared" si="9"/>
        <v>0</v>
      </c>
      <c r="T214" s="186"/>
      <c r="U214" s="187">
        <f t="shared" ref="U214:V214" si="200">C214/100</f>
        <v>0</v>
      </c>
      <c r="V214" s="187">
        <f t="shared" si="200"/>
        <v>0</v>
      </c>
      <c r="W214" s="187">
        <f t="shared" si="12"/>
        <v>0</v>
      </c>
      <c r="X214" s="189">
        <f t="shared" si="13"/>
        <v>0</v>
      </c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</row>
    <row r="215" ht="27.0" customHeight="1">
      <c r="A215" s="160">
        <v>184.0</v>
      </c>
      <c r="B215" s="191"/>
      <c r="C215" s="191"/>
      <c r="D215" s="191"/>
      <c r="E215" s="191"/>
      <c r="F215" s="192" t="str">
        <f t="shared" si="5"/>
        <v/>
      </c>
      <c r="G215" s="191"/>
      <c r="H215" s="194">
        <f t="shared" si="6"/>
        <v>0</v>
      </c>
      <c r="I215" s="139"/>
      <c r="J215" s="197"/>
      <c r="K215" s="198"/>
      <c r="L215" s="198"/>
      <c r="M215" s="139"/>
      <c r="N215" s="139"/>
      <c r="O215" s="194"/>
      <c r="P215" s="141"/>
      <c r="Q215" s="187">
        <f t="shared" si="7"/>
        <v>0</v>
      </c>
      <c r="R215" s="181" t="str">
        <f t="shared" si="8"/>
        <v/>
      </c>
      <c r="S215" s="181">
        <f t="shared" si="9"/>
        <v>0</v>
      </c>
      <c r="T215" s="186"/>
      <c r="U215" s="187">
        <f t="shared" ref="U215:V215" si="201">C215/100</f>
        <v>0</v>
      </c>
      <c r="V215" s="187">
        <f t="shared" si="201"/>
        <v>0</v>
      </c>
      <c r="W215" s="187">
        <f t="shared" si="12"/>
        <v>0</v>
      </c>
      <c r="X215" s="189">
        <f t="shared" si="13"/>
        <v>0</v>
      </c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</row>
    <row r="216" ht="27.0" customHeight="1">
      <c r="A216" s="160">
        <v>185.0</v>
      </c>
      <c r="B216" s="191"/>
      <c r="C216" s="191"/>
      <c r="D216" s="191"/>
      <c r="E216" s="191"/>
      <c r="F216" s="192" t="str">
        <f t="shared" si="5"/>
        <v/>
      </c>
      <c r="G216" s="191"/>
      <c r="H216" s="194">
        <f t="shared" si="6"/>
        <v>0</v>
      </c>
      <c r="I216" s="139"/>
      <c r="J216" s="197"/>
      <c r="K216" s="198"/>
      <c r="L216" s="198"/>
      <c r="M216" s="139"/>
      <c r="N216" s="139"/>
      <c r="O216" s="194"/>
      <c r="P216" s="141"/>
      <c r="Q216" s="187">
        <f t="shared" si="7"/>
        <v>0</v>
      </c>
      <c r="R216" s="181" t="str">
        <f t="shared" si="8"/>
        <v/>
      </c>
      <c r="S216" s="181">
        <f t="shared" si="9"/>
        <v>0</v>
      </c>
      <c r="T216" s="186"/>
      <c r="U216" s="187">
        <f t="shared" ref="U216:V216" si="202">C216/100</f>
        <v>0</v>
      </c>
      <c r="V216" s="187">
        <f t="shared" si="202"/>
        <v>0</v>
      </c>
      <c r="W216" s="187">
        <f t="shared" si="12"/>
        <v>0</v>
      </c>
      <c r="X216" s="189">
        <f t="shared" si="13"/>
        <v>0</v>
      </c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</row>
    <row r="217" ht="27.0" customHeight="1">
      <c r="A217" s="160">
        <v>186.0</v>
      </c>
      <c r="B217" s="191"/>
      <c r="C217" s="191"/>
      <c r="D217" s="191"/>
      <c r="E217" s="191"/>
      <c r="F217" s="192" t="str">
        <f t="shared" si="5"/>
        <v/>
      </c>
      <c r="G217" s="191"/>
      <c r="H217" s="194">
        <f t="shared" si="6"/>
        <v>0</v>
      </c>
      <c r="I217" s="139"/>
      <c r="J217" s="197"/>
      <c r="K217" s="198"/>
      <c r="L217" s="198"/>
      <c r="M217" s="139"/>
      <c r="N217" s="139"/>
      <c r="O217" s="194"/>
      <c r="P217" s="141"/>
      <c r="Q217" s="187">
        <f t="shared" si="7"/>
        <v>0</v>
      </c>
      <c r="R217" s="181" t="str">
        <f t="shared" si="8"/>
        <v/>
      </c>
      <c r="S217" s="181">
        <f t="shared" si="9"/>
        <v>0</v>
      </c>
      <c r="T217" s="186"/>
      <c r="U217" s="187">
        <f t="shared" ref="U217:V217" si="203">C217/100</f>
        <v>0</v>
      </c>
      <c r="V217" s="187">
        <f t="shared" si="203"/>
        <v>0</v>
      </c>
      <c r="W217" s="187">
        <f t="shared" si="12"/>
        <v>0</v>
      </c>
      <c r="X217" s="189">
        <f t="shared" si="13"/>
        <v>0</v>
      </c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</row>
    <row r="218" ht="27.0" customHeight="1">
      <c r="A218" s="160">
        <v>187.0</v>
      </c>
      <c r="B218" s="191"/>
      <c r="C218" s="191"/>
      <c r="D218" s="191"/>
      <c r="E218" s="191"/>
      <c r="F218" s="192" t="str">
        <f t="shared" si="5"/>
        <v/>
      </c>
      <c r="G218" s="191"/>
      <c r="H218" s="194">
        <f t="shared" si="6"/>
        <v>0</v>
      </c>
      <c r="I218" s="139"/>
      <c r="J218" s="197"/>
      <c r="K218" s="198"/>
      <c r="L218" s="198"/>
      <c r="M218" s="139"/>
      <c r="N218" s="139"/>
      <c r="O218" s="194"/>
      <c r="P218" s="141"/>
      <c r="Q218" s="187">
        <f t="shared" si="7"/>
        <v>0</v>
      </c>
      <c r="R218" s="181" t="str">
        <f t="shared" si="8"/>
        <v/>
      </c>
      <c r="S218" s="181">
        <f t="shared" si="9"/>
        <v>0</v>
      </c>
      <c r="T218" s="186"/>
      <c r="U218" s="187">
        <f t="shared" ref="U218:V218" si="204">C218/100</f>
        <v>0</v>
      </c>
      <c r="V218" s="187">
        <f t="shared" si="204"/>
        <v>0</v>
      </c>
      <c r="W218" s="187">
        <f t="shared" si="12"/>
        <v>0</v>
      </c>
      <c r="X218" s="189">
        <f t="shared" si="13"/>
        <v>0</v>
      </c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</row>
    <row r="219" ht="27.0" customHeight="1">
      <c r="A219" s="160">
        <v>188.0</v>
      </c>
      <c r="B219" s="191"/>
      <c r="C219" s="191"/>
      <c r="D219" s="191"/>
      <c r="E219" s="191"/>
      <c r="F219" s="192" t="str">
        <f t="shared" si="5"/>
        <v/>
      </c>
      <c r="G219" s="191"/>
      <c r="H219" s="194">
        <f t="shared" si="6"/>
        <v>0</v>
      </c>
      <c r="I219" s="139"/>
      <c r="J219" s="197"/>
      <c r="K219" s="198"/>
      <c r="L219" s="198"/>
      <c r="M219" s="139"/>
      <c r="N219" s="139"/>
      <c r="O219" s="194"/>
      <c r="P219" s="141"/>
      <c r="Q219" s="187">
        <f t="shared" si="7"/>
        <v>0</v>
      </c>
      <c r="R219" s="181" t="str">
        <f t="shared" si="8"/>
        <v/>
      </c>
      <c r="S219" s="181">
        <f t="shared" si="9"/>
        <v>0</v>
      </c>
      <c r="T219" s="186"/>
      <c r="U219" s="187">
        <f t="shared" ref="U219:V219" si="205">C219/100</f>
        <v>0</v>
      </c>
      <c r="V219" s="187">
        <f t="shared" si="205"/>
        <v>0</v>
      </c>
      <c r="W219" s="187">
        <f t="shared" si="12"/>
        <v>0</v>
      </c>
      <c r="X219" s="189">
        <f t="shared" si="13"/>
        <v>0</v>
      </c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</row>
    <row r="220" ht="27.0" customHeight="1">
      <c r="A220" s="160">
        <v>189.0</v>
      </c>
      <c r="B220" s="191"/>
      <c r="C220" s="191"/>
      <c r="D220" s="191"/>
      <c r="E220" s="191"/>
      <c r="F220" s="192" t="str">
        <f t="shared" si="5"/>
        <v/>
      </c>
      <c r="G220" s="191"/>
      <c r="H220" s="194">
        <f t="shared" si="6"/>
        <v>0</v>
      </c>
      <c r="I220" s="139"/>
      <c r="J220" s="197"/>
      <c r="K220" s="198"/>
      <c r="L220" s="198"/>
      <c r="M220" s="139"/>
      <c r="N220" s="139"/>
      <c r="O220" s="194"/>
      <c r="P220" s="141"/>
      <c r="Q220" s="187">
        <f t="shared" si="7"/>
        <v>0</v>
      </c>
      <c r="R220" s="181" t="str">
        <f t="shared" si="8"/>
        <v/>
      </c>
      <c r="S220" s="181">
        <f t="shared" si="9"/>
        <v>0</v>
      </c>
      <c r="T220" s="186"/>
      <c r="U220" s="187">
        <f t="shared" ref="U220:V220" si="206">C220/100</f>
        <v>0</v>
      </c>
      <c r="V220" s="187">
        <f t="shared" si="206"/>
        <v>0</v>
      </c>
      <c r="W220" s="187">
        <f t="shared" si="12"/>
        <v>0</v>
      </c>
      <c r="X220" s="189">
        <f t="shared" si="13"/>
        <v>0</v>
      </c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</row>
    <row r="221" ht="27.0" customHeight="1">
      <c r="A221" s="160">
        <v>190.0</v>
      </c>
      <c r="B221" s="191"/>
      <c r="C221" s="191"/>
      <c r="D221" s="191"/>
      <c r="E221" s="191"/>
      <c r="F221" s="192" t="str">
        <f t="shared" si="5"/>
        <v/>
      </c>
      <c r="G221" s="191"/>
      <c r="H221" s="194">
        <f t="shared" si="6"/>
        <v>0</v>
      </c>
      <c r="I221" s="139"/>
      <c r="J221" s="197"/>
      <c r="K221" s="198"/>
      <c r="L221" s="198"/>
      <c r="M221" s="139"/>
      <c r="N221" s="139"/>
      <c r="O221" s="194"/>
      <c r="P221" s="141"/>
      <c r="Q221" s="187">
        <f t="shared" si="7"/>
        <v>0</v>
      </c>
      <c r="R221" s="181" t="str">
        <f t="shared" si="8"/>
        <v/>
      </c>
      <c r="S221" s="181">
        <f t="shared" si="9"/>
        <v>0</v>
      </c>
      <c r="T221" s="186"/>
      <c r="U221" s="187">
        <f t="shared" ref="U221:V221" si="207">C221/100</f>
        <v>0</v>
      </c>
      <c r="V221" s="187">
        <f t="shared" si="207"/>
        <v>0</v>
      </c>
      <c r="W221" s="187">
        <f t="shared" si="12"/>
        <v>0</v>
      </c>
      <c r="X221" s="189">
        <f t="shared" si="13"/>
        <v>0</v>
      </c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</row>
    <row r="222" ht="27.0" customHeight="1">
      <c r="A222" s="160">
        <v>191.0</v>
      </c>
      <c r="B222" s="191"/>
      <c r="C222" s="191"/>
      <c r="D222" s="191"/>
      <c r="E222" s="191"/>
      <c r="F222" s="192" t="str">
        <f t="shared" si="5"/>
        <v/>
      </c>
      <c r="G222" s="191"/>
      <c r="H222" s="194">
        <f t="shared" si="6"/>
        <v>0</v>
      </c>
      <c r="I222" s="139"/>
      <c r="J222" s="197"/>
      <c r="K222" s="198"/>
      <c r="L222" s="198"/>
      <c r="M222" s="139"/>
      <c r="N222" s="139"/>
      <c r="O222" s="194"/>
      <c r="P222" s="141"/>
      <c r="Q222" s="187">
        <f t="shared" si="7"/>
        <v>0</v>
      </c>
      <c r="R222" s="181" t="str">
        <f t="shared" si="8"/>
        <v/>
      </c>
      <c r="S222" s="181">
        <f t="shared" si="9"/>
        <v>0</v>
      </c>
      <c r="T222" s="186"/>
      <c r="U222" s="187">
        <f t="shared" ref="U222:V222" si="208">C222/100</f>
        <v>0</v>
      </c>
      <c r="V222" s="187">
        <f t="shared" si="208"/>
        <v>0</v>
      </c>
      <c r="W222" s="187">
        <f t="shared" si="12"/>
        <v>0</v>
      </c>
      <c r="X222" s="189">
        <f t="shared" si="13"/>
        <v>0</v>
      </c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</row>
    <row r="223" ht="27.0" customHeight="1">
      <c r="A223" s="160">
        <v>192.0</v>
      </c>
      <c r="B223" s="191"/>
      <c r="C223" s="191"/>
      <c r="D223" s="191"/>
      <c r="E223" s="191"/>
      <c r="F223" s="192" t="str">
        <f t="shared" si="5"/>
        <v/>
      </c>
      <c r="G223" s="191"/>
      <c r="H223" s="194">
        <f t="shared" si="6"/>
        <v>0</v>
      </c>
      <c r="I223" s="139"/>
      <c r="J223" s="197"/>
      <c r="K223" s="198"/>
      <c r="L223" s="198"/>
      <c r="M223" s="139"/>
      <c r="N223" s="139"/>
      <c r="O223" s="194"/>
      <c r="P223" s="141"/>
      <c r="Q223" s="187">
        <f t="shared" si="7"/>
        <v>0</v>
      </c>
      <c r="R223" s="181" t="str">
        <f t="shared" si="8"/>
        <v/>
      </c>
      <c r="S223" s="181">
        <f t="shared" si="9"/>
        <v>0</v>
      </c>
      <c r="T223" s="186"/>
      <c r="U223" s="187">
        <f t="shared" ref="U223:V223" si="209">C223/100</f>
        <v>0</v>
      </c>
      <c r="V223" s="187">
        <f t="shared" si="209"/>
        <v>0</v>
      </c>
      <c r="W223" s="187">
        <f t="shared" si="12"/>
        <v>0</v>
      </c>
      <c r="X223" s="189">
        <f t="shared" si="13"/>
        <v>0</v>
      </c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</row>
    <row r="224" ht="27.0" customHeight="1">
      <c r="A224" s="160">
        <v>193.0</v>
      </c>
      <c r="B224" s="191"/>
      <c r="C224" s="191"/>
      <c r="D224" s="191"/>
      <c r="E224" s="191"/>
      <c r="F224" s="192" t="str">
        <f t="shared" si="5"/>
        <v/>
      </c>
      <c r="G224" s="191"/>
      <c r="H224" s="194">
        <f t="shared" si="6"/>
        <v>0</v>
      </c>
      <c r="I224" s="139"/>
      <c r="J224" s="197"/>
      <c r="K224" s="198"/>
      <c r="L224" s="198"/>
      <c r="M224" s="139"/>
      <c r="N224" s="139"/>
      <c r="O224" s="194"/>
      <c r="P224" s="141"/>
      <c r="Q224" s="187">
        <f t="shared" si="7"/>
        <v>0</v>
      </c>
      <c r="R224" s="181" t="str">
        <f t="shared" si="8"/>
        <v/>
      </c>
      <c r="S224" s="181">
        <f t="shared" si="9"/>
        <v>0</v>
      </c>
      <c r="T224" s="186"/>
      <c r="U224" s="187">
        <f t="shared" ref="U224:V224" si="210">C224/100</f>
        <v>0</v>
      </c>
      <c r="V224" s="187">
        <f t="shared" si="210"/>
        <v>0</v>
      </c>
      <c r="W224" s="187">
        <f t="shared" si="12"/>
        <v>0</v>
      </c>
      <c r="X224" s="189">
        <f t="shared" si="13"/>
        <v>0</v>
      </c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</row>
    <row r="225" ht="27.0" customHeight="1">
      <c r="A225" s="160">
        <v>194.0</v>
      </c>
      <c r="B225" s="191"/>
      <c r="C225" s="191"/>
      <c r="D225" s="191"/>
      <c r="E225" s="191"/>
      <c r="F225" s="192" t="str">
        <f t="shared" si="5"/>
        <v/>
      </c>
      <c r="G225" s="191"/>
      <c r="H225" s="194">
        <f t="shared" si="6"/>
        <v>0</v>
      </c>
      <c r="I225" s="139"/>
      <c r="J225" s="197"/>
      <c r="K225" s="198"/>
      <c r="L225" s="198"/>
      <c r="M225" s="139"/>
      <c r="N225" s="139"/>
      <c r="O225" s="194"/>
      <c r="P225" s="141"/>
      <c r="Q225" s="187">
        <f t="shared" si="7"/>
        <v>0</v>
      </c>
      <c r="R225" s="181" t="str">
        <f t="shared" si="8"/>
        <v/>
      </c>
      <c r="S225" s="181">
        <f t="shared" si="9"/>
        <v>0</v>
      </c>
      <c r="T225" s="186"/>
      <c r="U225" s="187">
        <f t="shared" ref="U225:V225" si="211">C225/100</f>
        <v>0</v>
      </c>
      <c r="V225" s="187">
        <f t="shared" si="211"/>
        <v>0</v>
      </c>
      <c r="W225" s="187">
        <f t="shared" si="12"/>
        <v>0</v>
      </c>
      <c r="X225" s="189">
        <f t="shared" si="13"/>
        <v>0</v>
      </c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</row>
    <row r="226" ht="27.0" customHeight="1">
      <c r="A226" s="160">
        <v>195.0</v>
      </c>
      <c r="B226" s="191"/>
      <c r="C226" s="191"/>
      <c r="D226" s="191"/>
      <c r="E226" s="191"/>
      <c r="F226" s="192" t="str">
        <f t="shared" si="5"/>
        <v/>
      </c>
      <c r="G226" s="191"/>
      <c r="H226" s="194">
        <f t="shared" si="6"/>
        <v>0</v>
      </c>
      <c r="I226" s="139"/>
      <c r="J226" s="197"/>
      <c r="K226" s="198"/>
      <c r="L226" s="198"/>
      <c r="M226" s="139"/>
      <c r="N226" s="139"/>
      <c r="O226" s="194"/>
      <c r="P226" s="141"/>
      <c r="Q226" s="187">
        <f t="shared" si="7"/>
        <v>0</v>
      </c>
      <c r="R226" s="181" t="str">
        <f t="shared" si="8"/>
        <v/>
      </c>
      <c r="S226" s="181">
        <f t="shared" si="9"/>
        <v>0</v>
      </c>
      <c r="T226" s="186"/>
      <c r="U226" s="187">
        <f t="shared" ref="U226:V226" si="212">C226/100</f>
        <v>0</v>
      </c>
      <c r="V226" s="187">
        <f t="shared" si="212"/>
        <v>0</v>
      </c>
      <c r="W226" s="187">
        <f t="shared" si="12"/>
        <v>0</v>
      </c>
      <c r="X226" s="189">
        <f t="shared" si="13"/>
        <v>0</v>
      </c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</row>
    <row r="227" ht="27.0" customHeight="1">
      <c r="A227" s="160">
        <v>196.0</v>
      </c>
      <c r="B227" s="191"/>
      <c r="C227" s="191"/>
      <c r="D227" s="191"/>
      <c r="E227" s="191"/>
      <c r="F227" s="192" t="str">
        <f t="shared" si="5"/>
        <v/>
      </c>
      <c r="G227" s="191"/>
      <c r="H227" s="194">
        <f t="shared" si="6"/>
        <v>0</v>
      </c>
      <c r="I227" s="139"/>
      <c r="J227" s="197"/>
      <c r="K227" s="198"/>
      <c r="L227" s="198"/>
      <c r="M227" s="139"/>
      <c r="N227" s="139"/>
      <c r="O227" s="194"/>
      <c r="P227" s="141"/>
      <c r="Q227" s="187">
        <f t="shared" si="7"/>
        <v>0</v>
      </c>
      <c r="R227" s="181" t="str">
        <f t="shared" si="8"/>
        <v/>
      </c>
      <c r="S227" s="181">
        <f t="shared" si="9"/>
        <v>0</v>
      </c>
      <c r="T227" s="186"/>
      <c r="U227" s="187">
        <f t="shared" ref="U227:V227" si="213">C227/100</f>
        <v>0</v>
      </c>
      <c r="V227" s="187">
        <f t="shared" si="213"/>
        <v>0</v>
      </c>
      <c r="W227" s="187">
        <f t="shared" si="12"/>
        <v>0</v>
      </c>
      <c r="X227" s="189">
        <f t="shared" si="13"/>
        <v>0</v>
      </c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</row>
    <row r="228" ht="27.0" customHeight="1">
      <c r="A228" s="160">
        <v>197.0</v>
      </c>
      <c r="B228" s="191"/>
      <c r="C228" s="191"/>
      <c r="D228" s="191"/>
      <c r="E228" s="191"/>
      <c r="F228" s="192" t="str">
        <f t="shared" si="5"/>
        <v/>
      </c>
      <c r="G228" s="191"/>
      <c r="H228" s="194">
        <f t="shared" si="6"/>
        <v>0</v>
      </c>
      <c r="I228" s="139"/>
      <c r="J228" s="197"/>
      <c r="K228" s="198"/>
      <c r="L228" s="198"/>
      <c r="M228" s="139"/>
      <c r="N228" s="139"/>
      <c r="O228" s="194"/>
      <c r="P228" s="141"/>
      <c r="Q228" s="187">
        <f t="shared" si="7"/>
        <v>0</v>
      </c>
      <c r="R228" s="181" t="str">
        <f t="shared" si="8"/>
        <v/>
      </c>
      <c r="S228" s="181">
        <f t="shared" si="9"/>
        <v>0</v>
      </c>
      <c r="T228" s="186"/>
      <c r="U228" s="187">
        <f t="shared" ref="U228:V228" si="214">C228/100</f>
        <v>0</v>
      </c>
      <c r="V228" s="187">
        <f t="shared" si="214"/>
        <v>0</v>
      </c>
      <c r="W228" s="187">
        <f t="shared" si="12"/>
        <v>0</v>
      </c>
      <c r="X228" s="189">
        <f t="shared" si="13"/>
        <v>0</v>
      </c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</row>
    <row r="229" ht="27.0" customHeight="1">
      <c r="A229" s="160">
        <v>198.0</v>
      </c>
      <c r="B229" s="191"/>
      <c r="C229" s="191"/>
      <c r="D229" s="191"/>
      <c r="E229" s="191"/>
      <c r="F229" s="192" t="str">
        <f t="shared" si="5"/>
        <v/>
      </c>
      <c r="G229" s="191"/>
      <c r="H229" s="194">
        <f t="shared" si="6"/>
        <v>0</v>
      </c>
      <c r="I229" s="139"/>
      <c r="J229" s="197"/>
      <c r="K229" s="198"/>
      <c r="L229" s="198"/>
      <c r="M229" s="139"/>
      <c r="N229" s="139"/>
      <c r="O229" s="194"/>
      <c r="P229" s="141"/>
      <c r="Q229" s="187">
        <f t="shared" si="7"/>
        <v>0</v>
      </c>
      <c r="R229" s="181" t="str">
        <f t="shared" si="8"/>
        <v/>
      </c>
      <c r="S229" s="181">
        <f t="shared" si="9"/>
        <v>0</v>
      </c>
      <c r="T229" s="186"/>
      <c r="U229" s="187">
        <f t="shared" ref="U229:V229" si="215">C229/100</f>
        <v>0</v>
      </c>
      <c r="V229" s="187">
        <f t="shared" si="215"/>
        <v>0</v>
      </c>
      <c r="W229" s="187">
        <f t="shared" si="12"/>
        <v>0</v>
      </c>
      <c r="X229" s="189">
        <f t="shared" si="13"/>
        <v>0</v>
      </c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</row>
    <row r="230" ht="27.0" customHeight="1">
      <c r="A230" s="160">
        <v>199.0</v>
      </c>
      <c r="B230" s="191"/>
      <c r="C230" s="191"/>
      <c r="D230" s="191"/>
      <c r="E230" s="191"/>
      <c r="F230" s="192" t="str">
        <f t="shared" si="5"/>
        <v/>
      </c>
      <c r="G230" s="191"/>
      <c r="H230" s="194">
        <f t="shared" si="6"/>
        <v>0</v>
      </c>
      <c r="I230" s="139"/>
      <c r="J230" s="197"/>
      <c r="K230" s="198"/>
      <c r="L230" s="198"/>
      <c r="M230" s="139"/>
      <c r="N230" s="139"/>
      <c r="O230" s="194"/>
      <c r="P230" s="141"/>
      <c r="Q230" s="187">
        <f t="shared" si="7"/>
        <v>0</v>
      </c>
      <c r="R230" s="181" t="str">
        <f t="shared" si="8"/>
        <v/>
      </c>
      <c r="S230" s="181">
        <f t="shared" si="9"/>
        <v>0</v>
      </c>
      <c r="T230" s="186"/>
      <c r="U230" s="187">
        <f t="shared" ref="U230:V230" si="216">C230/100</f>
        <v>0</v>
      </c>
      <c r="V230" s="187">
        <f t="shared" si="216"/>
        <v>0</v>
      </c>
      <c r="W230" s="187">
        <f t="shared" si="12"/>
        <v>0</v>
      </c>
      <c r="X230" s="189">
        <f t="shared" si="13"/>
        <v>0</v>
      </c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</row>
    <row r="231" ht="27.0" customHeight="1">
      <c r="A231" s="160">
        <v>200.0</v>
      </c>
      <c r="B231" s="191"/>
      <c r="C231" s="191"/>
      <c r="D231" s="191"/>
      <c r="E231" s="191"/>
      <c r="F231" s="192" t="str">
        <f t="shared" si="5"/>
        <v/>
      </c>
      <c r="G231" s="191"/>
      <c r="H231" s="194">
        <f t="shared" si="6"/>
        <v>0</v>
      </c>
      <c r="I231" s="139"/>
      <c r="J231" s="197"/>
      <c r="K231" s="198"/>
      <c r="L231" s="198"/>
      <c r="M231" s="139"/>
      <c r="N231" s="139"/>
      <c r="O231" s="194"/>
      <c r="P231" s="141"/>
      <c r="Q231" s="187">
        <f t="shared" si="7"/>
        <v>0</v>
      </c>
      <c r="R231" s="181" t="str">
        <f t="shared" si="8"/>
        <v/>
      </c>
      <c r="S231" s="181">
        <f t="shared" si="9"/>
        <v>0</v>
      </c>
      <c r="T231" s="186"/>
      <c r="U231" s="187">
        <f t="shared" ref="U231:V231" si="217">C231/100</f>
        <v>0</v>
      </c>
      <c r="V231" s="187">
        <f t="shared" si="217"/>
        <v>0</v>
      </c>
      <c r="W231" s="187">
        <f t="shared" si="12"/>
        <v>0</v>
      </c>
      <c r="X231" s="189">
        <f t="shared" si="13"/>
        <v>0</v>
      </c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</row>
    <row r="232" ht="27.0" customHeight="1">
      <c r="A232" s="160">
        <v>201.0</v>
      </c>
      <c r="B232" s="191"/>
      <c r="C232" s="191"/>
      <c r="D232" s="191"/>
      <c r="E232" s="191"/>
      <c r="F232" s="192" t="str">
        <f t="shared" si="5"/>
        <v/>
      </c>
      <c r="G232" s="191"/>
      <c r="H232" s="194">
        <f t="shared" si="6"/>
        <v>0</v>
      </c>
      <c r="I232" s="139"/>
      <c r="J232" s="197"/>
      <c r="K232" s="198"/>
      <c r="L232" s="198"/>
      <c r="M232" s="139"/>
      <c r="N232" s="139"/>
      <c r="O232" s="194"/>
      <c r="P232" s="141"/>
      <c r="Q232" s="187">
        <f t="shared" si="7"/>
        <v>0</v>
      </c>
      <c r="R232" s="181" t="str">
        <f t="shared" si="8"/>
        <v/>
      </c>
      <c r="S232" s="181">
        <f t="shared" si="9"/>
        <v>0</v>
      </c>
      <c r="T232" s="186"/>
      <c r="U232" s="187">
        <f t="shared" ref="U232:V232" si="218">C232/100</f>
        <v>0</v>
      </c>
      <c r="V232" s="187">
        <f t="shared" si="218"/>
        <v>0</v>
      </c>
      <c r="W232" s="187">
        <f t="shared" si="12"/>
        <v>0</v>
      </c>
      <c r="X232" s="189">
        <f t="shared" si="13"/>
        <v>0</v>
      </c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</row>
    <row r="233" ht="27.0" customHeight="1">
      <c r="A233" s="160">
        <v>202.0</v>
      </c>
      <c r="B233" s="191"/>
      <c r="C233" s="191"/>
      <c r="D233" s="191"/>
      <c r="E233" s="191"/>
      <c r="F233" s="192" t="str">
        <f t="shared" si="5"/>
        <v/>
      </c>
      <c r="G233" s="191"/>
      <c r="H233" s="194">
        <f t="shared" si="6"/>
        <v>0</v>
      </c>
      <c r="I233" s="139"/>
      <c r="J233" s="197"/>
      <c r="K233" s="198"/>
      <c r="L233" s="198"/>
      <c r="M233" s="139"/>
      <c r="N233" s="139"/>
      <c r="O233" s="194"/>
      <c r="P233" s="141"/>
      <c r="Q233" s="187">
        <f t="shared" si="7"/>
        <v>0</v>
      </c>
      <c r="R233" s="181" t="str">
        <f t="shared" si="8"/>
        <v/>
      </c>
      <c r="S233" s="181">
        <f t="shared" si="9"/>
        <v>0</v>
      </c>
      <c r="T233" s="186"/>
      <c r="U233" s="187">
        <f t="shared" ref="U233:V233" si="219">C233/100</f>
        <v>0</v>
      </c>
      <c r="V233" s="187">
        <f t="shared" si="219"/>
        <v>0</v>
      </c>
      <c r="W233" s="187">
        <f t="shared" si="12"/>
        <v>0</v>
      </c>
      <c r="X233" s="189">
        <f t="shared" si="13"/>
        <v>0</v>
      </c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</row>
    <row r="234" ht="27.0" customHeight="1">
      <c r="A234" s="160">
        <v>203.0</v>
      </c>
      <c r="B234" s="191"/>
      <c r="C234" s="191"/>
      <c r="D234" s="191"/>
      <c r="E234" s="191"/>
      <c r="F234" s="192" t="str">
        <f t="shared" si="5"/>
        <v/>
      </c>
      <c r="G234" s="191"/>
      <c r="H234" s="194">
        <f t="shared" si="6"/>
        <v>0</v>
      </c>
      <c r="I234" s="139"/>
      <c r="J234" s="197"/>
      <c r="K234" s="198"/>
      <c r="L234" s="198"/>
      <c r="M234" s="139"/>
      <c r="N234" s="139"/>
      <c r="O234" s="194"/>
      <c r="P234" s="141"/>
      <c r="Q234" s="187">
        <f t="shared" si="7"/>
        <v>0</v>
      </c>
      <c r="R234" s="181" t="str">
        <f t="shared" si="8"/>
        <v/>
      </c>
      <c r="S234" s="181">
        <f t="shared" si="9"/>
        <v>0</v>
      </c>
      <c r="T234" s="186"/>
      <c r="U234" s="187">
        <f t="shared" ref="U234:V234" si="220">C234/100</f>
        <v>0</v>
      </c>
      <c r="V234" s="187">
        <f t="shared" si="220"/>
        <v>0</v>
      </c>
      <c r="W234" s="187">
        <f t="shared" si="12"/>
        <v>0</v>
      </c>
      <c r="X234" s="189">
        <f t="shared" si="13"/>
        <v>0</v>
      </c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</row>
    <row r="235" ht="27.0" customHeight="1">
      <c r="A235" s="160">
        <v>204.0</v>
      </c>
      <c r="B235" s="191"/>
      <c r="C235" s="191"/>
      <c r="D235" s="191"/>
      <c r="E235" s="191"/>
      <c r="F235" s="192" t="str">
        <f t="shared" si="5"/>
        <v/>
      </c>
      <c r="G235" s="191"/>
      <c r="H235" s="194">
        <f t="shared" si="6"/>
        <v>0</v>
      </c>
      <c r="I235" s="139"/>
      <c r="J235" s="197"/>
      <c r="K235" s="198"/>
      <c r="L235" s="198"/>
      <c r="M235" s="139"/>
      <c r="N235" s="139"/>
      <c r="O235" s="194"/>
      <c r="P235" s="141"/>
      <c r="Q235" s="187">
        <f t="shared" si="7"/>
        <v>0</v>
      </c>
      <c r="R235" s="181" t="str">
        <f t="shared" si="8"/>
        <v/>
      </c>
      <c r="S235" s="181">
        <f t="shared" si="9"/>
        <v>0</v>
      </c>
      <c r="T235" s="186"/>
      <c r="U235" s="187">
        <f t="shared" ref="U235:V235" si="221">C235/100</f>
        <v>0</v>
      </c>
      <c r="V235" s="187">
        <f t="shared" si="221"/>
        <v>0</v>
      </c>
      <c r="W235" s="187">
        <f t="shared" si="12"/>
        <v>0</v>
      </c>
      <c r="X235" s="189">
        <f t="shared" si="13"/>
        <v>0</v>
      </c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</row>
    <row r="236" ht="27.0" customHeight="1">
      <c r="A236" s="160">
        <v>205.0</v>
      </c>
      <c r="B236" s="191"/>
      <c r="C236" s="191"/>
      <c r="D236" s="191"/>
      <c r="E236" s="191"/>
      <c r="F236" s="192" t="str">
        <f t="shared" si="5"/>
        <v/>
      </c>
      <c r="G236" s="191"/>
      <c r="H236" s="194">
        <f t="shared" si="6"/>
        <v>0</v>
      </c>
      <c r="I236" s="139"/>
      <c r="J236" s="197"/>
      <c r="K236" s="198"/>
      <c r="L236" s="198"/>
      <c r="M236" s="139"/>
      <c r="N236" s="139"/>
      <c r="O236" s="194"/>
      <c r="P236" s="141"/>
      <c r="Q236" s="187">
        <f t="shared" si="7"/>
        <v>0</v>
      </c>
      <c r="R236" s="181" t="str">
        <f t="shared" si="8"/>
        <v/>
      </c>
      <c r="S236" s="181">
        <f t="shared" si="9"/>
        <v>0</v>
      </c>
      <c r="T236" s="186"/>
      <c r="U236" s="187">
        <f t="shared" ref="U236:V236" si="222">C236/100</f>
        <v>0</v>
      </c>
      <c r="V236" s="187">
        <f t="shared" si="222"/>
        <v>0</v>
      </c>
      <c r="W236" s="187">
        <f t="shared" si="12"/>
        <v>0</v>
      </c>
      <c r="X236" s="189">
        <f t="shared" si="13"/>
        <v>0</v>
      </c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</row>
    <row r="237" ht="27.0" customHeight="1">
      <c r="A237" s="160">
        <v>206.0</v>
      </c>
      <c r="B237" s="191"/>
      <c r="C237" s="191"/>
      <c r="D237" s="191"/>
      <c r="E237" s="191"/>
      <c r="F237" s="192" t="str">
        <f t="shared" si="5"/>
        <v/>
      </c>
      <c r="G237" s="191"/>
      <c r="H237" s="194">
        <f t="shared" si="6"/>
        <v>0</v>
      </c>
      <c r="I237" s="139"/>
      <c r="J237" s="197"/>
      <c r="K237" s="198"/>
      <c r="L237" s="198"/>
      <c r="M237" s="139"/>
      <c r="N237" s="139"/>
      <c r="O237" s="194"/>
      <c r="P237" s="141"/>
      <c r="Q237" s="187">
        <f t="shared" si="7"/>
        <v>0</v>
      </c>
      <c r="R237" s="181" t="str">
        <f t="shared" si="8"/>
        <v/>
      </c>
      <c r="S237" s="181">
        <f t="shared" si="9"/>
        <v>0</v>
      </c>
      <c r="T237" s="186"/>
      <c r="U237" s="187">
        <f t="shared" ref="U237:V237" si="223">C237/100</f>
        <v>0</v>
      </c>
      <c r="V237" s="187">
        <f t="shared" si="223"/>
        <v>0</v>
      </c>
      <c r="W237" s="187">
        <f t="shared" si="12"/>
        <v>0</v>
      </c>
      <c r="X237" s="189">
        <f t="shared" si="13"/>
        <v>0</v>
      </c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</row>
    <row r="238" ht="27.0" customHeight="1">
      <c r="A238" s="160">
        <v>207.0</v>
      </c>
      <c r="B238" s="191"/>
      <c r="C238" s="191"/>
      <c r="D238" s="191"/>
      <c r="E238" s="191"/>
      <c r="F238" s="192" t="str">
        <f t="shared" si="5"/>
        <v/>
      </c>
      <c r="G238" s="191"/>
      <c r="H238" s="194">
        <f t="shared" si="6"/>
        <v>0</v>
      </c>
      <c r="I238" s="139"/>
      <c r="J238" s="197"/>
      <c r="K238" s="198"/>
      <c r="L238" s="198"/>
      <c r="M238" s="139"/>
      <c r="N238" s="139"/>
      <c r="O238" s="194"/>
      <c r="P238" s="141"/>
      <c r="Q238" s="187">
        <f t="shared" si="7"/>
        <v>0</v>
      </c>
      <c r="R238" s="181" t="str">
        <f t="shared" si="8"/>
        <v/>
      </c>
      <c r="S238" s="181">
        <f t="shared" si="9"/>
        <v>0</v>
      </c>
      <c r="T238" s="186"/>
      <c r="U238" s="187">
        <f t="shared" ref="U238:V238" si="224">C238/100</f>
        <v>0</v>
      </c>
      <c r="V238" s="187">
        <f t="shared" si="224"/>
        <v>0</v>
      </c>
      <c r="W238" s="187">
        <f t="shared" si="12"/>
        <v>0</v>
      </c>
      <c r="X238" s="189">
        <f t="shared" si="13"/>
        <v>0</v>
      </c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</row>
    <row r="239" ht="27.0" customHeight="1">
      <c r="A239" s="160">
        <v>208.0</v>
      </c>
      <c r="B239" s="191"/>
      <c r="C239" s="191"/>
      <c r="D239" s="191"/>
      <c r="E239" s="191"/>
      <c r="F239" s="192" t="str">
        <f t="shared" si="5"/>
        <v/>
      </c>
      <c r="G239" s="191"/>
      <c r="H239" s="194">
        <f t="shared" si="6"/>
        <v>0</v>
      </c>
      <c r="I239" s="139"/>
      <c r="J239" s="197"/>
      <c r="K239" s="198"/>
      <c r="L239" s="198"/>
      <c r="M239" s="139"/>
      <c r="N239" s="139"/>
      <c r="O239" s="194"/>
      <c r="P239" s="141"/>
      <c r="Q239" s="187">
        <f t="shared" si="7"/>
        <v>0</v>
      </c>
      <c r="R239" s="181" t="str">
        <f t="shared" si="8"/>
        <v/>
      </c>
      <c r="S239" s="181">
        <f t="shared" si="9"/>
        <v>0</v>
      </c>
      <c r="T239" s="186"/>
      <c r="U239" s="187">
        <f t="shared" ref="U239:V239" si="225">C239/100</f>
        <v>0</v>
      </c>
      <c r="V239" s="187">
        <f t="shared" si="225"/>
        <v>0</v>
      </c>
      <c r="W239" s="187">
        <f t="shared" si="12"/>
        <v>0</v>
      </c>
      <c r="X239" s="189">
        <f t="shared" si="13"/>
        <v>0</v>
      </c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</row>
    <row r="240" ht="27.0" customHeight="1">
      <c r="A240" s="160">
        <v>209.0</v>
      </c>
      <c r="B240" s="191"/>
      <c r="C240" s="191"/>
      <c r="D240" s="191"/>
      <c r="E240" s="191"/>
      <c r="F240" s="192" t="str">
        <f t="shared" si="5"/>
        <v/>
      </c>
      <c r="G240" s="191"/>
      <c r="H240" s="194">
        <f t="shared" si="6"/>
        <v>0</v>
      </c>
      <c r="I240" s="139"/>
      <c r="J240" s="197"/>
      <c r="K240" s="198"/>
      <c r="L240" s="198"/>
      <c r="M240" s="139"/>
      <c r="N240" s="139"/>
      <c r="O240" s="194"/>
      <c r="P240" s="141"/>
      <c r="Q240" s="187">
        <f t="shared" si="7"/>
        <v>0</v>
      </c>
      <c r="R240" s="181" t="str">
        <f t="shared" si="8"/>
        <v/>
      </c>
      <c r="S240" s="181">
        <f t="shared" si="9"/>
        <v>0</v>
      </c>
      <c r="T240" s="186"/>
      <c r="U240" s="187">
        <f t="shared" ref="U240:V240" si="226">C240/100</f>
        <v>0</v>
      </c>
      <c r="V240" s="187">
        <f t="shared" si="226"/>
        <v>0</v>
      </c>
      <c r="W240" s="187">
        <f t="shared" si="12"/>
        <v>0</v>
      </c>
      <c r="X240" s="189">
        <f t="shared" si="13"/>
        <v>0</v>
      </c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</row>
    <row r="241" ht="27.0" customHeight="1">
      <c r="A241" s="160">
        <v>210.0</v>
      </c>
      <c r="B241" s="191"/>
      <c r="C241" s="191"/>
      <c r="D241" s="191"/>
      <c r="E241" s="191"/>
      <c r="F241" s="192" t="str">
        <f t="shared" si="5"/>
        <v/>
      </c>
      <c r="G241" s="191"/>
      <c r="H241" s="194">
        <f t="shared" si="6"/>
        <v>0</v>
      </c>
      <c r="I241" s="139"/>
      <c r="J241" s="197"/>
      <c r="K241" s="198"/>
      <c r="L241" s="198"/>
      <c r="M241" s="139"/>
      <c r="N241" s="139"/>
      <c r="O241" s="194"/>
      <c r="P241" s="141"/>
      <c r="Q241" s="187">
        <f t="shared" si="7"/>
        <v>0</v>
      </c>
      <c r="R241" s="181" t="str">
        <f t="shared" si="8"/>
        <v/>
      </c>
      <c r="S241" s="181">
        <f t="shared" si="9"/>
        <v>0</v>
      </c>
      <c r="T241" s="186"/>
      <c r="U241" s="187">
        <f t="shared" ref="U241:V241" si="227">C241/100</f>
        <v>0</v>
      </c>
      <c r="V241" s="187">
        <f t="shared" si="227"/>
        <v>0</v>
      </c>
      <c r="W241" s="187">
        <f t="shared" si="12"/>
        <v>0</v>
      </c>
      <c r="X241" s="189">
        <f t="shared" si="13"/>
        <v>0</v>
      </c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</row>
    <row r="242" ht="27.0" customHeight="1">
      <c r="A242" s="160">
        <v>211.0</v>
      </c>
      <c r="B242" s="191"/>
      <c r="C242" s="191"/>
      <c r="D242" s="191"/>
      <c r="E242" s="191"/>
      <c r="F242" s="192" t="str">
        <f t="shared" si="5"/>
        <v/>
      </c>
      <c r="G242" s="191"/>
      <c r="H242" s="194">
        <f t="shared" si="6"/>
        <v>0</v>
      </c>
      <c r="I242" s="139"/>
      <c r="J242" s="197"/>
      <c r="K242" s="198"/>
      <c r="L242" s="198"/>
      <c r="M242" s="139"/>
      <c r="N242" s="139"/>
      <c r="O242" s="194"/>
      <c r="P242" s="141"/>
      <c r="Q242" s="187">
        <f t="shared" si="7"/>
        <v>0</v>
      </c>
      <c r="R242" s="181" t="str">
        <f t="shared" si="8"/>
        <v/>
      </c>
      <c r="S242" s="181">
        <f t="shared" si="9"/>
        <v>0</v>
      </c>
      <c r="T242" s="186"/>
      <c r="U242" s="187">
        <f t="shared" ref="U242:V242" si="228">C242/100</f>
        <v>0</v>
      </c>
      <c r="V242" s="187">
        <f t="shared" si="228"/>
        <v>0</v>
      </c>
      <c r="W242" s="187">
        <f t="shared" si="12"/>
        <v>0</v>
      </c>
      <c r="X242" s="189">
        <f t="shared" si="13"/>
        <v>0</v>
      </c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</row>
    <row r="243" ht="27.0" customHeight="1">
      <c r="A243" s="160">
        <v>212.0</v>
      </c>
      <c r="B243" s="191"/>
      <c r="C243" s="191"/>
      <c r="D243" s="191"/>
      <c r="E243" s="191"/>
      <c r="F243" s="192" t="str">
        <f t="shared" si="5"/>
        <v/>
      </c>
      <c r="G243" s="191"/>
      <c r="H243" s="194">
        <f t="shared" si="6"/>
        <v>0</v>
      </c>
      <c r="I243" s="139"/>
      <c r="J243" s="197"/>
      <c r="K243" s="198"/>
      <c r="L243" s="198"/>
      <c r="M243" s="139"/>
      <c r="N243" s="139"/>
      <c r="O243" s="194"/>
      <c r="P243" s="141"/>
      <c r="Q243" s="187">
        <f t="shared" si="7"/>
        <v>0</v>
      </c>
      <c r="R243" s="181" t="str">
        <f t="shared" si="8"/>
        <v/>
      </c>
      <c r="S243" s="181">
        <f t="shared" si="9"/>
        <v>0</v>
      </c>
      <c r="T243" s="186"/>
      <c r="U243" s="187">
        <f t="shared" ref="U243:V243" si="229">C243/100</f>
        <v>0</v>
      </c>
      <c r="V243" s="187">
        <f t="shared" si="229"/>
        <v>0</v>
      </c>
      <c r="W243" s="187">
        <f t="shared" si="12"/>
        <v>0</v>
      </c>
      <c r="X243" s="189">
        <f t="shared" si="13"/>
        <v>0</v>
      </c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</row>
    <row r="244" ht="27.0" customHeight="1">
      <c r="A244" s="160">
        <v>213.0</v>
      </c>
      <c r="B244" s="191"/>
      <c r="C244" s="191"/>
      <c r="D244" s="191"/>
      <c r="E244" s="191"/>
      <c r="F244" s="192" t="str">
        <f t="shared" si="5"/>
        <v/>
      </c>
      <c r="G244" s="191"/>
      <c r="H244" s="194">
        <f t="shared" si="6"/>
        <v>0</v>
      </c>
      <c r="I244" s="139"/>
      <c r="J244" s="197"/>
      <c r="K244" s="198"/>
      <c r="L244" s="198"/>
      <c r="M244" s="139"/>
      <c r="N244" s="139"/>
      <c r="O244" s="194"/>
      <c r="P244" s="141"/>
      <c r="Q244" s="187">
        <f t="shared" si="7"/>
        <v>0</v>
      </c>
      <c r="R244" s="181" t="str">
        <f t="shared" si="8"/>
        <v/>
      </c>
      <c r="S244" s="181">
        <f t="shared" si="9"/>
        <v>0</v>
      </c>
      <c r="T244" s="186"/>
      <c r="U244" s="187">
        <f t="shared" ref="U244:V244" si="230">C244/100</f>
        <v>0</v>
      </c>
      <c r="V244" s="187">
        <f t="shared" si="230"/>
        <v>0</v>
      </c>
      <c r="W244" s="187">
        <f t="shared" si="12"/>
        <v>0</v>
      </c>
      <c r="X244" s="189">
        <f t="shared" si="13"/>
        <v>0</v>
      </c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</row>
    <row r="245" ht="27.0" customHeight="1">
      <c r="A245" s="160">
        <v>214.0</v>
      </c>
      <c r="B245" s="191"/>
      <c r="C245" s="191"/>
      <c r="D245" s="191"/>
      <c r="E245" s="191"/>
      <c r="F245" s="192" t="str">
        <f t="shared" si="5"/>
        <v/>
      </c>
      <c r="G245" s="191"/>
      <c r="H245" s="194">
        <f t="shared" si="6"/>
        <v>0</v>
      </c>
      <c r="I245" s="139"/>
      <c r="J245" s="197"/>
      <c r="K245" s="198"/>
      <c r="L245" s="198"/>
      <c r="M245" s="139"/>
      <c r="N245" s="139"/>
      <c r="O245" s="194"/>
      <c r="P245" s="141"/>
      <c r="Q245" s="187">
        <f t="shared" si="7"/>
        <v>0</v>
      </c>
      <c r="R245" s="181" t="str">
        <f t="shared" si="8"/>
        <v/>
      </c>
      <c r="S245" s="181">
        <f t="shared" si="9"/>
        <v>0</v>
      </c>
      <c r="T245" s="186"/>
      <c r="U245" s="187">
        <f t="shared" ref="U245:V245" si="231">C245/100</f>
        <v>0</v>
      </c>
      <c r="V245" s="187">
        <f t="shared" si="231"/>
        <v>0</v>
      </c>
      <c r="W245" s="187">
        <f t="shared" si="12"/>
        <v>0</v>
      </c>
      <c r="X245" s="189">
        <f t="shared" si="13"/>
        <v>0</v>
      </c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</row>
    <row r="246" ht="27.0" customHeight="1">
      <c r="A246" s="160">
        <v>215.0</v>
      </c>
      <c r="B246" s="191"/>
      <c r="C246" s="191"/>
      <c r="D246" s="191"/>
      <c r="E246" s="191"/>
      <c r="F246" s="192" t="str">
        <f t="shared" si="5"/>
        <v/>
      </c>
      <c r="G246" s="191"/>
      <c r="H246" s="194">
        <f t="shared" si="6"/>
        <v>0</v>
      </c>
      <c r="I246" s="139"/>
      <c r="J246" s="197"/>
      <c r="K246" s="198"/>
      <c r="L246" s="198"/>
      <c r="M246" s="139"/>
      <c r="N246" s="139"/>
      <c r="O246" s="194"/>
      <c r="P246" s="141"/>
      <c r="Q246" s="187">
        <f t="shared" si="7"/>
        <v>0</v>
      </c>
      <c r="R246" s="181" t="str">
        <f t="shared" si="8"/>
        <v/>
      </c>
      <c r="S246" s="181">
        <f t="shared" si="9"/>
        <v>0</v>
      </c>
      <c r="T246" s="186"/>
      <c r="U246" s="187">
        <f t="shared" ref="U246:V246" si="232">C246/100</f>
        <v>0</v>
      </c>
      <c r="V246" s="187">
        <f t="shared" si="232"/>
        <v>0</v>
      </c>
      <c r="W246" s="187">
        <f t="shared" si="12"/>
        <v>0</v>
      </c>
      <c r="X246" s="189">
        <f t="shared" si="13"/>
        <v>0</v>
      </c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</row>
    <row r="247" ht="27.0" customHeight="1">
      <c r="A247" s="160">
        <v>216.0</v>
      </c>
      <c r="B247" s="191"/>
      <c r="C247" s="191"/>
      <c r="D247" s="191"/>
      <c r="E247" s="191"/>
      <c r="F247" s="192" t="str">
        <f t="shared" si="5"/>
        <v/>
      </c>
      <c r="G247" s="191"/>
      <c r="H247" s="194">
        <f t="shared" si="6"/>
        <v>0</v>
      </c>
      <c r="I247" s="139"/>
      <c r="J247" s="197"/>
      <c r="K247" s="198"/>
      <c r="L247" s="198"/>
      <c r="M247" s="139"/>
      <c r="N247" s="139"/>
      <c r="O247" s="194"/>
      <c r="P247" s="141"/>
      <c r="Q247" s="187">
        <f t="shared" si="7"/>
        <v>0</v>
      </c>
      <c r="R247" s="181" t="str">
        <f t="shared" si="8"/>
        <v/>
      </c>
      <c r="S247" s="181">
        <f t="shared" si="9"/>
        <v>0</v>
      </c>
      <c r="T247" s="186"/>
      <c r="U247" s="187">
        <f t="shared" ref="U247:V247" si="233">C247/100</f>
        <v>0</v>
      </c>
      <c r="V247" s="187">
        <f t="shared" si="233"/>
        <v>0</v>
      </c>
      <c r="W247" s="187">
        <f t="shared" si="12"/>
        <v>0</v>
      </c>
      <c r="X247" s="189">
        <f t="shared" si="13"/>
        <v>0</v>
      </c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</row>
    <row r="248" ht="27.0" customHeight="1">
      <c r="A248" s="160">
        <v>217.0</v>
      </c>
      <c r="B248" s="191"/>
      <c r="C248" s="191"/>
      <c r="D248" s="191"/>
      <c r="E248" s="191"/>
      <c r="F248" s="192" t="str">
        <f t="shared" si="5"/>
        <v/>
      </c>
      <c r="G248" s="191"/>
      <c r="H248" s="194">
        <f t="shared" si="6"/>
        <v>0</v>
      </c>
      <c r="I248" s="139"/>
      <c r="J248" s="197"/>
      <c r="K248" s="198"/>
      <c r="L248" s="198"/>
      <c r="M248" s="139"/>
      <c r="N248" s="139"/>
      <c r="O248" s="194"/>
      <c r="P248" s="141"/>
      <c r="Q248" s="187">
        <f t="shared" si="7"/>
        <v>0</v>
      </c>
      <c r="R248" s="181" t="str">
        <f t="shared" si="8"/>
        <v/>
      </c>
      <c r="S248" s="181">
        <f t="shared" si="9"/>
        <v>0</v>
      </c>
      <c r="T248" s="186"/>
      <c r="U248" s="187">
        <f t="shared" ref="U248:V248" si="234">C248/100</f>
        <v>0</v>
      </c>
      <c r="V248" s="187">
        <f t="shared" si="234"/>
        <v>0</v>
      </c>
      <c r="W248" s="187">
        <f t="shared" si="12"/>
        <v>0</v>
      </c>
      <c r="X248" s="189">
        <f t="shared" si="13"/>
        <v>0</v>
      </c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</row>
    <row r="249" ht="27.0" customHeight="1">
      <c r="A249" s="160"/>
      <c r="B249" s="176"/>
      <c r="C249" s="176"/>
      <c r="D249" s="176"/>
      <c r="E249" s="176"/>
      <c r="F249" s="179"/>
      <c r="G249" s="160"/>
      <c r="H249" s="203">
        <f>+O314</f>
        <v>0</v>
      </c>
      <c r="I249" s="139"/>
      <c r="J249" s="139"/>
      <c r="K249" s="139"/>
      <c r="L249" s="139"/>
      <c r="M249" s="139"/>
      <c r="N249" s="139"/>
      <c r="O249" s="139"/>
      <c r="P249" s="204"/>
      <c r="Q249" s="187">
        <f t="shared" si="7"/>
        <v>0</v>
      </c>
      <c r="R249" s="181" t="str">
        <f t="shared" si="8"/>
        <v/>
      </c>
      <c r="S249" s="181">
        <f t="shared" si="9"/>
        <v>0</v>
      </c>
      <c r="T249" s="186"/>
      <c r="U249" s="187">
        <f t="shared" ref="U249:V249" si="235">C249/100</f>
        <v>0</v>
      </c>
      <c r="V249" s="187">
        <f t="shared" si="235"/>
        <v>0</v>
      </c>
      <c r="W249" s="187">
        <f t="shared" si="12"/>
        <v>0</v>
      </c>
      <c r="X249" s="189">
        <f t="shared" si="13"/>
        <v>0</v>
      </c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</row>
    <row r="250" ht="27.0" customHeight="1">
      <c r="A250" s="160"/>
      <c r="B250" s="205"/>
      <c r="C250" s="205"/>
      <c r="D250" s="205"/>
      <c r="E250" s="205"/>
      <c r="F250" s="206"/>
      <c r="G250" s="207">
        <f>SUM(G32:G248)</f>
        <v>0</v>
      </c>
      <c r="H250" s="208">
        <f>SUM(H32:H249)</f>
        <v>0</v>
      </c>
      <c r="I250" s="209"/>
      <c r="J250" s="209"/>
      <c r="K250" s="209"/>
      <c r="L250" s="209"/>
      <c r="M250" s="209"/>
      <c r="N250" s="209"/>
      <c r="O250" s="209"/>
      <c r="P250" s="141"/>
      <c r="Q250" s="209">
        <f>+SUM(Q32:Q249)</f>
        <v>0</v>
      </c>
      <c r="R250" s="209">
        <f t="shared" ref="R250:S250" si="236">SUM(R32:R249)</f>
        <v>0</v>
      </c>
      <c r="S250" s="209">
        <f t="shared" si="236"/>
        <v>0</v>
      </c>
      <c r="T250" s="209"/>
      <c r="U250" s="209"/>
      <c r="V250" s="209"/>
      <c r="W250" s="209"/>
      <c r="X250" s="210">
        <f>SUM(X32:X249)</f>
        <v>0</v>
      </c>
      <c r="Y250" s="209"/>
      <c r="Z250" s="209"/>
      <c r="AA250" s="209"/>
      <c r="AB250" s="209"/>
      <c r="AC250" s="209"/>
      <c r="AD250" s="209"/>
      <c r="AE250" s="209"/>
      <c r="AF250" s="209"/>
      <c r="AG250" s="209"/>
      <c r="AH250" s="209"/>
      <c r="AI250" s="209"/>
    </row>
    <row r="251" ht="29.25" customHeight="1">
      <c r="A251" s="139"/>
      <c r="B251" s="139"/>
      <c r="C251" s="139"/>
      <c r="D251" s="139"/>
      <c r="E251" s="139"/>
      <c r="F251" s="140"/>
      <c r="G251" s="139"/>
      <c r="H251" s="139"/>
      <c r="I251" s="139"/>
      <c r="J251" s="139"/>
      <c r="K251" s="139"/>
      <c r="L251" s="139"/>
      <c r="M251" s="139"/>
      <c r="N251" s="139"/>
      <c r="O251" s="139"/>
      <c r="P251" s="141"/>
      <c r="Q251" s="186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</row>
    <row r="252" ht="29.25" customHeight="1">
      <c r="A252" s="139"/>
      <c r="B252" s="139"/>
      <c r="C252" s="139"/>
      <c r="D252" s="139"/>
      <c r="E252" s="139"/>
      <c r="F252" s="140"/>
      <c r="G252" s="139"/>
      <c r="H252" s="139"/>
      <c r="I252" s="139"/>
      <c r="J252" s="139"/>
      <c r="K252" s="139"/>
      <c r="L252" s="139"/>
      <c r="M252" s="139"/>
      <c r="N252" s="139"/>
      <c r="O252" s="139"/>
      <c r="P252" s="204"/>
      <c r="Q252" s="139"/>
      <c r="R252" s="139" t="s">
        <v>48</v>
      </c>
      <c r="S252" s="139" t="s">
        <v>72</v>
      </c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</row>
    <row r="253" ht="29.25" customHeight="1">
      <c r="A253" s="139"/>
      <c r="B253" s="139"/>
      <c r="C253" s="139"/>
      <c r="D253" s="139"/>
      <c r="E253" s="139"/>
      <c r="F253" s="140"/>
      <c r="G253" s="139"/>
      <c r="H253" s="139"/>
      <c r="I253" s="139"/>
      <c r="J253" s="139"/>
      <c r="K253" s="139"/>
      <c r="L253" s="139"/>
      <c r="M253" s="139"/>
      <c r="N253" s="139"/>
      <c r="O253" s="139"/>
      <c r="P253" s="141"/>
      <c r="Q253" s="139"/>
      <c r="R253" s="211"/>
      <c r="S253" s="212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</row>
    <row r="254" ht="29.25" customHeight="1">
      <c r="A254" s="139" t="s">
        <v>32</v>
      </c>
      <c r="B254" s="139"/>
      <c r="C254" s="139"/>
      <c r="D254" s="139" t="s">
        <v>33</v>
      </c>
      <c r="E254" s="139"/>
      <c r="F254" s="140"/>
      <c r="G254" s="139"/>
      <c r="H254" s="139"/>
      <c r="I254" s="139"/>
      <c r="J254" s="139"/>
      <c r="K254" s="139"/>
      <c r="L254" s="139"/>
      <c r="M254" s="139"/>
      <c r="N254" s="139"/>
      <c r="O254" s="139"/>
      <c r="P254" s="141"/>
      <c r="Q254" s="139" t="s">
        <v>34</v>
      </c>
      <c r="R254" s="213">
        <f>+H250</f>
        <v>0</v>
      </c>
      <c r="S254" s="212">
        <f>+S250</f>
        <v>0</v>
      </c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</row>
    <row r="255" ht="29.25" customHeight="1">
      <c r="A255" s="139"/>
      <c r="B255" s="139"/>
      <c r="C255" s="139"/>
      <c r="D255" s="139"/>
      <c r="E255" s="139"/>
      <c r="F255" s="140"/>
      <c r="G255" s="139"/>
      <c r="H255" s="139"/>
      <c r="I255" s="139"/>
      <c r="J255" s="139"/>
      <c r="K255" s="139"/>
      <c r="L255" s="139"/>
      <c r="M255" s="139"/>
      <c r="N255" s="139"/>
      <c r="O255" s="139"/>
      <c r="P255" s="204"/>
      <c r="Q255" s="139"/>
      <c r="R255" s="214">
        <f>+G250</f>
        <v>0</v>
      </c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</row>
    <row r="256" ht="39.0" customHeight="1">
      <c r="A256" s="176"/>
      <c r="B256" s="160" t="s">
        <v>12</v>
      </c>
      <c r="C256" s="177" t="s">
        <v>73</v>
      </c>
      <c r="D256" s="52"/>
      <c r="E256" s="53"/>
      <c r="F256" s="179" t="s">
        <v>14</v>
      </c>
      <c r="G256" s="160" t="s">
        <v>15</v>
      </c>
      <c r="H256" s="160" t="s">
        <v>16</v>
      </c>
      <c r="I256" s="139"/>
      <c r="J256" s="139"/>
      <c r="K256" s="139"/>
      <c r="L256" s="139"/>
      <c r="M256" s="139"/>
      <c r="N256" s="139"/>
      <c r="O256" s="139"/>
      <c r="P256" s="141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</row>
    <row r="257" ht="27.0" customHeight="1">
      <c r="A257" s="154">
        <v>1.0</v>
      </c>
      <c r="B257" s="215"/>
      <c r="C257" s="215"/>
      <c r="D257" s="215"/>
      <c r="E257" s="215"/>
      <c r="F257" s="216"/>
      <c r="G257" s="215"/>
      <c r="H257" s="217"/>
      <c r="I257" s="139"/>
      <c r="J257" s="176">
        <f t="shared" ref="J257:J265" si="237">D257*25.4/1000</f>
        <v>0</v>
      </c>
      <c r="K257" s="160" t="str">
        <f t="shared" ref="K257:K261" si="238">+G257</f>
        <v/>
      </c>
      <c r="L257" s="160">
        <f t="shared" ref="L257:L261" si="239">K257*J257</f>
        <v>0</v>
      </c>
      <c r="M257" s="139"/>
      <c r="N257" s="139"/>
      <c r="O257" s="139"/>
      <c r="P257" s="141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</row>
    <row r="258" ht="27.0" customHeight="1">
      <c r="A258" s="154">
        <v>2.0</v>
      </c>
      <c r="B258" s="215"/>
      <c r="C258" s="215"/>
      <c r="D258" s="215"/>
      <c r="E258" s="215"/>
      <c r="F258" s="216"/>
      <c r="G258" s="215"/>
      <c r="H258" s="217">
        <f t="shared" ref="H258:H270" si="240">+G258*F258</f>
        <v>0</v>
      </c>
      <c r="I258" s="139"/>
      <c r="J258" s="176">
        <f t="shared" si="237"/>
        <v>0</v>
      </c>
      <c r="K258" s="160" t="str">
        <f t="shared" si="238"/>
        <v/>
      </c>
      <c r="L258" s="160">
        <f t="shared" si="239"/>
        <v>0</v>
      </c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</row>
    <row r="259" ht="27.0" customHeight="1">
      <c r="A259" s="154">
        <v>3.0</v>
      </c>
      <c r="B259" s="218"/>
      <c r="C259" s="218"/>
      <c r="D259" s="218"/>
      <c r="E259" s="218"/>
      <c r="F259" s="219"/>
      <c r="G259" s="218"/>
      <c r="H259" s="194">
        <f t="shared" si="240"/>
        <v>0</v>
      </c>
      <c r="I259" s="139"/>
      <c r="J259" s="176">
        <f t="shared" si="237"/>
        <v>0</v>
      </c>
      <c r="K259" s="160" t="str">
        <f t="shared" si="238"/>
        <v/>
      </c>
      <c r="L259" s="160">
        <f t="shared" si="239"/>
        <v>0</v>
      </c>
      <c r="M259" s="139"/>
      <c r="N259" s="139"/>
      <c r="O259" s="139"/>
      <c r="P259" s="139"/>
      <c r="Q259" s="220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</row>
    <row r="260" ht="27.0" customHeight="1">
      <c r="A260" s="154">
        <v>4.0</v>
      </c>
      <c r="B260" s="218"/>
      <c r="C260" s="218"/>
      <c r="D260" s="218"/>
      <c r="E260" s="218"/>
      <c r="F260" s="219"/>
      <c r="G260" s="218"/>
      <c r="H260" s="194">
        <f t="shared" si="240"/>
        <v>0</v>
      </c>
      <c r="I260" s="139"/>
      <c r="J260" s="176">
        <f t="shared" si="237"/>
        <v>0</v>
      </c>
      <c r="K260" s="160" t="str">
        <f t="shared" si="238"/>
        <v/>
      </c>
      <c r="L260" s="160">
        <f t="shared" si="239"/>
        <v>0</v>
      </c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</row>
    <row r="261" ht="27.0" customHeight="1">
      <c r="A261" s="154">
        <v>5.0</v>
      </c>
      <c r="B261" s="218"/>
      <c r="C261" s="218"/>
      <c r="D261" s="218"/>
      <c r="E261" s="218"/>
      <c r="F261" s="219"/>
      <c r="G261" s="218"/>
      <c r="H261" s="194">
        <f t="shared" si="240"/>
        <v>0</v>
      </c>
      <c r="I261" s="139"/>
      <c r="J261" s="176">
        <f t="shared" si="237"/>
        <v>0</v>
      </c>
      <c r="K261" s="160" t="str">
        <f t="shared" si="238"/>
        <v/>
      </c>
      <c r="L261" s="160">
        <f t="shared" si="239"/>
        <v>0</v>
      </c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</row>
    <row r="262" ht="27.0" customHeight="1">
      <c r="A262" s="154">
        <v>6.0</v>
      </c>
      <c r="B262" s="218"/>
      <c r="C262" s="218"/>
      <c r="D262" s="218"/>
      <c r="E262" s="218"/>
      <c r="F262" s="219"/>
      <c r="G262" s="218"/>
      <c r="H262" s="194">
        <f t="shared" si="240"/>
        <v>0</v>
      </c>
      <c r="I262" s="139"/>
      <c r="J262" s="139">
        <f t="shared" si="237"/>
        <v>0</v>
      </c>
      <c r="K262" s="221"/>
      <c r="L262" s="221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</row>
    <row r="263" ht="27.0" customHeight="1">
      <c r="A263" s="154">
        <v>7.0</v>
      </c>
      <c r="B263" s="218"/>
      <c r="C263" s="218"/>
      <c r="D263" s="218"/>
      <c r="E263" s="218"/>
      <c r="F263" s="219"/>
      <c r="G263" s="218"/>
      <c r="H263" s="194">
        <f t="shared" si="240"/>
        <v>0</v>
      </c>
      <c r="I263" s="139"/>
      <c r="J263" s="139">
        <f t="shared" si="237"/>
        <v>0</v>
      </c>
      <c r="K263" s="221"/>
      <c r="L263" s="221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</row>
    <row r="264" ht="27.0" customHeight="1">
      <c r="A264" s="154">
        <v>8.0</v>
      </c>
      <c r="B264" s="218"/>
      <c r="C264" s="218"/>
      <c r="D264" s="218"/>
      <c r="E264" s="218"/>
      <c r="F264" s="219"/>
      <c r="G264" s="218"/>
      <c r="H264" s="194">
        <f t="shared" si="240"/>
        <v>0</v>
      </c>
      <c r="I264" s="139"/>
      <c r="J264" s="139">
        <f t="shared" si="237"/>
        <v>0</v>
      </c>
      <c r="K264" s="221"/>
      <c r="L264" s="221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</row>
    <row r="265" ht="27.0" customHeight="1">
      <c r="A265" s="154">
        <v>9.0</v>
      </c>
      <c r="B265" s="218"/>
      <c r="C265" s="218"/>
      <c r="D265" s="218"/>
      <c r="E265" s="218"/>
      <c r="F265" s="219"/>
      <c r="G265" s="218"/>
      <c r="H265" s="194">
        <f t="shared" si="240"/>
        <v>0</v>
      </c>
      <c r="I265" s="139"/>
      <c r="J265" s="139">
        <f t="shared" si="237"/>
        <v>0</v>
      </c>
      <c r="K265" s="221"/>
      <c r="L265" s="221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</row>
    <row r="266" ht="27.0" customHeight="1">
      <c r="A266" s="154">
        <v>10.0</v>
      </c>
      <c r="B266" s="191"/>
      <c r="C266" s="191"/>
      <c r="D266" s="191"/>
      <c r="E266" s="191"/>
      <c r="F266" s="192"/>
      <c r="G266" s="191"/>
      <c r="H266" s="194">
        <f t="shared" si="240"/>
        <v>0</v>
      </c>
      <c r="I266" s="139"/>
      <c r="J266" s="139"/>
      <c r="K266" s="221"/>
      <c r="L266" s="221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</row>
    <row r="267" ht="27.0" customHeight="1">
      <c r="A267" s="154">
        <v>11.0</v>
      </c>
      <c r="B267" s="191"/>
      <c r="C267" s="191"/>
      <c r="D267" s="191"/>
      <c r="E267" s="191"/>
      <c r="F267" s="192"/>
      <c r="G267" s="191"/>
      <c r="H267" s="194">
        <f t="shared" si="240"/>
        <v>0</v>
      </c>
      <c r="I267" s="139"/>
      <c r="J267" s="139"/>
      <c r="K267" s="221"/>
      <c r="L267" s="221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</row>
    <row r="268" ht="27.0" customHeight="1">
      <c r="A268" s="154">
        <v>12.0</v>
      </c>
      <c r="B268" s="191"/>
      <c r="C268" s="191"/>
      <c r="D268" s="191"/>
      <c r="E268" s="191"/>
      <c r="F268" s="192"/>
      <c r="G268" s="191"/>
      <c r="H268" s="194">
        <f t="shared" si="240"/>
        <v>0</v>
      </c>
      <c r="I268" s="139"/>
      <c r="J268" s="139"/>
      <c r="K268" s="221"/>
      <c r="L268" s="221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</row>
    <row r="269" ht="27.0" customHeight="1">
      <c r="A269" s="154">
        <v>13.0</v>
      </c>
      <c r="B269" s="191"/>
      <c r="C269" s="191"/>
      <c r="D269" s="191"/>
      <c r="E269" s="191"/>
      <c r="F269" s="192"/>
      <c r="G269" s="191"/>
      <c r="H269" s="194">
        <f t="shared" si="240"/>
        <v>0</v>
      </c>
      <c r="I269" s="139"/>
      <c r="J269" s="139"/>
      <c r="K269" s="221"/>
      <c r="L269" s="221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</row>
    <row r="270" ht="27.0" customHeight="1">
      <c r="A270" s="154">
        <v>14.0</v>
      </c>
      <c r="B270" s="191"/>
      <c r="C270" s="191"/>
      <c r="D270" s="191"/>
      <c r="E270" s="191"/>
      <c r="F270" s="192"/>
      <c r="G270" s="191"/>
      <c r="H270" s="194">
        <f t="shared" si="240"/>
        <v>0</v>
      </c>
      <c r="I270" s="139"/>
      <c r="J270" s="139"/>
      <c r="K270" s="221"/>
      <c r="L270" s="221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</row>
    <row r="271" ht="24.75" customHeight="1">
      <c r="A271" s="160"/>
      <c r="B271" s="197"/>
      <c r="C271" s="197"/>
      <c r="D271" s="197"/>
      <c r="E271" s="197"/>
      <c r="F271" s="269" t="s">
        <v>38</v>
      </c>
      <c r="G271" s="197"/>
      <c r="H271" s="226">
        <f>SUM(H257:H270)</f>
        <v>0</v>
      </c>
      <c r="I271" s="139"/>
      <c r="J271" s="139"/>
      <c r="K271" s="139"/>
      <c r="L271" s="139"/>
      <c r="M271" s="139"/>
      <c r="N271" s="139"/>
      <c r="O271" s="139"/>
      <c r="P271" s="141"/>
      <c r="Q271" s="227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</row>
    <row r="272" ht="18.75" customHeight="1">
      <c r="A272" s="174"/>
      <c r="B272" s="144"/>
      <c r="C272" s="144"/>
      <c r="D272" s="144"/>
      <c r="E272" s="144"/>
      <c r="F272" s="145"/>
      <c r="G272" s="144"/>
      <c r="H272" s="175"/>
      <c r="I272" s="139"/>
      <c r="J272" s="139"/>
      <c r="K272" s="139"/>
      <c r="L272" s="139"/>
      <c r="M272" s="139"/>
      <c r="N272" s="139"/>
      <c r="O272" s="139"/>
      <c r="P272" s="141"/>
      <c r="Q272" s="227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</row>
    <row r="273" ht="18.75" customHeight="1">
      <c r="A273" s="139"/>
      <c r="B273" s="139"/>
      <c r="C273" s="139"/>
      <c r="D273" s="139"/>
      <c r="E273" s="139"/>
      <c r="F273" s="140"/>
      <c r="G273" s="139"/>
      <c r="H273" s="139"/>
      <c r="I273" s="139"/>
      <c r="J273" s="139"/>
      <c r="K273" s="139"/>
      <c r="L273" s="139"/>
      <c r="M273" s="139"/>
      <c r="N273" s="139"/>
      <c r="O273" s="139"/>
      <c r="P273" s="141"/>
      <c r="Q273" s="227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</row>
    <row r="274" ht="18.75" customHeight="1">
      <c r="A274" s="139"/>
      <c r="B274" s="139"/>
      <c r="C274" s="139"/>
      <c r="D274" s="139"/>
      <c r="E274" s="139"/>
      <c r="F274" s="140"/>
      <c r="G274" s="139"/>
      <c r="H274" s="139"/>
      <c r="I274" s="139"/>
      <c r="J274" s="139"/>
      <c r="K274" s="139"/>
      <c r="L274" s="139"/>
      <c r="M274" s="139"/>
      <c r="N274" s="139"/>
      <c r="O274" s="139"/>
      <c r="P274" s="227"/>
      <c r="Q274" s="227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</row>
    <row r="275" ht="18.75" customHeight="1">
      <c r="A275" s="139" t="s">
        <v>39</v>
      </c>
      <c r="B275" s="139"/>
      <c r="C275" s="139"/>
      <c r="D275" s="139"/>
      <c r="E275" s="139"/>
      <c r="F275" s="140"/>
      <c r="G275" s="139"/>
      <c r="H275" s="139"/>
      <c r="I275" s="139"/>
      <c r="J275" s="139"/>
      <c r="K275" s="139"/>
      <c r="L275" s="139"/>
      <c r="M275" s="139"/>
      <c r="N275" s="139"/>
      <c r="O275" s="139"/>
      <c r="P275" s="227"/>
      <c r="Q275" s="227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</row>
    <row r="276" ht="18.75" customHeight="1">
      <c r="A276" s="139"/>
      <c r="B276" s="139"/>
      <c r="C276" s="139"/>
      <c r="D276" s="139"/>
      <c r="E276" s="139"/>
      <c r="F276" s="140"/>
      <c r="G276" s="139"/>
      <c r="H276" s="139"/>
      <c r="I276" s="139"/>
      <c r="J276" s="139"/>
      <c r="K276" s="139"/>
      <c r="L276" s="139"/>
      <c r="M276" s="139"/>
      <c r="N276" s="139"/>
      <c r="O276" s="139"/>
      <c r="P276" s="227"/>
      <c r="Q276" s="227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</row>
    <row r="277" ht="42.0" customHeight="1">
      <c r="A277" s="176"/>
      <c r="B277" s="160" t="s">
        <v>12</v>
      </c>
      <c r="C277" s="177" t="s">
        <v>74</v>
      </c>
      <c r="D277" s="52"/>
      <c r="E277" s="53"/>
      <c r="F277" s="179" t="s">
        <v>14</v>
      </c>
      <c r="G277" s="224" t="s">
        <v>15</v>
      </c>
      <c r="H277" s="160" t="s">
        <v>16</v>
      </c>
      <c r="I277" s="139"/>
      <c r="J277" s="139"/>
      <c r="K277" s="139"/>
      <c r="L277" s="139"/>
      <c r="M277" s="139"/>
      <c r="N277" s="139"/>
      <c r="O277" s="139"/>
      <c r="P277" s="227"/>
      <c r="Q277" s="227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</row>
    <row r="278" ht="24.75" customHeight="1">
      <c r="A278" s="160">
        <v>1.0</v>
      </c>
      <c r="B278" s="148"/>
      <c r="C278" s="181"/>
      <c r="D278" s="181"/>
      <c r="E278" s="181"/>
      <c r="F278" s="232"/>
      <c r="G278" s="181"/>
      <c r="H278" s="194">
        <f t="shared" ref="H278:H312" si="241">+G278*F278</f>
        <v>0</v>
      </c>
      <c r="I278" s="176"/>
      <c r="J278" s="176"/>
      <c r="K278" s="176"/>
      <c r="L278" s="176"/>
      <c r="M278" s="176"/>
      <c r="N278" s="176"/>
      <c r="O278" s="284"/>
      <c r="P278" s="227"/>
      <c r="Q278" s="227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76"/>
      <c r="AD278" s="176"/>
      <c r="AE278" s="176"/>
      <c r="AF278" s="176"/>
      <c r="AG278" s="176"/>
      <c r="AH278" s="176"/>
      <c r="AI278" s="176"/>
    </row>
    <row r="279" ht="24.75" customHeight="1">
      <c r="A279" s="160">
        <v>2.0</v>
      </c>
      <c r="B279" s="234"/>
      <c r="C279" s="181"/>
      <c r="D279" s="181"/>
      <c r="E279" s="181"/>
      <c r="F279" s="232"/>
      <c r="G279" s="181"/>
      <c r="H279" s="194">
        <f t="shared" si="241"/>
        <v>0</v>
      </c>
      <c r="I279" s="176"/>
      <c r="J279" s="176"/>
      <c r="K279" s="176"/>
      <c r="L279" s="176"/>
      <c r="M279" s="176"/>
      <c r="N279" s="176"/>
      <c r="O279" s="284"/>
      <c r="P279" s="22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76"/>
      <c r="AD279" s="176"/>
      <c r="AE279" s="176"/>
      <c r="AF279" s="176"/>
      <c r="AG279" s="176"/>
      <c r="AH279" s="176"/>
      <c r="AI279" s="176"/>
    </row>
    <row r="280" ht="24.75" customHeight="1">
      <c r="A280" s="160">
        <v>3.0</v>
      </c>
      <c r="B280" s="234"/>
      <c r="C280" s="181"/>
      <c r="D280" s="181"/>
      <c r="E280" s="181"/>
      <c r="F280" s="232"/>
      <c r="G280" s="181"/>
      <c r="H280" s="194">
        <f t="shared" si="241"/>
        <v>0</v>
      </c>
      <c r="I280" s="176"/>
      <c r="J280" s="176"/>
      <c r="K280" s="176"/>
      <c r="L280" s="176"/>
      <c r="M280" s="176"/>
      <c r="N280" s="176"/>
      <c r="O280" s="284"/>
      <c r="P280" s="22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76"/>
      <c r="AD280" s="176"/>
      <c r="AE280" s="176"/>
      <c r="AF280" s="176"/>
      <c r="AG280" s="176"/>
      <c r="AH280" s="176"/>
      <c r="AI280" s="176"/>
    </row>
    <row r="281" ht="24.75" customHeight="1">
      <c r="A281" s="160">
        <v>4.0</v>
      </c>
      <c r="B281" s="234"/>
      <c r="C281" s="181"/>
      <c r="D281" s="181"/>
      <c r="E281" s="181"/>
      <c r="F281" s="232"/>
      <c r="G281" s="181"/>
      <c r="H281" s="194">
        <f t="shared" si="241"/>
        <v>0</v>
      </c>
      <c r="I281" s="176"/>
      <c r="J281" s="176"/>
      <c r="K281" s="176"/>
      <c r="L281" s="176"/>
      <c r="M281" s="176"/>
      <c r="N281" s="176"/>
      <c r="O281" s="284"/>
      <c r="P281" s="227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76"/>
      <c r="AD281" s="176"/>
      <c r="AE281" s="176"/>
      <c r="AF281" s="176"/>
      <c r="AG281" s="176"/>
      <c r="AH281" s="176"/>
      <c r="AI281" s="176"/>
    </row>
    <row r="282" ht="24.75" customHeight="1">
      <c r="A282" s="160">
        <v>5.0</v>
      </c>
      <c r="B282" s="234"/>
      <c r="C282" s="181"/>
      <c r="D282" s="181"/>
      <c r="E282" s="181"/>
      <c r="F282" s="232"/>
      <c r="G282" s="181"/>
      <c r="H282" s="194">
        <f t="shared" si="241"/>
        <v>0</v>
      </c>
      <c r="I282" s="176"/>
      <c r="J282" s="176"/>
      <c r="K282" s="176"/>
      <c r="L282" s="176"/>
      <c r="M282" s="176"/>
      <c r="N282" s="176"/>
      <c r="O282" s="284"/>
      <c r="P282" s="227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76"/>
      <c r="AD282" s="176"/>
      <c r="AE282" s="176"/>
      <c r="AF282" s="176"/>
      <c r="AG282" s="176"/>
      <c r="AH282" s="176"/>
      <c r="AI282" s="176"/>
    </row>
    <row r="283" ht="24.75" customHeight="1">
      <c r="A283" s="160">
        <v>6.0</v>
      </c>
      <c r="B283" s="234"/>
      <c r="C283" s="181"/>
      <c r="D283" s="181"/>
      <c r="E283" s="181"/>
      <c r="F283" s="232"/>
      <c r="G283" s="181"/>
      <c r="H283" s="194">
        <f t="shared" si="241"/>
        <v>0</v>
      </c>
      <c r="I283" s="176"/>
      <c r="J283" s="176"/>
      <c r="K283" s="176"/>
      <c r="L283" s="176"/>
      <c r="M283" s="176"/>
      <c r="N283" s="176"/>
      <c r="O283" s="284"/>
      <c r="P283" s="227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76"/>
      <c r="AD283" s="176"/>
      <c r="AE283" s="176"/>
      <c r="AF283" s="176"/>
      <c r="AG283" s="176"/>
      <c r="AH283" s="176"/>
      <c r="AI283" s="176"/>
    </row>
    <row r="284" ht="24.75" customHeight="1">
      <c r="A284" s="160">
        <v>7.0</v>
      </c>
      <c r="B284" s="234"/>
      <c r="C284" s="181"/>
      <c r="D284" s="181"/>
      <c r="E284" s="181"/>
      <c r="F284" s="232"/>
      <c r="G284" s="181"/>
      <c r="H284" s="194">
        <f t="shared" si="241"/>
        <v>0</v>
      </c>
      <c r="I284" s="176"/>
      <c r="J284" s="176"/>
      <c r="K284" s="176"/>
      <c r="L284" s="176"/>
      <c r="M284" s="176"/>
      <c r="N284" s="176"/>
      <c r="O284" s="284"/>
      <c r="P284" s="22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76"/>
      <c r="AD284" s="176"/>
      <c r="AE284" s="176"/>
      <c r="AF284" s="176"/>
      <c r="AG284" s="176"/>
      <c r="AH284" s="176"/>
      <c r="AI284" s="176"/>
    </row>
    <row r="285" ht="24.75" customHeight="1">
      <c r="A285" s="160">
        <v>8.0</v>
      </c>
      <c r="B285" s="234"/>
      <c r="C285" s="181"/>
      <c r="D285" s="181"/>
      <c r="E285" s="181"/>
      <c r="F285" s="232"/>
      <c r="G285" s="181"/>
      <c r="H285" s="194">
        <f t="shared" si="241"/>
        <v>0</v>
      </c>
      <c r="I285" s="176"/>
      <c r="J285" s="176"/>
      <c r="K285" s="176"/>
      <c r="L285" s="176"/>
      <c r="M285" s="176"/>
      <c r="N285" s="176"/>
      <c r="O285" s="284"/>
      <c r="P285" s="22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76"/>
      <c r="AD285" s="176"/>
      <c r="AE285" s="176"/>
      <c r="AF285" s="176"/>
      <c r="AG285" s="176"/>
      <c r="AH285" s="176"/>
      <c r="AI285" s="176"/>
    </row>
    <row r="286" ht="24.75" customHeight="1">
      <c r="A286" s="160">
        <v>9.0</v>
      </c>
      <c r="B286" s="234"/>
      <c r="C286" s="181"/>
      <c r="D286" s="181"/>
      <c r="E286" s="181"/>
      <c r="F286" s="232"/>
      <c r="G286" s="181"/>
      <c r="H286" s="194">
        <f t="shared" si="241"/>
        <v>0</v>
      </c>
      <c r="I286" s="176"/>
      <c r="J286" s="176"/>
      <c r="K286" s="176"/>
      <c r="L286" s="176"/>
      <c r="M286" s="176"/>
      <c r="N286" s="176"/>
      <c r="O286" s="284"/>
      <c r="P286" s="22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76"/>
      <c r="AD286" s="176"/>
      <c r="AE286" s="176"/>
      <c r="AF286" s="176"/>
      <c r="AG286" s="176"/>
      <c r="AH286" s="176"/>
      <c r="AI286" s="176"/>
    </row>
    <row r="287" ht="24.75" customHeight="1">
      <c r="A287" s="160">
        <v>10.0</v>
      </c>
      <c r="B287" s="234"/>
      <c r="C287" s="181"/>
      <c r="D287" s="181"/>
      <c r="E287" s="181"/>
      <c r="F287" s="232"/>
      <c r="G287" s="181"/>
      <c r="H287" s="194">
        <f t="shared" si="241"/>
        <v>0</v>
      </c>
      <c r="I287" s="176"/>
      <c r="J287" s="176"/>
      <c r="K287" s="176"/>
      <c r="L287" s="176"/>
      <c r="M287" s="176"/>
      <c r="N287" s="176"/>
      <c r="O287" s="284"/>
      <c r="P287" s="22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76"/>
      <c r="AD287" s="176"/>
      <c r="AE287" s="176"/>
      <c r="AF287" s="176"/>
      <c r="AG287" s="176"/>
      <c r="AH287" s="176"/>
      <c r="AI287" s="176"/>
    </row>
    <row r="288" ht="24.75" customHeight="1">
      <c r="A288" s="160">
        <v>11.0</v>
      </c>
      <c r="B288" s="234"/>
      <c r="C288" s="181"/>
      <c r="D288" s="181"/>
      <c r="E288" s="181"/>
      <c r="F288" s="232"/>
      <c r="G288" s="181"/>
      <c r="H288" s="194">
        <f t="shared" si="241"/>
        <v>0</v>
      </c>
      <c r="I288" s="176"/>
      <c r="J288" s="176"/>
      <c r="K288" s="176"/>
      <c r="L288" s="176"/>
      <c r="M288" s="176"/>
      <c r="N288" s="176"/>
      <c r="O288" s="284"/>
      <c r="P288" s="22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76"/>
      <c r="AD288" s="176"/>
      <c r="AE288" s="176"/>
      <c r="AF288" s="176"/>
      <c r="AG288" s="176"/>
      <c r="AH288" s="176"/>
      <c r="AI288" s="176"/>
    </row>
    <row r="289" ht="24.75" customHeight="1">
      <c r="A289" s="160">
        <v>12.0</v>
      </c>
      <c r="B289" s="234"/>
      <c r="C289" s="181"/>
      <c r="D289" s="181"/>
      <c r="E289" s="181"/>
      <c r="F289" s="232"/>
      <c r="G289" s="181"/>
      <c r="H289" s="194">
        <f t="shared" si="241"/>
        <v>0</v>
      </c>
      <c r="I289" s="176"/>
      <c r="J289" s="176"/>
      <c r="K289" s="176"/>
      <c r="L289" s="176"/>
      <c r="M289" s="176"/>
      <c r="N289" s="176"/>
      <c r="O289" s="284"/>
      <c r="P289" s="22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76"/>
      <c r="AD289" s="176"/>
      <c r="AE289" s="176"/>
      <c r="AF289" s="176"/>
      <c r="AG289" s="176"/>
      <c r="AH289" s="176"/>
      <c r="AI289" s="176"/>
    </row>
    <row r="290" ht="24.75" customHeight="1">
      <c r="A290" s="160">
        <v>13.0</v>
      </c>
      <c r="B290" s="234"/>
      <c r="C290" s="181"/>
      <c r="D290" s="181"/>
      <c r="E290" s="181"/>
      <c r="F290" s="232"/>
      <c r="G290" s="181"/>
      <c r="H290" s="194">
        <f t="shared" si="241"/>
        <v>0</v>
      </c>
      <c r="I290" s="176"/>
      <c r="J290" s="176"/>
      <c r="K290" s="176"/>
      <c r="L290" s="176"/>
      <c r="M290" s="176"/>
      <c r="N290" s="176"/>
      <c r="O290" s="284"/>
      <c r="P290" s="22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76"/>
      <c r="AD290" s="176"/>
      <c r="AE290" s="176"/>
      <c r="AF290" s="176"/>
      <c r="AG290" s="176"/>
      <c r="AH290" s="176"/>
      <c r="AI290" s="176"/>
    </row>
    <row r="291" ht="24.75" customHeight="1">
      <c r="A291" s="160">
        <v>14.0</v>
      </c>
      <c r="B291" s="234"/>
      <c r="C291" s="181"/>
      <c r="D291" s="181"/>
      <c r="E291" s="181"/>
      <c r="F291" s="232"/>
      <c r="G291" s="181"/>
      <c r="H291" s="194">
        <f t="shared" si="241"/>
        <v>0</v>
      </c>
      <c r="I291" s="176"/>
      <c r="J291" s="176"/>
      <c r="K291" s="176"/>
      <c r="L291" s="176"/>
      <c r="M291" s="176"/>
      <c r="N291" s="176"/>
      <c r="O291" s="284"/>
      <c r="P291" s="22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76"/>
      <c r="AD291" s="176"/>
      <c r="AE291" s="176"/>
      <c r="AF291" s="176"/>
      <c r="AG291" s="176"/>
      <c r="AH291" s="176"/>
      <c r="AI291" s="176"/>
    </row>
    <row r="292" ht="24.75" customHeight="1">
      <c r="A292" s="160">
        <v>15.0</v>
      </c>
      <c r="B292" s="234"/>
      <c r="C292" s="181"/>
      <c r="D292" s="181"/>
      <c r="E292" s="181"/>
      <c r="F292" s="232"/>
      <c r="G292" s="181"/>
      <c r="H292" s="194">
        <f t="shared" si="241"/>
        <v>0</v>
      </c>
      <c r="I292" s="176"/>
      <c r="J292" s="176"/>
      <c r="K292" s="176"/>
      <c r="L292" s="176"/>
      <c r="M292" s="176"/>
      <c r="N292" s="176"/>
      <c r="O292" s="284"/>
      <c r="P292" s="22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76"/>
      <c r="AD292" s="176"/>
      <c r="AE292" s="176"/>
      <c r="AF292" s="176"/>
      <c r="AG292" s="176"/>
      <c r="AH292" s="176"/>
      <c r="AI292" s="176"/>
    </row>
    <row r="293" ht="24.75" customHeight="1">
      <c r="A293" s="160">
        <v>16.0</v>
      </c>
      <c r="B293" s="234"/>
      <c r="C293" s="181"/>
      <c r="D293" s="181"/>
      <c r="E293" s="181"/>
      <c r="F293" s="232"/>
      <c r="G293" s="181"/>
      <c r="H293" s="194">
        <f t="shared" si="241"/>
        <v>0</v>
      </c>
      <c r="I293" s="176"/>
      <c r="J293" s="176"/>
      <c r="K293" s="176"/>
      <c r="L293" s="176"/>
      <c r="M293" s="176"/>
      <c r="N293" s="176"/>
      <c r="O293" s="284"/>
      <c r="P293" s="22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76"/>
      <c r="AD293" s="176"/>
      <c r="AE293" s="176"/>
      <c r="AF293" s="176"/>
      <c r="AG293" s="176"/>
      <c r="AH293" s="176"/>
      <c r="AI293" s="176"/>
    </row>
    <row r="294" ht="24.75" customHeight="1">
      <c r="A294" s="160">
        <v>17.0</v>
      </c>
      <c r="B294" s="234"/>
      <c r="C294" s="181"/>
      <c r="D294" s="181"/>
      <c r="E294" s="181"/>
      <c r="F294" s="232"/>
      <c r="G294" s="181"/>
      <c r="H294" s="194">
        <f t="shared" si="241"/>
        <v>0</v>
      </c>
      <c r="I294" s="176"/>
      <c r="J294" s="176"/>
      <c r="K294" s="176"/>
      <c r="L294" s="176"/>
      <c r="M294" s="176"/>
      <c r="N294" s="176"/>
      <c r="O294" s="284"/>
      <c r="P294" s="22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76"/>
      <c r="AD294" s="176"/>
      <c r="AE294" s="176"/>
      <c r="AF294" s="176"/>
      <c r="AG294" s="176"/>
      <c r="AH294" s="176"/>
      <c r="AI294" s="176"/>
    </row>
    <row r="295" ht="24.75" customHeight="1">
      <c r="A295" s="160">
        <v>18.0</v>
      </c>
      <c r="B295" s="234"/>
      <c r="C295" s="181"/>
      <c r="D295" s="181"/>
      <c r="E295" s="181"/>
      <c r="F295" s="232"/>
      <c r="G295" s="181"/>
      <c r="H295" s="194">
        <f t="shared" si="241"/>
        <v>0</v>
      </c>
      <c r="I295" s="176"/>
      <c r="J295" s="176"/>
      <c r="K295" s="176"/>
      <c r="L295" s="176"/>
      <c r="M295" s="176"/>
      <c r="N295" s="176"/>
      <c r="O295" s="284"/>
      <c r="P295" s="22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76"/>
      <c r="AD295" s="176"/>
      <c r="AE295" s="176"/>
      <c r="AF295" s="176"/>
      <c r="AG295" s="176"/>
      <c r="AH295" s="176"/>
      <c r="AI295" s="176"/>
    </row>
    <row r="296" ht="24.75" customHeight="1">
      <c r="A296" s="160">
        <v>19.0</v>
      </c>
      <c r="B296" s="234"/>
      <c r="C296" s="181"/>
      <c r="D296" s="181"/>
      <c r="E296" s="181"/>
      <c r="F296" s="232"/>
      <c r="G296" s="181"/>
      <c r="H296" s="194">
        <f t="shared" si="241"/>
        <v>0</v>
      </c>
      <c r="I296" s="176"/>
      <c r="J296" s="176"/>
      <c r="K296" s="176"/>
      <c r="L296" s="176"/>
      <c r="M296" s="176"/>
      <c r="N296" s="176"/>
      <c r="O296" s="284"/>
      <c r="P296" s="140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76"/>
      <c r="AD296" s="176"/>
      <c r="AE296" s="176"/>
      <c r="AF296" s="176"/>
      <c r="AG296" s="176"/>
      <c r="AH296" s="176"/>
      <c r="AI296" s="176"/>
    </row>
    <row r="297" ht="24.75" customHeight="1">
      <c r="A297" s="160">
        <v>20.0</v>
      </c>
      <c r="B297" s="234"/>
      <c r="C297" s="181"/>
      <c r="D297" s="181"/>
      <c r="E297" s="181"/>
      <c r="F297" s="232"/>
      <c r="G297" s="181"/>
      <c r="H297" s="194">
        <f t="shared" si="241"/>
        <v>0</v>
      </c>
      <c r="I297" s="176"/>
      <c r="J297" s="176"/>
      <c r="K297" s="176"/>
      <c r="L297" s="176"/>
      <c r="M297" s="176"/>
      <c r="N297" s="176"/>
      <c r="O297" s="284"/>
      <c r="P297" s="227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76"/>
      <c r="AD297" s="176"/>
      <c r="AE297" s="176"/>
      <c r="AF297" s="176"/>
      <c r="AG297" s="176"/>
      <c r="AH297" s="176"/>
      <c r="AI297" s="176"/>
    </row>
    <row r="298" ht="24.75" customHeight="1">
      <c r="A298" s="160">
        <v>21.0</v>
      </c>
      <c r="B298" s="234"/>
      <c r="C298" s="181"/>
      <c r="D298" s="181"/>
      <c r="E298" s="181"/>
      <c r="F298" s="232"/>
      <c r="G298" s="181"/>
      <c r="H298" s="194">
        <f t="shared" si="241"/>
        <v>0</v>
      </c>
      <c r="I298" s="176"/>
      <c r="J298" s="176"/>
      <c r="K298" s="176"/>
      <c r="L298" s="176"/>
      <c r="M298" s="176"/>
      <c r="N298" s="176"/>
      <c r="O298" s="284"/>
      <c r="P298" s="227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76"/>
      <c r="AD298" s="176"/>
      <c r="AE298" s="176"/>
      <c r="AF298" s="176"/>
      <c r="AG298" s="176"/>
      <c r="AH298" s="176"/>
      <c r="AI298" s="176"/>
    </row>
    <row r="299" ht="24.75" customHeight="1">
      <c r="A299" s="160">
        <v>22.0</v>
      </c>
      <c r="B299" s="234"/>
      <c r="C299" s="181"/>
      <c r="D299" s="181"/>
      <c r="E299" s="181"/>
      <c r="F299" s="232"/>
      <c r="G299" s="181"/>
      <c r="H299" s="194">
        <f t="shared" si="241"/>
        <v>0</v>
      </c>
      <c r="I299" s="176"/>
      <c r="J299" s="176"/>
      <c r="K299" s="176"/>
      <c r="L299" s="176"/>
      <c r="M299" s="176"/>
      <c r="N299" s="176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76"/>
      <c r="AD299" s="176"/>
      <c r="AE299" s="176"/>
      <c r="AF299" s="176"/>
      <c r="AG299" s="176"/>
      <c r="AH299" s="176"/>
      <c r="AI299" s="176"/>
    </row>
    <row r="300" ht="24.75" customHeight="1">
      <c r="A300" s="160">
        <v>23.0</v>
      </c>
      <c r="B300" s="234"/>
      <c r="C300" s="181"/>
      <c r="D300" s="181"/>
      <c r="E300" s="181"/>
      <c r="F300" s="232"/>
      <c r="G300" s="181"/>
      <c r="H300" s="194">
        <f t="shared" si="241"/>
        <v>0</v>
      </c>
      <c r="I300" s="176"/>
      <c r="J300" s="176"/>
      <c r="K300" s="176"/>
      <c r="L300" s="176"/>
      <c r="M300" s="176"/>
      <c r="N300" s="176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76"/>
      <c r="AD300" s="176"/>
      <c r="AE300" s="176"/>
      <c r="AF300" s="176"/>
      <c r="AG300" s="176"/>
      <c r="AH300" s="176"/>
      <c r="AI300" s="176"/>
    </row>
    <row r="301" ht="24.75" customHeight="1">
      <c r="A301" s="160">
        <v>24.0</v>
      </c>
      <c r="B301" s="234"/>
      <c r="C301" s="181"/>
      <c r="D301" s="181"/>
      <c r="E301" s="181"/>
      <c r="F301" s="232"/>
      <c r="G301" s="181"/>
      <c r="H301" s="194">
        <f t="shared" si="241"/>
        <v>0</v>
      </c>
      <c r="I301" s="176"/>
      <c r="J301" s="176"/>
      <c r="K301" s="176"/>
      <c r="L301" s="176"/>
      <c r="M301" s="176"/>
      <c r="N301" s="176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</row>
    <row r="302" ht="24.75" customHeight="1">
      <c r="A302" s="160">
        <v>25.0</v>
      </c>
      <c r="B302" s="234"/>
      <c r="C302" s="181"/>
      <c r="D302" s="181"/>
      <c r="E302" s="181"/>
      <c r="F302" s="232"/>
      <c r="G302" s="181"/>
      <c r="H302" s="194">
        <f t="shared" si="241"/>
        <v>0</v>
      </c>
      <c r="I302" s="176"/>
      <c r="J302" s="176"/>
      <c r="K302" s="176"/>
      <c r="L302" s="176"/>
      <c r="M302" s="176"/>
      <c r="N302" s="176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</row>
    <row r="303" ht="24.75" customHeight="1">
      <c r="A303" s="160">
        <v>26.0</v>
      </c>
      <c r="B303" s="234"/>
      <c r="C303" s="181"/>
      <c r="D303" s="181"/>
      <c r="E303" s="181"/>
      <c r="F303" s="232"/>
      <c r="G303" s="181"/>
      <c r="H303" s="194">
        <f t="shared" si="241"/>
        <v>0</v>
      </c>
      <c r="I303" s="176"/>
      <c r="J303" s="176"/>
      <c r="K303" s="176"/>
      <c r="L303" s="176"/>
      <c r="M303" s="176"/>
      <c r="N303" s="176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</row>
    <row r="304" ht="24.75" customHeight="1">
      <c r="A304" s="160">
        <v>27.0</v>
      </c>
      <c r="B304" s="234"/>
      <c r="C304" s="181"/>
      <c r="D304" s="181"/>
      <c r="E304" s="181"/>
      <c r="F304" s="181"/>
      <c r="G304" s="181"/>
      <c r="H304" s="194">
        <f t="shared" si="241"/>
        <v>0</v>
      </c>
      <c r="I304" s="176"/>
      <c r="J304" s="176"/>
      <c r="K304" s="176"/>
      <c r="L304" s="176"/>
      <c r="M304" s="176"/>
      <c r="N304" s="176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</row>
    <row r="305" ht="24.75" customHeight="1">
      <c r="A305" s="160">
        <v>28.0</v>
      </c>
      <c r="B305" s="234"/>
      <c r="C305" s="181"/>
      <c r="D305" s="181"/>
      <c r="E305" s="181"/>
      <c r="F305" s="181"/>
      <c r="G305" s="181"/>
      <c r="H305" s="194">
        <f t="shared" si="241"/>
        <v>0</v>
      </c>
      <c r="I305" s="176"/>
      <c r="J305" s="176"/>
      <c r="K305" s="176"/>
      <c r="L305" s="176"/>
      <c r="M305" s="176"/>
      <c r="N305" s="176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</row>
    <row r="306" ht="24.75" customHeight="1">
      <c r="A306" s="160">
        <v>29.0</v>
      </c>
      <c r="B306" s="273"/>
      <c r="C306" s="181"/>
      <c r="D306" s="181"/>
      <c r="E306" s="181"/>
      <c r="F306" s="181"/>
      <c r="G306" s="181"/>
      <c r="H306" s="194">
        <f t="shared" si="241"/>
        <v>0</v>
      </c>
      <c r="I306" s="176"/>
      <c r="J306" s="176"/>
      <c r="K306" s="176"/>
      <c r="L306" s="176"/>
      <c r="M306" s="176"/>
      <c r="N306" s="176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</row>
    <row r="307" ht="24.75" customHeight="1">
      <c r="A307" s="160">
        <v>30.0</v>
      </c>
      <c r="B307" s="273"/>
      <c r="C307" s="181"/>
      <c r="D307" s="181"/>
      <c r="E307" s="181"/>
      <c r="F307" s="232"/>
      <c r="G307" s="181"/>
      <c r="H307" s="194">
        <f t="shared" si="241"/>
        <v>0</v>
      </c>
      <c r="I307" s="176"/>
      <c r="J307" s="176"/>
      <c r="K307" s="176"/>
      <c r="L307" s="176"/>
      <c r="M307" s="176"/>
      <c r="N307" s="176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</row>
    <row r="308" ht="24.75" customHeight="1">
      <c r="A308" s="160">
        <v>31.0</v>
      </c>
      <c r="B308" s="218"/>
      <c r="C308" s="181"/>
      <c r="D308" s="181"/>
      <c r="E308" s="181"/>
      <c r="F308" s="232"/>
      <c r="G308" s="181"/>
      <c r="H308" s="194">
        <f t="shared" si="241"/>
        <v>0</v>
      </c>
      <c r="I308" s="176"/>
      <c r="J308" s="176"/>
      <c r="K308" s="176"/>
      <c r="L308" s="176"/>
      <c r="M308" s="176"/>
      <c r="N308" s="176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</row>
    <row r="309" ht="24.75" customHeight="1">
      <c r="A309" s="160">
        <v>32.0</v>
      </c>
      <c r="B309" s="218"/>
      <c r="C309" s="160"/>
      <c r="D309" s="160"/>
      <c r="E309" s="160"/>
      <c r="F309" s="160"/>
      <c r="G309" s="160"/>
      <c r="H309" s="194">
        <f t="shared" si="241"/>
        <v>0</v>
      </c>
      <c r="I309" s="176"/>
      <c r="J309" s="176"/>
      <c r="K309" s="176"/>
      <c r="L309" s="176"/>
      <c r="M309" s="176"/>
      <c r="N309" s="176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</row>
    <row r="310" ht="24.75" customHeight="1">
      <c r="A310" s="160">
        <v>33.0</v>
      </c>
      <c r="B310" s="273"/>
      <c r="C310" s="160"/>
      <c r="D310" s="160"/>
      <c r="E310" s="160"/>
      <c r="F310" s="160"/>
      <c r="G310" s="160"/>
      <c r="H310" s="194">
        <f t="shared" si="241"/>
        <v>0</v>
      </c>
      <c r="I310" s="176"/>
      <c r="J310" s="176"/>
      <c r="K310" s="176"/>
      <c r="L310" s="176"/>
      <c r="M310" s="176"/>
      <c r="N310" s="176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</row>
    <row r="311" ht="24.75" customHeight="1">
      <c r="A311" s="160">
        <v>34.0</v>
      </c>
      <c r="B311" s="383"/>
      <c r="C311" s="160"/>
      <c r="D311" s="160"/>
      <c r="E311" s="160"/>
      <c r="F311" s="160"/>
      <c r="G311" s="160"/>
      <c r="H311" s="194">
        <f t="shared" si="241"/>
        <v>0</v>
      </c>
      <c r="I311" s="176"/>
      <c r="J311" s="176"/>
      <c r="K311" s="176"/>
      <c r="L311" s="176"/>
      <c r="M311" s="176"/>
      <c r="N311" s="176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</row>
    <row r="312" ht="24.75" customHeight="1">
      <c r="A312" s="160">
        <v>35.0</v>
      </c>
      <c r="B312" s="384"/>
      <c r="C312" s="160"/>
      <c r="D312" s="160"/>
      <c r="E312" s="160"/>
      <c r="F312" s="160"/>
      <c r="G312" s="160"/>
      <c r="H312" s="194">
        <f t="shared" si="241"/>
        <v>0</v>
      </c>
      <c r="I312" s="176"/>
      <c r="J312" s="176"/>
      <c r="K312" s="176"/>
      <c r="L312" s="176"/>
      <c r="M312" s="176"/>
      <c r="N312" s="176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</row>
    <row r="313" ht="18.75" customHeight="1">
      <c r="A313" s="139"/>
      <c r="B313" s="139"/>
      <c r="C313" s="139"/>
      <c r="D313" s="139"/>
      <c r="E313" s="139"/>
      <c r="F313" s="140" t="s">
        <v>38</v>
      </c>
      <c r="G313" s="139"/>
      <c r="H313" s="235">
        <f>SUM(H278:H312)</f>
        <v>0</v>
      </c>
      <c r="I313" s="236"/>
      <c r="J313" s="236"/>
      <c r="K313" s="236"/>
      <c r="L313" s="236"/>
      <c r="M313" s="236"/>
      <c r="N313" s="236"/>
      <c r="O313" s="236"/>
      <c r="P313" s="139"/>
      <c r="Q313" s="227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</row>
    <row r="314" ht="18.75" customHeight="1">
      <c r="A314" s="144"/>
      <c r="B314" s="144"/>
      <c r="C314" s="144"/>
      <c r="D314" s="144"/>
      <c r="E314" s="144"/>
      <c r="F314" s="145"/>
      <c r="G314" s="173"/>
      <c r="H314" s="205">
        <f>+H313*60%</f>
        <v>0</v>
      </c>
      <c r="I314" s="205"/>
      <c r="J314" s="205"/>
      <c r="K314" s="205"/>
      <c r="L314" s="205"/>
      <c r="M314" s="205"/>
      <c r="N314" s="205"/>
      <c r="O314" s="205">
        <f>+H313*40%</f>
        <v>0</v>
      </c>
      <c r="P314" s="139"/>
      <c r="Q314" s="227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</row>
    <row r="315" ht="18.75" customHeight="1">
      <c r="A315" s="139"/>
      <c r="B315" s="139"/>
      <c r="C315" s="139"/>
      <c r="D315" s="139"/>
      <c r="E315" s="139"/>
      <c r="F315" s="140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227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</row>
    <row r="316" ht="18.75" customHeight="1">
      <c r="A316" s="139"/>
      <c r="B316" s="139"/>
      <c r="C316" s="139"/>
      <c r="D316" s="139"/>
      <c r="E316" s="139"/>
      <c r="F316" s="140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227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</row>
    <row r="317" ht="19.5" customHeight="1">
      <c r="A317" s="238" t="s">
        <v>41</v>
      </c>
      <c r="B317" s="139"/>
      <c r="C317" s="139"/>
      <c r="D317" s="139"/>
      <c r="E317" s="139"/>
      <c r="F317" s="140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227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</row>
    <row r="318" ht="57.0" customHeight="1">
      <c r="A318" s="239"/>
      <c r="B318" s="240" t="s">
        <v>42</v>
      </c>
      <c r="C318" s="240" t="s">
        <v>43</v>
      </c>
      <c r="D318" s="240" t="s">
        <v>44</v>
      </c>
      <c r="E318" s="240" t="s">
        <v>45</v>
      </c>
      <c r="F318" s="241" t="s">
        <v>46</v>
      </c>
      <c r="G318" s="242" t="s">
        <v>47</v>
      </c>
      <c r="H318" s="139"/>
      <c r="I318" s="139"/>
      <c r="J318" s="139"/>
      <c r="K318" s="139"/>
      <c r="L318" s="139"/>
      <c r="M318" s="139"/>
      <c r="N318" s="139"/>
      <c r="O318" s="139"/>
      <c r="P318" s="141"/>
      <c r="Q318" s="227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</row>
    <row r="319" ht="18.75" customHeight="1">
      <c r="A319" s="243" t="s">
        <v>48</v>
      </c>
      <c r="B319" s="244">
        <f>+E25</f>
        <v>0</v>
      </c>
      <c r="C319" s="245">
        <f>+H250</f>
        <v>0</v>
      </c>
      <c r="D319" s="245">
        <f>+H271</f>
        <v>0</v>
      </c>
      <c r="E319" s="246">
        <f>H314</f>
        <v>0</v>
      </c>
      <c r="F319" s="247">
        <f>+G25</f>
        <v>0</v>
      </c>
      <c r="G319" s="248">
        <f>+B319-C319-D319-E319-F319</f>
        <v>0</v>
      </c>
      <c r="H319" s="139"/>
      <c r="I319" s="139"/>
      <c r="J319" s="139"/>
      <c r="K319" s="139"/>
      <c r="L319" s="139"/>
      <c r="M319" s="139"/>
      <c r="N319" s="139"/>
      <c r="O319" s="139"/>
      <c r="P319" s="141"/>
      <c r="Q319" s="227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</row>
    <row r="320" ht="19.5" customHeight="1">
      <c r="A320" s="249" t="s">
        <v>49</v>
      </c>
      <c r="B320" s="250"/>
      <c r="C320" s="251" t="str">
        <f>+C319/B319</f>
        <v>#DIV/0!</v>
      </c>
      <c r="D320" s="251" t="str">
        <f>+D319/B319</f>
        <v>#DIV/0!</v>
      </c>
      <c r="E320" s="251" t="str">
        <f>+E319/B319</f>
        <v>#DIV/0!</v>
      </c>
      <c r="F320" s="252" t="str">
        <f>+F319/B319</f>
        <v>#DIV/0!</v>
      </c>
      <c r="G320" s="253" t="str">
        <f>+G319/B319</f>
        <v>#DIV/0!</v>
      </c>
      <c r="H320" s="139"/>
      <c r="I320" s="139"/>
      <c r="J320" s="139"/>
      <c r="K320" s="139"/>
      <c r="L320" s="139"/>
      <c r="M320" s="139"/>
      <c r="N320" s="139"/>
      <c r="O320" s="139"/>
      <c r="P320" s="141"/>
      <c r="Q320" s="227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</row>
    <row r="321" ht="19.5" customHeight="1">
      <c r="A321" s="163"/>
      <c r="B321" s="221"/>
      <c r="C321" s="254"/>
      <c r="D321" s="254"/>
      <c r="E321" s="254"/>
      <c r="F321" s="255"/>
      <c r="G321" s="256"/>
      <c r="H321" s="139"/>
      <c r="I321" s="139"/>
      <c r="J321" s="139"/>
      <c r="K321" s="139"/>
      <c r="L321" s="139"/>
      <c r="M321" s="139"/>
      <c r="N321" s="139"/>
      <c r="O321" s="139"/>
      <c r="P321" s="141"/>
      <c r="Q321" s="227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</row>
    <row r="322" ht="18.75" customHeight="1">
      <c r="A322" s="257"/>
      <c r="B322" s="258"/>
      <c r="C322" s="258"/>
      <c r="D322" s="258" t="s">
        <v>50</v>
      </c>
      <c r="E322" s="258" t="s">
        <v>48</v>
      </c>
      <c r="F322" s="259">
        <f>+D319+E319+F319+G319</f>
        <v>0</v>
      </c>
      <c r="G322" s="260"/>
      <c r="H322" s="139"/>
      <c r="I322" s="139"/>
      <c r="J322" s="139"/>
      <c r="K322" s="139"/>
      <c r="L322" s="139"/>
      <c r="M322" s="139"/>
      <c r="N322" s="139"/>
      <c r="O322" s="139"/>
      <c r="P322" s="141"/>
      <c r="Q322" s="140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</row>
    <row r="323" ht="18.75" customHeight="1">
      <c r="A323" s="261"/>
      <c r="B323" s="139"/>
      <c r="C323" s="139"/>
      <c r="D323" s="139"/>
      <c r="E323" s="139" t="s">
        <v>49</v>
      </c>
      <c r="F323" s="255" t="str">
        <f>+F322/B319</f>
        <v>#DIV/0!</v>
      </c>
      <c r="G323" s="262"/>
      <c r="H323" s="139"/>
      <c r="I323" s="139"/>
      <c r="J323" s="139"/>
      <c r="K323" s="139"/>
      <c r="L323" s="139"/>
      <c r="M323" s="139"/>
      <c r="N323" s="139"/>
      <c r="O323" s="139"/>
      <c r="P323" s="141"/>
      <c r="Q323" s="140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</row>
    <row r="324" ht="18.75" customHeight="1">
      <c r="A324" s="261"/>
      <c r="B324" s="139"/>
      <c r="C324" s="139" t="s">
        <v>51</v>
      </c>
      <c r="D324" s="139"/>
      <c r="E324" s="139"/>
      <c r="F324" s="140"/>
      <c r="G324" s="262"/>
      <c r="H324" s="139"/>
      <c r="I324" s="139"/>
      <c r="J324" s="139"/>
      <c r="K324" s="139"/>
      <c r="L324" s="139"/>
      <c r="M324" s="139"/>
      <c r="N324" s="139"/>
      <c r="O324" s="139"/>
      <c r="P324" s="141"/>
      <c r="Q324" s="140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</row>
    <row r="325" ht="18.75" customHeight="1">
      <c r="A325" s="261"/>
      <c r="B325" s="139"/>
      <c r="C325" s="139"/>
      <c r="D325" s="139" t="s">
        <v>52</v>
      </c>
      <c r="E325" s="139"/>
      <c r="F325" s="140">
        <f>+F324*(F322-F319)</f>
        <v>0</v>
      </c>
      <c r="G325" s="262"/>
      <c r="H325" s="139"/>
      <c r="I325" s="139"/>
      <c r="J325" s="139"/>
      <c r="K325" s="139"/>
      <c r="L325" s="139"/>
      <c r="M325" s="139"/>
      <c r="N325" s="139"/>
      <c r="O325" s="139"/>
      <c r="P325" s="141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</row>
    <row r="326" ht="19.5" customHeight="1">
      <c r="A326" s="263"/>
      <c r="B326" s="264"/>
      <c r="C326" s="264"/>
      <c r="D326" s="264"/>
      <c r="E326" s="264"/>
      <c r="F326" s="265"/>
      <c r="G326" s="266"/>
      <c r="H326" s="139"/>
      <c r="I326" s="139"/>
      <c r="J326" s="139"/>
      <c r="K326" s="139"/>
      <c r="L326" s="139"/>
      <c r="M326" s="139"/>
      <c r="N326" s="139"/>
      <c r="O326" s="139"/>
      <c r="P326" s="141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</row>
    <row r="327" ht="18.75" customHeight="1">
      <c r="A327" s="139"/>
      <c r="B327" s="139"/>
      <c r="C327" s="139"/>
      <c r="D327" s="139"/>
      <c r="E327" s="139"/>
      <c r="F327" s="140"/>
      <c r="G327" s="139"/>
      <c r="H327" s="139"/>
      <c r="I327" s="139"/>
      <c r="J327" s="139"/>
      <c r="K327" s="139"/>
      <c r="L327" s="139"/>
      <c r="M327" s="139"/>
      <c r="N327" s="139"/>
      <c r="O327" s="139"/>
      <c r="P327" s="141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</row>
    <row r="328" ht="18.75" customHeight="1">
      <c r="A328" s="139"/>
      <c r="B328" s="139"/>
      <c r="C328" s="139"/>
      <c r="D328" s="139"/>
      <c r="E328" s="139"/>
      <c r="F328" s="140"/>
      <c r="G328" s="139"/>
      <c r="H328" s="139"/>
      <c r="I328" s="139"/>
      <c r="J328" s="139"/>
      <c r="K328" s="139"/>
      <c r="L328" s="139"/>
      <c r="M328" s="139"/>
      <c r="N328" s="139"/>
      <c r="O328" s="139"/>
      <c r="P328" s="141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</row>
    <row r="329" ht="18.75" customHeight="1">
      <c r="A329" s="139"/>
      <c r="B329" s="139"/>
      <c r="C329" s="139"/>
      <c r="D329" s="139"/>
      <c r="E329" s="139"/>
      <c r="F329" s="140"/>
      <c r="G329" s="139"/>
      <c r="H329" s="139"/>
      <c r="I329" s="139"/>
      <c r="J329" s="139"/>
      <c r="K329" s="139"/>
      <c r="L329" s="139"/>
      <c r="M329" s="139"/>
      <c r="N329" s="139"/>
      <c r="O329" s="139"/>
      <c r="P329" s="141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</row>
    <row r="330" ht="18.0" customHeight="1">
      <c r="A330" s="7"/>
      <c r="B330" s="7"/>
      <c r="C330" s="7"/>
      <c r="D330" s="7"/>
      <c r="E330" s="7"/>
      <c r="F330" s="267"/>
      <c r="G330" s="7"/>
      <c r="H330" s="7"/>
      <c r="I330" s="7"/>
      <c r="J330" s="7"/>
      <c r="K330" s="7"/>
      <c r="L330" s="7"/>
      <c r="M330" s="7"/>
      <c r="N330" s="7"/>
      <c r="O330" s="7"/>
      <c r="P330" s="268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ht="18.0" customHeight="1">
      <c r="A331" s="7"/>
      <c r="B331" s="7"/>
      <c r="C331" s="7"/>
      <c r="D331" s="7"/>
      <c r="E331" s="7"/>
      <c r="F331" s="267"/>
      <c r="G331" s="7"/>
      <c r="H331" s="7"/>
      <c r="I331" s="7"/>
      <c r="J331" s="7"/>
      <c r="K331" s="7"/>
      <c r="L331" s="7"/>
      <c r="M331" s="7"/>
      <c r="N331" s="7"/>
      <c r="O331" s="7"/>
      <c r="P331" s="268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ht="18.0" customHeight="1">
      <c r="A332" s="7"/>
      <c r="B332" s="7"/>
      <c r="C332" s="7"/>
      <c r="D332" s="7"/>
      <c r="E332" s="7"/>
      <c r="F332" s="267"/>
      <c r="G332" s="7"/>
      <c r="H332" s="7"/>
      <c r="I332" s="7"/>
      <c r="J332" s="7"/>
      <c r="K332" s="7"/>
      <c r="L332" s="7"/>
      <c r="M332" s="7"/>
      <c r="N332" s="7"/>
      <c r="O332" s="7"/>
      <c r="P332" s="268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ht="18.0" customHeight="1">
      <c r="A333" s="7"/>
      <c r="B333" s="7"/>
      <c r="C333" s="7"/>
      <c r="D333" s="7"/>
      <c r="E333" s="7"/>
      <c r="F333" s="267"/>
      <c r="G333" s="7"/>
      <c r="H333" s="7"/>
      <c r="I333" s="7"/>
      <c r="J333" s="7"/>
      <c r="K333" s="7"/>
      <c r="L333" s="7"/>
      <c r="M333" s="7"/>
      <c r="N333" s="7"/>
      <c r="O333" s="7"/>
      <c r="P333" s="268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ht="18.0" customHeight="1">
      <c r="A334" s="7"/>
      <c r="B334" s="7"/>
      <c r="C334" s="7"/>
      <c r="D334" s="7"/>
      <c r="E334" s="7"/>
      <c r="F334" s="267"/>
      <c r="G334" s="7"/>
      <c r="H334" s="7"/>
      <c r="I334" s="7"/>
      <c r="J334" s="7"/>
      <c r="K334" s="7"/>
      <c r="L334" s="7"/>
      <c r="M334" s="7"/>
      <c r="N334" s="7"/>
      <c r="O334" s="7"/>
      <c r="P334" s="268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ht="18.0" customHeight="1">
      <c r="A335" s="7"/>
      <c r="B335" s="7"/>
      <c r="C335" s="7"/>
      <c r="D335" s="7"/>
      <c r="E335" s="7"/>
      <c r="F335" s="267"/>
      <c r="G335" s="7"/>
      <c r="H335" s="7"/>
      <c r="I335" s="7"/>
      <c r="J335" s="7"/>
      <c r="K335" s="7"/>
      <c r="L335" s="7"/>
      <c r="M335" s="7"/>
      <c r="N335" s="7"/>
      <c r="O335" s="7"/>
      <c r="P335" s="268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ht="18.0" customHeight="1">
      <c r="A336" s="7"/>
      <c r="B336" s="7"/>
      <c r="C336" s="7"/>
      <c r="D336" s="7"/>
      <c r="E336" s="7"/>
      <c r="F336" s="267"/>
      <c r="G336" s="7"/>
      <c r="H336" s="7"/>
      <c r="I336" s="7"/>
      <c r="J336" s="7"/>
      <c r="K336" s="7"/>
      <c r="L336" s="7"/>
      <c r="M336" s="7"/>
      <c r="N336" s="7"/>
      <c r="O336" s="7"/>
      <c r="P336" s="268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ht="18.0" customHeight="1">
      <c r="A337" s="7"/>
      <c r="B337" s="7"/>
      <c r="C337" s="7"/>
      <c r="D337" s="7"/>
      <c r="E337" s="7"/>
      <c r="F337" s="267"/>
      <c r="G337" s="7"/>
      <c r="H337" s="7"/>
      <c r="I337" s="7"/>
      <c r="J337" s="7"/>
      <c r="K337" s="7"/>
      <c r="L337" s="7"/>
      <c r="M337" s="7"/>
      <c r="N337" s="7"/>
      <c r="O337" s="7"/>
      <c r="P337" s="268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ht="18.0" customHeight="1">
      <c r="A338" s="7"/>
      <c r="B338" s="7"/>
      <c r="C338" s="7"/>
      <c r="D338" s="7"/>
      <c r="E338" s="7"/>
      <c r="F338" s="267"/>
      <c r="G338" s="7"/>
      <c r="H338" s="7"/>
      <c r="I338" s="7"/>
      <c r="J338" s="7"/>
      <c r="K338" s="7"/>
      <c r="L338" s="7"/>
      <c r="M338" s="7"/>
      <c r="N338" s="7"/>
      <c r="O338" s="7"/>
      <c r="P338" s="268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ht="18.0" customHeight="1">
      <c r="A339" s="7"/>
      <c r="B339" s="7"/>
      <c r="C339" s="7"/>
      <c r="D339" s="7"/>
      <c r="E339" s="7"/>
      <c r="F339" s="267"/>
      <c r="G339" s="7"/>
      <c r="H339" s="7"/>
      <c r="I339" s="7"/>
      <c r="J339" s="7"/>
      <c r="K339" s="7"/>
      <c r="L339" s="7"/>
      <c r="M339" s="7"/>
      <c r="N339" s="7"/>
      <c r="O339" s="7"/>
      <c r="P339" s="268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ht="18.0" customHeight="1">
      <c r="A340" s="7"/>
      <c r="B340" s="7"/>
      <c r="C340" s="7"/>
      <c r="D340" s="7"/>
      <c r="E340" s="7"/>
      <c r="F340" s="267"/>
      <c r="G340" s="7"/>
      <c r="H340" s="7"/>
      <c r="I340" s="7"/>
      <c r="J340" s="7"/>
      <c r="K340" s="7"/>
      <c r="L340" s="7"/>
      <c r="M340" s="7"/>
      <c r="N340" s="7"/>
      <c r="O340" s="7"/>
      <c r="P340" s="268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ht="18.0" customHeight="1">
      <c r="A341" s="7"/>
      <c r="B341" s="7"/>
      <c r="C341" s="7"/>
      <c r="D341" s="7"/>
      <c r="E341" s="7"/>
      <c r="F341" s="267"/>
      <c r="G341" s="7"/>
      <c r="H341" s="7"/>
      <c r="I341" s="7"/>
      <c r="J341" s="7"/>
      <c r="K341" s="7"/>
      <c r="L341" s="7"/>
      <c r="M341" s="7"/>
      <c r="N341" s="7"/>
      <c r="O341" s="7"/>
      <c r="P341" s="268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ht="18.0" customHeight="1">
      <c r="A342" s="7"/>
      <c r="B342" s="7"/>
      <c r="C342" s="7"/>
      <c r="D342" s="7"/>
      <c r="E342" s="7"/>
      <c r="F342" s="267"/>
      <c r="G342" s="7"/>
      <c r="H342" s="7"/>
      <c r="I342" s="7"/>
      <c r="J342" s="7"/>
      <c r="K342" s="7"/>
      <c r="L342" s="7"/>
      <c r="M342" s="7"/>
      <c r="N342" s="7"/>
      <c r="O342" s="7"/>
      <c r="P342" s="268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ht="18.0" customHeight="1">
      <c r="A343" s="7"/>
      <c r="B343" s="7"/>
      <c r="C343" s="7"/>
      <c r="D343" s="7"/>
      <c r="E343" s="7"/>
      <c r="F343" s="267"/>
      <c r="G343" s="7"/>
      <c r="H343" s="7"/>
      <c r="I343" s="7"/>
      <c r="J343" s="7"/>
      <c r="K343" s="7"/>
      <c r="L343" s="7"/>
      <c r="M343" s="7"/>
      <c r="N343" s="7"/>
      <c r="O343" s="7"/>
      <c r="P343" s="268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ht="18.0" customHeight="1">
      <c r="A344" s="7"/>
      <c r="B344" s="7"/>
      <c r="C344" s="7"/>
      <c r="D344" s="7"/>
      <c r="E344" s="7"/>
      <c r="F344" s="267"/>
      <c r="G344" s="7"/>
      <c r="H344" s="7"/>
      <c r="I344" s="7"/>
      <c r="J344" s="7"/>
      <c r="K344" s="7"/>
      <c r="L344" s="7"/>
      <c r="M344" s="7"/>
      <c r="N344" s="7"/>
      <c r="O344" s="7"/>
      <c r="P344" s="268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ht="18.0" customHeight="1">
      <c r="A345" s="7"/>
      <c r="B345" s="7"/>
      <c r="C345" s="7"/>
      <c r="D345" s="7"/>
      <c r="E345" s="7"/>
      <c r="F345" s="267"/>
      <c r="G345" s="7"/>
      <c r="H345" s="7"/>
      <c r="I345" s="7"/>
      <c r="J345" s="7"/>
      <c r="K345" s="7"/>
      <c r="L345" s="7"/>
      <c r="M345" s="7"/>
      <c r="N345" s="7"/>
      <c r="O345" s="7"/>
      <c r="P345" s="268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ht="18.0" customHeight="1">
      <c r="A346" s="7"/>
      <c r="B346" s="7"/>
      <c r="C346" s="7"/>
      <c r="D346" s="7"/>
      <c r="E346" s="7"/>
      <c r="F346" s="267"/>
      <c r="G346" s="7"/>
      <c r="H346" s="7"/>
      <c r="I346" s="7"/>
      <c r="J346" s="7"/>
      <c r="K346" s="7"/>
      <c r="L346" s="7"/>
      <c r="M346" s="7"/>
      <c r="N346" s="7"/>
      <c r="O346" s="7"/>
      <c r="P346" s="268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ht="18.0" customHeight="1">
      <c r="A347" s="7"/>
      <c r="B347" s="7"/>
      <c r="C347" s="7"/>
      <c r="D347" s="7"/>
      <c r="E347" s="7"/>
      <c r="F347" s="267"/>
      <c r="G347" s="7"/>
      <c r="H347" s="7"/>
      <c r="I347" s="7"/>
      <c r="J347" s="7"/>
      <c r="K347" s="7"/>
      <c r="L347" s="7"/>
      <c r="M347" s="7"/>
      <c r="N347" s="7"/>
      <c r="O347" s="7"/>
      <c r="P347" s="268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ht="18.0" customHeight="1">
      <c r="A348" s="7"/>
      <c r="B348" s="7"/>
      <c r="C348" s="7"/>
      <c r="D348" s="7"/>
      <c r="E348" s="7"/>
      <c r="F348" s="267"/>
      <c r="G348" s="7"/>
      <c r="H348" s="7"/>
      <c r="I348" s="7"/>
      <c r="J348" s="7"/>
      <c r="K348" s="7"/>
      <c r="L348" s="7"/>
      <c r="M348" s="7"/>
      <c r="N348" s="7"/>
      <c r="O348" s="7"/>
      <c r="P348" s="268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ht="18.0" customHeight="1">
      <c r="A349" s="7"/>
      <c r="B349" s="7"/>
      <c r="C349" s="7"/>
      <c r="D349" s="7"/>
      <c r="E349" s="7"/>
      <c r="F349" s="267"/>
      <c r="G349" s="7"/>
      <c r="H349" s="7"/>
      <c r="I349" s="7"/>
      <c r="J349" s="7"/>
      <c r="K349" s="7"/>
      <c r="L349" s="7"/>
      <c r="M349" s="7"/>
      <c r="N349" s="7"/>
      <c r="O349" s="7"/>
      <c r="P349" s="268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ht="18.0" customHeight="1">
      <c r="A350" s="7"/>
      <c r="B350" s="7"/>
      <c r="C350" s="7"/>
      <c r="D350" s="7"/>
      <c r="E350" s="7"/>
      <c r="F350" s="267"/>
      <c r="G350" s="7"/>
      <c r="H350" s="7"/>
      <c r="I350" s="7"/>
      <c r="J350" s="7"/>
      <c r="K350" s="7"/>
      <c r="L350" s="7"/>
      <c r="M350" s="7"/>
      <c r="N350" s="7"/>
      <c r="O350" s="7"/>
      <c r="P350" s="268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ht="18.0" customHeight="1">
      <c r="A351" s="7"/>
      <c r="B351" s="7"/>
      <c r="C351" s="7"/>
      <c r="D351" s="7"/>
      <c r="E351" s="7"/>
      <c r="F351" s="267"/>
      <c r="G351" s="7"/>
      <c r="H351" s="7"/>
      <c r="I351" s="7"/>
      <c r="J351" s="7"/>
      <c r="K351" s="7"/>
      <c r="L351" s="7"/>
      <c r="M351" s="7"/>
      <c r="N351" s="7"/>
      <c r="O351" s="7"/>
      <c r="P351" s="268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ht="18.0" customHeight="1">
      <c r="A352" s="7"/>
      <c r="B352" s="7"/>
      <c r="C352" s="7"/>
      <c r="D352" s="7"/>
      <c r="E352" s="7"/>
      <c r="F352" s="267"/>
      <c r="G352" s="7"/>
      <c r="H352" s="7"/>
      <c r="I352" s="7"/>
      <c r="J352" s="7"/>
      <c r="K352" s="7"/>
      <c r="L352" s="7"/>
      <c r="M352" s="7"/>
      <c r="N352" s="7"/>
      <c r="O352" s="7"/>
      <c r="P352" s="268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ht="18.0" customHeight="1">
      <c r="A353" s="7"/>
      <c r="B353" s="7"/>
      <c r="C353" s="7"/>
      <c r="D353" s="7"/>
      <c r="E353" s="7"/>
      <c r="F353" s="267"/>
      <c r="G353" s="7"/>
      <c r="H353" s="7"/>
      <c r="I353" s="7"/>
      <c r="J353" s="7"/>
      <c r="K353" s="7"/>
      <c r="L353" s="7"/>
      <c r="M353" s="7"/>
      <c r="N353" s="7"/>
      <c r="O353" s="7"/>
      <c r="P353" s="268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ht="18.0" customHeight="1">
      <c r="A354" s="7"/>
      <c r="B354" s="7"/>
      <c r="C354" s="7"/>
      <c r="D354" s="7"/>
      <c r="E354" s="7"/>
      <c r="F354" s="267"/>
      <c r="G354" s="7"/>
      <c r="H354" s="7"/>
      <c r="I354" s="7"/>
      <c r="J354" s="7"/>
      <c r="K354" s="7"/>
      <c r="L354" s="7"/>
      <c r="M354" s="7"/>
      <c r="N354" s="7"/>
      <c r="O354" s="7"/>
      <c r="P354" s="268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ht="18.0" customHeight="1">
      <c r="A355" s="7"/>
      <c r="B355" s="7"/>
      <c r="C355" s="7"/>
      <c r="D355" s="7"/>
      <c r="E355" s="7"/>
      <c r="F355" s="267"/>
      <c r="G355" s="7"/>
      <c r="H355" s="7"/>
      <c r="I355" s="7"/>
      <c r="J355" s="7"/>
      <c r="K355" s="7"/>
      <c r="L355" s="7"/>
      <c r="M355" s="7"/>
      <c r="N355" s="7"/>
      <c r="O355" s="7"/>
      <c r="P355" s="268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ht="18.0" customHeight="1">
      <c r="A356" s="7"/>
      <c r="B356" s="7"/>
      <c r="C356" s="7"/>
      <c r="D356" s="7"/>
      <c r="E356" s="7"/>
      <c r="F356" s="267"/>
      <c r="G356" s="7"/>
      <c r="H356" s="7"/>
      <c r="I356" s="7"/>
      <c r="J356" s="7"/>
      <c r="K356" s="7"/>
      <c r="L356" s="7"/>
      <c r="M356" s="7"/>
      <c r="N356" s="7"/>
      <c r="O356" s="7"/>
      <c r="P356" s="268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ht="18.0" customHeight="1">
      <c r="A357" s="7"/>
      <c r="B357" s="7"/>
      <c r="C357" s="7"/>
      <c r="D357" s="7"/>
      <c r="E357" s="7"/>
      <c r="F357" s="267"/>
      <c r="G357" s="7"/>
      <c r="H357" s="7"/>
      <c r="I357" s="7"/>
      <c r="J357" s="7"/>
      <c r="K357" s="7"/>
      <c r="L357" s="7"/>
      <c r="M357" s="7"/>
      <c r="N357" s="7"/>
      <c r="O357" s="7"/>
      <c r="P357" s="268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ht="18.0" customHeight="1">
      <c r="A358" s="7"/>
      <c r="B358" s="7"/>
      <c r="C358" s="7"/>
      <c r="D358" s="7"/>
      <c r="E358" s="7"/>
      <c r="F358" s="267"/>
      <c r="G358" s="7"/>
      <c r="H358" s="7"/>
      <c r="I358" s="7"/>
      <c r="J358" s="7"/>
      <c r="K358" s="7"/>
      <c r="L358" s="7"/>
      <c r="M358" s="7"/>
      <c r="N358" s="7"/>
      <c r="O358" s="7"/>
      <c r="P358" s="268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ht="18.0" customHeight="1">
      <c r="A359" s="7"/>
      <c r="B359" s="7"/>
      <c r="C359" s="7"/>
      <c r="D359" s="7"/>
      <c r="E359" s="7"/>
      <c r="F359" s="267"/>
      <c r="G359" s="7"/>
      <c r="H359" s="7"/>
      <c r="I359" s="7"/>
      <c r="J359" s="7"/>
      <c r="K359" s="7"/>
      <c r="L359" s="7"/>
      <c r="M359" s="7"/>
      <c r="N359" s="7"/>
      <c r="O359" s="7"/>
      <c r="P359" s="268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ht="18.0" customHeight="1">
      <c r="A360" s="7"/>
      <c r="B360" s="7"/>
      <c r="C360" s="7"/>
      <c r="D360" s="7"/>
      <c r="E360" s="7"/>
      <c r="F360" s="267"/>
      <c r="G360" s="7"/>
      <c r="H360" s="7"/>
      <c r="I360" s="7"/>
      <c r="J360" s="7"/>
      <c r="K360" s="7"/>
      <c r="L360" s="7"/>
      <c r="M360" s="7"/>
      <c r="N360" s="7"/>
      <c r="O360" s="7"/>
      <c r="P360" s="268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ht="18.0" customHeight="1">
      <c r="A361" s="7"/>
      <c r="B361" s="7"/>
      <c r="C361" s="7"/>
      <c r="D361" s="7"/>
      <c r="E361" s="7"/>
      <c r="F361" s="267"/>
      <c r="G361" s="7"/>
      <c r="H361" s="7"/>
      <c r="I361" s="7"/>
      <c r="J361" s="7"/>
      <c r="K361" s="7"/>
      <c r="L361" s="7"/>
      <c r="M361" s="7"/>
      <c r="N361" s="7"/>
      <c r="O361" s="7"/>
      <c r="P361" s="268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ht="18.0" customHeight="1">
      <c r="A362" s="7"/>
      <c r="B362" s="7"/>
      <c r="C362" s="7"/>
      <c r="D362" s="7"/>
      <c r="E362" s="7"/>
      <c r="F362" s="267"/>
      <c r="G362" s="7"/>
      <c r="H362" s="7"/>
      <c r="I362" s="7"/>
      <c r="J362" s="7"/>
      <c r="K362" s="7"/>
      <c r="L362" s="7"/>
      <c r="M362" s="7"/>
      <c r="N362" s="7"/>
      <c r="O362" s="7"/>
      <c r="P362" s="268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ht="18.0" customHeight="1">
      <c r="A363" s="7"/>
      <c r="B363" s="7"/>
      <c r="C363" s="7"/>
      <c r="D363" s="7"/>
      <c r="E363" s="7"/>
      <c r="F363" s="267"/>
      <c r="G363" s="7"/>
      <c r="H363" s="7"/>
      <c r="I363" s="7"/>
      <c r="J363" s="7"/>
      <c r="K363" s="7"/>
      <c r="L363" s="7"/>
      <c r="M363" s="7"/>
      <c r="N363" s="7"/>
      <c r="O363" s="7"/>
      <c r="P363" s="268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ht="18.0" customHeight="1">
      <c r="A364" s="7"/>
      <c r="B364" s="7"/>
      <c r="C364" s="7"/>
      <c r="D364" s="7"/>
      <c r="E364" s="7"/>
      <c r="F364" s="267"/>
      <c r="G364" s="7"/>
      <c r="H364" s="7"/>
      <c r="I364" s="7"/>
      <c r="J364" s="7"/>
      <c r="K364" s="7"/>
      <c r="L364" s="7"/>
      <c r="M364" s="7"/>
      <c r="N364" s="7"/>
      <c r="O364" s="7"/>
      <c r="P364" s="268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ht="18.0" customHeight="1">
      <c r="A365" s="7"/>
      <c r="B365" s="7"/>
      <c r="C365" s="7"/>
      <c r="D365" s="7"/>
      <c r="E365" s="7"/>
      <c r="F365" s="267"/>
      <c r="G365" s="7"/>
      <c r="H365" s="7"/>
      <c r="I365" s="7"/>
      <c r="J365" s="7"/>
      <c r="K365" s="7"/>
      <c r="L365" s="7"/>
      <c r="M365" s="7"/>
      <c r="N365" s="7"/>
      <c r="O365" s="7"/>
      <c r="P365" s="268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ht="18.0" customHeight="1">
      <c r="A366" s="7"/>
      <c r="B366" s="7"/>
      <c r="C366" s="7"/>
      <c r="D366" s="7"/>
      <c r="E366" s="7"/>
      <c r="F366" s="267"/>
      <c r="G366" s="7"/>
      <c r="H366" s="7"/>
      <c r="I366" s="7"/>
      <c r="J366" s="7"/>
      <c r="K366" s="7"/>
      <c r="L366" s="7"/>
      <c r="M366" s="7"/>
      <c r="N366" s="7"/>
      <c r="O366" s="7"/>
      <c r="P366" s="268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ht="18.0" customHeight="1">
      <c r="A367" s="7"/>
      <c r="B367" s="7"/>
      <c r="C367" s="7"/>
      <c r="D367" s="7"/>
      <c r="E367" s="7"/>
      <c r="F367" s="267"/>
      <c r="G367" s="7"/>
      <c r="H367" s="7"/>
      <c r="I367" s="7"/>
      <c r="J367" s="7"/>
      <c r="K367" s="7"/>
      <c r="L367" s="7"/>
      <c r="M367" s="7"/>
      <c r="N367" s="7"/>
      <c r="O367" s="7"/>
      <c r="P367" s="268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ht="18.0" customHeight="1">
      <c r="A368" s="7"/>
      <c r="B368" s="7"/>
      <c r="C368" s="7"/>
      <c r="D368" s="7"/>
      <c r="E368" s="7"/>
      <c r="F368" s="267"/>
      <c r="G368" s="7"/>
      <c r="H368" s="7"/>
      <c r="I368" s="7"/>
      <c r="J368" s="7"/>
      <c r="K368" s="7"/>
      <c r="L368" s="7"/>
      <c r="M368" s="7"/>
      <c r="N368" s="7"/>
      <c r="O368" s="7"/>
      <c r="P368" s="268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ht="18.0" customHeight="1">
      <c r="A369" s="7"/>
      <c r="B369" s="7"/>
      <c r="C369" s="7"/>
      <c r="D369" s="7"/>
      <c r="E369" s="7"/>
      <c r="F369" s="267"/>
      <c r="G369" s="7"/>
      <c r="H369" s="7"/>
      <c r="I369" s="7"/>
      <c r="J369" s="7"/>
      <c r="K369" s="7"/>
      <c r="L369" s="7"/>
      <c r="M369" s="7"/>
      <c r="N369" s="7"/>
      <c r="O369" s="7"/>
      <c r="P369" s="268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ht="18.0" customHeight="1">
      <c r="A370" s="7"/>
      <c r="B370" s="7"/>
      <c r="C370" s="7"/>
      <c r="D370" s="7"/>
      <c r="E370" s="7"/>
      <c r="F370" s="267"/>
      <c r="G370" s="7"/>
      <c r="H370" s="7"/>
      <c r="I370" s="7"/>
      <c r="J370" s="7"/>
      <c r="K370" s="7"/>
      <c r="L370" s="7"/>
      <c r="M370" s="7"/>
      <c r="N370" s="7"/>
      <c r="O370" s="7"/>
      <c r="P370" s="268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ht="18.0" customHeight="1">
      <c r="A371" s="7"/>
      <c r="B371" s="7"/>
      <c r="C371" s="7"/>
      <c r="D371" s="7"/>
      <c r="E371" s="7"/>
      <c r="F371" s="267"/>
      <c r="G371" s="7"/>
      <c r="H371" s="7"/>
      <c r="I371" s="7"/>
      <c r="J371" s="7"/>
      <c r="K371" s="7"/>
      <c r="L371" s="7"/>
      <c r="M371" s="7"/>
      <c r="N371" s="7"/>
      <c r="O371" s="7"/>
      <c r="P371" s="268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ht="18.0" customHeight="1">
      <c r="A372" s="7"/>
      <c r="B372" s="7"/>
      <c r="C372" s="7"/>
      <c r="D372" s="7"/>
      <c r="E372" s="7"/>
      <c r="F372" s="267"/>
      <c r="G372" s="7"/>
      <c r="H372" s="7"/>
      <c r="I372" s="7"/>
      <c r="J372" s="7"/>
      <c r="K372" s="7"/>
      <c r="L372" s="7"/>
      <c r="M372" s="7"/>
      <c r="N372" s="7"/>
      <c r="O372" s="7"/>
      <c r="P372" s="268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ht="18.0" customHeight="1">
      <c r="A373" s="7"/>
      <c r="B373" s="7"/>
      <c r="C373" s="7"/>
      <c r="D373" s="7"/>
      <c r="E373" s="7"/>
      <c r="F373" s="267"/>
      <c r="G373" s="7"/>
      <c r="H373" s="7"/>
      <c r="I373" s="7"/>
      <c r="J373" s="7"/>
      <c r="K373" s="7"/>
      <c r="L373" s="7"/>
      <c r="M373" s="7"/>
      <c r="N373" s="7"/>
      <c r="O373" s="7"/>
      <c r="P373" s="268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ht="18.0" customHeight="1">
      <c r="A374" s="7"/>
      <c r="B374" s="7"/>
      <c r="C374" s="7"/>
      <c r="D374" s="7"/>
      <c r="E374" s="7"/>
      <c r="F374" s="267"/>
      <c r="G374" s="7"/>
      <c r="H374" s="7"/>
      <c r="I374" s="7"/>
      <c r="J374" s="7"/>
      <c r="K374" s="7"/>
      <c r="L374" s="7"/>
      <c r="M374" s="7"/>
      <c r="N374" s="7"/>
      <c r="O374" s="7"/>
      <c r="P374" s="268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ht="18.0" customHeight="1">
      <c r="A375" s="7"/>
      <c r="B375" s="7"/>
      <c r="C375" s="7"/>
      <c r="D375" s="7"/>
      <c r="E375" s="7"/>
      <c r="F375" s="267"/>
      <c r="G375" s="7"/>
      <c r="H375" s="7"/>
      <c r="I375" s="7"/>
      <c r="J375" s="7"/>
      <c r="K375" s="7"/>
      <c r="L375" s="7"/>
      <c r="M375" s="7"/>
      <c r="N375" s="7"/>
      <c r="O375" s="7"/>
      <c r="P375" s="268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ht="18.0" customHeight="1">
      <c r="A376" s="7"/>
      <c r="B376" s="7"/>
      <c r="C376" s="7"/>
      <c r="D376" s="7"/>
      <c r="E376" s="7"/>
      <c r="F376" s="267"/>
      <c r="G376" s="7"/>
      <c r="H376" s="7"/>
      <c r="I376" s="7"/>
      <c r="J376" s="7"/>
      <c r="K376" s="7"/>
      <c r="L376" s="7"/>
      <c r="M376" s="7"/>
      <c r="N376" s="7"/>
      <c r="O376" s="7"/>
      <c r="P376" s="268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ht="18.0" customHeight="1">
      <c r="A377" s="7"/>
      <c r="B377" s="7"/>
      <c r="C377" s="7"/>
      <c r="D377" s="7"/>
      <c r="E377" s="7"/>
      <c r="F377" s="267"/>
      <c r="G377" s="7"/>
      <c r="H377" s="7"/>
      <c r="I377" s="7"/>
      <c r="J377" s="7"/>
      <c r="K377" s="7"/>
      <c r="L377" s="7"/>
      <c r="M377" s="7"/>
      <c r="N377" s="7"/>
      <c r="O377" s="7"/>
      <c r="P377" s="268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ht="18.0" customHeight="1">
      <c r="A378" s="7"/>
      <c r="B378" s="7"/>
      <c r="C378" s="7"/>
      <c r="D378" s="7"/>
      <c r="E378" s="7"/>
      <c r="F378" s="267"/>
      <c r="G378" s="7"/>
      <c r="H378" s="7"/>
      <c r="I378" s="7"/>
      <c r="J378" s="7"/>
      <c r="K378" s="7"/>
      <c r="L378" s="7"/>
      <c r="M378" s="7"/>
      <c r="N378" s="7"/>
      <c r="O378" s="7"/>
      <c r="P378" s="268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ht="18.0" customHeight="1">
      <c r="A379" s="7"/>
      <c r="B379" s="7"/>
      <c r="C379" s="7"/>
      <c r="D379" s="7"/>
      <c r="E379" s="7"/>
      <c r="F379" s="267"/>
      <c r="G379" s="7"/>
      <c r="H379" s="7"/>
      <c r="I379" s="7"/>
      <c r="J379" s="7"/>
      <c r="K379" s="7"/>
      <c r="L379" s="7"/>
      <c r="M379" s="7"/>
      <c r="N379" s="7"/>
      <c r="O379" s="7"/>
      <c r="P379" s="268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ht="18.0" customHeight="1">
      <c r="A380" s="7"/>
      <c r="B380" s="7"/>
      <c r="C380" s="7"/>
      <c r="D380" s="7"/>
      <c r="E380" s="7"/>
      <c r="F380" s="267"/>
      <c r="G380" s="7"/>
      <c r="H380" s="7"/>
      <c r="I380" s="7"/>
      <c r="J380" s="7"/>
      <c r="K380" s="7"/>
      <c r="L380" s="7"/>
      <c r="M380" s="7"/>
      <c r="N380" s="7"/>
      <c r="O380" s="7"/>
      <c r="P380" s="268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ht="18.0" customHeight="1">
      <c r="A381" s="7"/>
      <c r="B381" s="7"/>
      <c r="C381" s="7"/>
      <c r="D381" s="7"/>
      <c r="E381" s="7"/>
      <c r="F381" s="267"/>
      <c r="G381" s="7"/>
      <c r="H381" s="7"/>
      <c r="I381" s="7"/>
      <c r="J381" s="7"/>
      <c r="K381" s="7"/>
      <c r="L381" s="7"/>
      <c r="M381" s="7"/>
      <c r="N381" s="7"/>
      <c r="O381" s="7"/>
      <c r="P381" s="268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ht="18.0" customHeight="1">
      <c r="A382" s="7"/>
      <c r="B382" s="7"/>
      <c r="C382" s="7"/>
      <c r="D382" s="7"/>
      <c r="E382" s="7"/>
      <c r="F382" s="267"/>
      <c r="G382" s="7"/>
      <c r="H382" s="7"/>
      <c r="I382" s="7"/>
      <c r="J382" s="7"/>
      <c r="K382" s="7"/>
      <c r="L382" s="7"/>
      <c r="M382" s="7"/>
      <c r="N382" s="7"/>
      <c r="O382" s="7"/>
      <c r="P382" s="268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ht="18.0" customHeight="1">
      <c r="A383" s="7"/>
      <c r="B383" s="7"/>
      <c r="C383" s="7"/>
      <c r="D383" s="7"/>
      <c r="E383" s="7"/>
      <c r="F383" s="267"/>
      <c r="G383" s="7"/>
      <c r="H383" s="7"/>
      <c r="I383" s="7"/>
      <c r="J383" s="7"/>
      <c r="K383" s="7"/>
      <c r="L383" s="7"/>
      <c r="M383" s="7"/>
      <c r="N383" s="7"/>
      <c r="O383" s="7"/>
      <c r="P383" s="268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ht="18.0" customHeight="1">
      <c r="A384" s="7"/>
      <c r="B384" s="7"/>
      <c r="C384" s="7"/>
      <c r="D384" s="7"/>
      <c r="E384" s="7"/>
      <c r="F384" s="267"/>
      <c r="G384" s="7"/>
      <c r="H384" s="7"/>
      <c r="I384" s="7"/>
      <c r="J384" s="7"/>
      <c r="K384" s="7"/>
      <c r="L384" s="7"/>
      <c r="M384" s="7"/>
      <c r="N384" s="7"/>
      <c r="O384" s="7"/>
      <c r="P384" s="268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ht="18.0" customHeight="1">
      <c r="A385" s="7"/>
      <c r="B385" s="7"/>
      <c r="C385" s="7"/>
      <c r="D385" s="7"/>
      <c r="E385" s="7"/>
      <c r="F385" s="267"/>
      <c r="G385" s="7"/>
      <c r="H385" s="7"/>
      <c r="I385" s="7"/>
      <c r="J385" s="7"/>
      <c r="K385" s="7"/>
      <c r="L385" s="7"/>
      <c r="M385" s="7"/>
      <c r="N385" s="7"/>
      <c r="O385" s="7"/>
      <c r="P385" s="268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ht="18.0" customHeight="1">
      <c r="A386" s="7"/>
      <c r="B386" s="7"/>
      <c r="C386" s="7"/>
      <c r="D386" s="7"/>
      <c r="E386" s="7"/>
      <c r="F386" s="267"/>
      <c r="G386" s="7"/>
      <c r="H386" s="7"/>
      <c r="I386" s="7"/>
      <c r="J386" s="7"/>
      <c r="K386" s="7"/>
      <c r="L386" s="7"/>
      <c r="M386" s="7"/>
      <c r="N386" s="7"/>
      <c r="O386" s="7"/>
      <c r="P386" s="268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ht="18.0" customHeight="1">
      <c r="A387" s="7"/>
      <c r="B387" s="7"/>
      <c r="C387" s="7"/>
      <c r="D387" s="7"/>
      <c r="E387" s="7"/>
      <c r="F387" s="267"/>
      <c r="G387" s="7"/>
      <c r="H387" s="7"/>
      <c r="I387" s="7"/>
      <c r="J387" s="7"/>
      <c r="K387" s="7"/>
      <c r="L387" s="7"/>
      <c r="M387" s="7"/>
      <c r="N387" s="7"/>
      <c r="O387" s="7"/>
      <c r="P387" s="268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ht="18.0" customHeight="1">
      <c r="A388" s="7"/>
      <c r="B388" s="7"/>
      <c r="C388" s="7"/>
      <c r="D388" s="7"/>
      <c r="E388" s="7"/>
      <c r="F388" s="267"/>
      <c r="G388" s="7"/>
      <c r="H388" s="7"/>
      <c r="I388" s="7"/>
      <c r="J388" s="7"/>
      <c r="K388" s="7"/>
      <c r="L388" s="7"/>
      <c r="M388" s="7"/>
      <c r="N388" s="7"/>
      <c r="O388" s="7"/>
      <c r="P388" s="268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ht="18.0" customHeight="1">
      <c r="A389" s="7"/>
      <c r="B389" s="7"/>
      <c r="C389" s="7"/>
      <c r="D389" s="7"/>
      <c r="E389" s="7"/>
      <c r="F389" s="267"/>
      <c r="G389" s="7"/>
      <c r="H389" s="7"/>
      <c r="I389" s="7"/>
      <c r="J389" s="7"/>
      <c r="K389" s="7"/>
      <c r="L389" s="7"/>
      <c r="M389" s="7"/>
      <c r="N389" s="7"/>
      <c r="O389" s="7"/>
      <c r="P389" s="268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ht="18.0" customHeight="1">
      <c r="A390" s="7"/>
      <c r="B390" s="7"/>
      <c r="C390" s="7"/>
      <c r="D390" s="7"/>
      <c r="E390" s="7"/>
      <c r="F390" s="267"/>
      <c r="G390" s="7"/>
      <c r="H390" s="7"/>
      <c r="I390" s="7"/>
      <c r="J390" s="7"/>
      <c r="K390" s="7"/>
      <c r="L390" s="7"/>
      <c r="M390" s="7"/>
      <c r="N390" s="7"/>
      <c r="O390" s="7"/>
      <c r="P390" s="268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ht="18.0" customHeight="1">
      <c r="A391" s="7"/>
      <c r="B391" s="7"/>
      <c r="C391" s="7"/>
      <c r="D391" s="7"/>
      <c r="E391" s="7"/>
      <c r="F391" s="267"/>
      <c r="G391" s="7"/>
      <c r="H391" s="7"/>
      <c r="I391" s="7"/>
      <c r="J391" s="7"/>
      <c r="K391" s="7"/>
      <c r="L391" s="7"/>
      <c r="M391" s="7"/>
      <c r="N391" s="7"/>
      <c r="O391" s="7"/>
      <c r="P391" s="268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ht="18.0" customHeight="1">
      <c r="A392" s="7"/>
      <c r="B392" s="7"/>
      <c r="C392" s="7"/>
      <c r="D392" s="7"/>
      <c r="E392" s="7"/>
      <c r="F392" s="267"/>
      <c r="G392" s="7"/>
      <c r="H392" s="7"/>
      <c r="I392" s="7"/>
      <c r="J392" s="7"/>
      <c r="K392" s="7"/>
      <c r="L392" s="7"/>
      <c r="M392" s="7"/>
      <c r="N392" s="7"/>
      <c r="O392" s="7"/>
      <c r="P392" s="268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ht="18.0" customHeight="1">
      <c r="A393" s="7"/>
      <c r="B393" s="7"/>
      <c r="C393" s="7"/>
      <c r="D393" s="7"/>
      <c r="E393" s="7"/>
      <c r="F393" s="267"/>
      <c r="G393" s="7"/>
      <c r="H393" s="7"/>
      <c r="I393" s="7"/>
      <c r="J393" s="7"/>
      <c r="K393" s="7"/>
      <c r="L393" s="7"/>
      <c r="M393" s="7"/>
      <c r="N393" s="7"/>
      <c r="O393" s="7"/>
      <c r="P393" s="268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ht="18.0" customHeight="1">
      <c r="A394" s="7"/>
      <c r="B394" s="7"/>
      <c r="C394" s="7"/>
      <c r="D394" s="7"/>
      <c r="E394" s="7"/>
      <c r="F394" s="267"/>
      <c r="G394" s="7"/>
      <c r="H394" s="7"/>
      <c r="I394" s="7"/>
      <c r="J394" s="7"/>
      <c r="K394" s="7"/>
      <c r="L394" s="7"/>
      <c r="M394" s="7"/>
      <c r="N394" s="7"/>
      <c r="O394" s="7"/>
      <c r="P394" s="268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ht="18.0" customHeight="1">
      <c r="A395" s="7"/>
      <c r="B395" s="7"/>
      <c r="C395" s="7"/>
      <c r="D395" s="7"/>
      <c r="E395" s="7"/>
      <c r="F395" s="267"/>
      <c r="G395" s="7"/>
      <c r="H395" s="7"/>
      <c r="I395" s="7"/>
      <c r="J395" s="7"/>
      <c r="K395" s="7"/>
      <c r="L395" s="7"/>
      <c r="M395" s="7"/>
      <c r="N395" s="7"/>
      <c r="O395" s="7"/>
      <c r="P395" s="268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ht="18.0" customHeight="1">
      <c r="A396" s="7"/>
      <c r="B396" s="7"/>
      <c r="C396" s="7"/>
      <c r="D396" s="7"/>
      <c r="E396" s="7"/>
      <c r="F396" s="267"/>
      <c r="G396" s="7"/>
      <c r="H396" s="7"/>
      <c r="I396" s="7"/>
      <c r="J396" s="7"/>
      <c r="K396" s="7"/>
      <c r="L396" s="7"/>
      <c r="M396" s="7"/>
      <c r="N396" s="7"/>
      <c r="O396" s="7"/>
      <c r="P396" s="268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ht="18.0" customHeight="1">
      <c r="A397" s="7"/>
      <c r="B397" s="7"/>
      <c r="C397" s="7"/>
      <c r="D397" s="7"/>
      <c r="E397" s="7"/>
      <c r="F397" s="267"/>
      <c r="G397" s="7"/>
      <c r="H397" s="7"/>
      <c r="I397" s="7"/>
      <c r="J397" s="7"/>
      <c r="K397" s="7"/>
      <c r="L397" s="7"/>
      <c r="M397" s="7"/>
      <c r="N397" s="7"/>
      <c r="O397" s="7"/>
      <c r="P397" s="268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ht="18.0" customHeight="1">
      <c r="A398" s="7"/>
      <c r="B398" s="7"/>
      <c r="C398" s="7"/>
      <c r="D398" s="7"/>
      <c r="E398" s="7"/>
      <c r="F398" s="267"/>
      <c r="G398" s="7"/>
      <c r="H398" s="7"/>
      <c r="I398" s="7"/>
      <c r="J398" s="7"/>
      <c r="K398" s="7"/>
      <c r="L398" s="7"/>
      <c r="M398" s="7"/>
      <c r="N398" s="7"/>
      <c r="O398" s="7"/>
      <c r="P398" s="268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ht="18.0" customHeight="1">
      <c r="A399" s="7"/>
      <c r="B399" s="7"/>
      <c r="C399" s="7"/>
      <c r="D399" s="7"/>
      <c r="E399" s="7"/>
      <c r="F399" s="267"/>
      <c r="G399" s="7"/>
      <c r="H399" s="7"/>
      <c r="I399" s="7"/>
      <c r="J399" s="7"/>
      <c r="K399" s="7"/>
      <c r="L399" s="7"/>
      <c r="M399" s="7"/>
      <c r="N399" s="7"/>
      <c r="O399" s="7"/>
      <c r="P399" s="268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ht="18.0" customHeight="1">
      <c r="A400" s="7"/>
      <c r="B400" s="7"/>
      <c r="C400" s="7"/>
      <c r="D400" s="7"/>
      <c r="E400" s="7"/>
      <c r="F400" s="267"/>
      <c r="G400" s="7"/>
      <c r="H400" s="7"/>
      <c r="I400" s="7"/>
      <c r="J400" s="7"/>
      <c r="K400" s="7"/>
      <c r="L400" s="7"/>
      <c r="M400" s="7"/>
      <c r="N400" s="7"/>
      <c r="O400" s="7"/>
      <c r="P400" s="268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ht="18.0" customHeight="1">
      <c r="A401" s="7"/>
      <c r="B401" s="7"/>
      <c r="C401" s="7"/>
      <c r="D401" s="7"/>
      <c r="E401" s="7"/>
      <c r="F401" s="267"/>
      <c r="G401" s="7"/>
      <c r="H401" s="7"/>
      <c r="I401" s="7"/>
      <c r="J401" s="7"/>
      <c r="K401" s="7"/>
      <c r="L401" s="7"/>
      <c r="M401" s="7"/>
      <c r="N401" s="7"/>
      <c r="O401" s="7"/>
      <c r="P401" s="268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ht="18.0" customHeight="1">
      <c r="A402" s="7"/>
      <c r="B402" s="7"/>
      <c r="C402" s="7"/>
      <c r="D402" s="7"/>
      <c r="E402" s="7"/>
      <c r="F402" s="267"/>
      <c r="G402" s="7"/>
      <c r="H402" s="7"/>
      <c r="I402" s="7"/>
      <c r="J402" s="7"/>
      <c r="K402" s="7"/>
      <c r="L402" s="7"/>
      <c r="M402" s="7"/>
      <c r="N402" s="7"/>
      <c r="O402" s="7"/>
      <c r="P402" s="268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ht="18.0" customHeight="1">
      <c r="A403" s="7"/>
      <c r="B403" s="7"/>
      <c r="C403" s="7"/>
      <c r="D403" s="7"/>
      <c r="E403" s="7"/>
      <c r="F403" s="267"/>
      <c r="G403" s="7"/>
      <c r="H403" s="7"/>
      <c r="I403" s="7"/>
      <c r="J403" s="7"/>
      <c r="K403" s="7"/>
      <c r="L403" s="7"/>
      <c r="M403" s="7"/>
      <c r="N403" s="7"/>
      <c r="O403" s="7"/>
      <c r="P403" s="268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ht="18.0" customHeight="1">
      <c r="A404" s="7"/>
      <c r="B404" s="7"/>
      <c r="C404" s="7"/>
      <c r="D404" s="7"/>
      <c r="E404" s="7"/>
      <c r="F404" s="267"/>
      <c r="G404" s="7"/>
      <c r="H404" s="7"/>
      <c r="I404" s="7"/>
      <c r="J404" s="7"/>
      <c r="K404" s="7"/>
      <c r="L404" s="7"/>
      <c r="M404" s="7"/>
      <c r="N404" s="7"/>
      <c r="O404" s="7"/>
      <c r="P404" s="268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ht="18.0" customHeight="1">
      <c r="A405" s="7"/>
      <c r="B405" s="7"/>
      <c r="C405" s="7"/>
      <c r="D405" s="7"/>
      <c r="E405" s="7"/>
      <c r="F405" s="267"/>
      <c r="G405" s="7"/>
      <c r="H405" s="7"/>
      <c r="I405" s="7"/>
      <c r="J405" s="7"/>
      <c r="K405" s="7"/>
      <c r="L405" s="7"/>
      <c r="M405" s="7"/>
      <c r="N405" s="7"/>
      <c r="O405" s="7"/>
      <c r="P405" s="268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ht="18.0" customHeight="1">
      <c r="A406" s="7"/>
      <c r="B406" s="7"/>
      <c r="C406" s="7"/>
      <c r="D406" s="7"/>
      <c r="E406" s="7"/>
      <c r="F406" s="267"/>
      <c r="G406" s="7"/>
      <c r="H406" s="7"/>
      <c r="I406" s="7"/>
      <c r="J406" s="7"/>
      <c r="K406" s="7"/>
      <c r="L406" s="7"/>
      <c r="M406" s="7"/>
      <c r="N406" s="7"/>
      <c r="O406" s="7"/>
      <c r="P406" s="268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ht="18.0" customHeight="1">
      <c r="A407" s="7"/>
      <c r="B407" s="7"/>
      <c r="C407" s="7"/>
      <c r="D407" s="7"/>
      <c r="E407" s="7"/>
      <c r="F407" s="267"/>
      <c r="G407" s="7"/>
      <c r="H407" s="7"/>
      <c r="I407" s="7"/>
      <c r="J407" s="7"/>
      <c r="K407" s="7"/>
      <c r="L407" s="7"/>
      <c r="M407" s="7"/>
      <c r="N407" s="7"/>
      <c r="O407" s="7"/>
      <c r="P407" s="268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ht="18.0" customHeight="1">
      <c r="A408" s="7"/>
      <c r="B408" s="7"/>
      <c r="C408" s="7"/>
      <c r="D408" s="7"/>
      <c r="E408" s="7"/>
      <c r="F408" s="267"/>
      <c r="G408" s="7"/>
      <c r="H408" s="7"/>
      <c r="I408" s="7"/>
      <c r="J408" s="7"/>
      <c r="K408" s="7"/>
      <c r="L408" s="7"/>
      <c r="M408" s="7"/>
      <c r="N408" s="7"/>
      <c r="O408" s="7"/>
      <c r="P408" s="268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ht="18.0" customHeight="1">
      <c r="A409" s="7"/>
      <c r="B409" s="7"/>
      <c r="C409" s="7"/>
      <c r="D409" s="7"/>
      <c r="E409" s="7"/>
      <c r="F409" s="267"/>
      <c r="G409" s="7"/>
      <c r="H409" s="7"/>
      <c r="I409" s="7"/>
      <c r="J409" s="7"/>
      <c r="K409" s="7"/>
      <c r="L409" s="7"/>
      <c r="M409" s="7"/>
      <c r="N409" s="7"/>
      <c r="O409" s="7"/>
      <c r="P409" s="268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ht="18.0" customHeight="1">
      <c r="A410" s="7"/>
      <c r="B410" s="7"/>
      <c r="C410" s="7"/>
      <c r="D410" s="7"/>
      <c r="E410" s="7"/>
      <c r="F410" s="267"/>
      <c r="G410" s="7"/>
      <c r="H410" s="7"/>
      <c r="I410" s="7"/>
      <c r="J410" s="7"/>
      <c r="K410" s="7"/>
      <c r="L410" s="7"/>
      <c r="M410" s="7"/>
      <c r="N410" s="7"/>
      <c r="O410" s="7"/>
      <c r="P410" s="268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ht="18.0" customHeight="1">
      <c r="A411" s="7"/>
      <c r="B411" s="7"/>
      <c r="C411" s="7"/>
      <c r="D411" s="7"/>
      <c r="E411" s="7"/>
      <c r="F411" s="267"/>
      <c r="G411" s="7"/>
      <c r="H411" s="7"/>
      <c r="I411" s="7"/>
      <c r="J411" s="7"/>
      <c r="K411" s="7"/>
      <c r="L411" s="7"/>
      <c r="M411" s="7"/>
      <c r="N411" s="7"/>
      <c r="O411" s="7"/>
      <c r="P411" s="268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ht="18.0" customHeight="1">
      <c r="A412" s="7"/>
      <c r="B412" s="7"/>
      <c r="C412" s="7"/>
      <c r="D412" s="7"/>
      <c r="E412" s="7"/>
      <c r="F412" s="267"/>
      <c r="G412" s="7"/>
      <c r="H412" s="7"/>
      <c r="I412" s="7"/>
      <c r="J412" s="7"/>
      <c r="K412" s="7"/>
      <c r="L412" s="7"/>
      <c r="M412" s="7"/>
      <c r="N412" s="7"/>
      <c r="O412" s="7"/>
      <c r="P412" s="268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ht="18.0" customHeight="1">
      <c r="A413" s="7"/>
      <c r="B413" s="7"/>
      <c r="C413" s="7"/>
      <c r="D413" s="7"/>
      <c r="E413" s="7"/>
      <c r="F413" s="267"/>
      <c r="G413" s="7"/>
      <c r="H413" s="7"/>
      <c r="I413" s="7"/>
      <c r="J413" s="7"/>
      <c r="K413" s="7"/>
      <c r="L413" s="7"/>
      <c r="M413" s="7"/>
      <c r="N413" s="7"/>
      <c r="O413" s="7"/>
      <c r="P413" s="268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ht="18.0" customHeight="1">
      <c r="A414" s="7"/>
      <c r="B414" s="7"/>
      <c r="C414" s="7"/>
      <c r="D414" s="7"/>
      <c r="E414" s="7"/>
      <c r="F414" s="267"/>
      <c r="G414" s="7"/>
      <c r="H414" s="7"/>
      <c r="I414" s="7"/>
      <c r="J414" s="7"/>
      <c r="K414" s="7"/>
      <c r="L414" s="7"/>
      <c r="M414" s="7"/>
      <c r="N414" s="7"/>
      <c r="O414" s="7"/>
      <c r="P414" s="268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ht="18.0" customHeight="1">
      <c r="A415" s="7"/>
      <c r="B415" s="7"/>
      <c r="C415" s="7"/>
      <c r="D415" s="7"/>
      <c r="E415" s="7"/>
      <c r="F415" s="267"/>
      <c r="G415" s="7"/>
      <c r="H415" s="7"/>
      <c r="I415" s="7"/>
      <c r="J415" s="7"/>
      <c r="K415" s="7"/>
      <c r="L415" s="7"/>
      <c r="M415" s="7"/>
      <c r="N415" s="7"/>
      <c r="O415" s="7"/>
      <c r="P415" s="268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ht="18.0" customHeight="1">
      <c r="A416" s="7"/>
      <c r="B416" s="7"/>
      <c r="C416" s="7"/>
      <c r="D416" s="7"/>
      <c r="E416" s="7"/>
      <c r="F416" s="267"/>
      <c r="G416" s="7"/>
      <c r="H416" s="7"/>
      <c r="I416" s="7"/>
      <c r="J416" s="7"/>
      <c r="K416" s="7"/>
      <c r="L416" s="7"/>
      <c r="M416" s="7"/>
      <c r="N416" s="7"/>
      <c r="O416" s="7"/>
      <c r="P416" s="268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ht="18.0" customHeight="1">
      <c r="A417" s="7"/>
      <c r="B417" s="7"/>
      <c r="C417" s="7"/>
      <c r="D417" s="7"/>
      <c r="E417" s="7"/>
      <c r="F417" s="267"/>
      <c r="G417" s="7"/>
      <c r="H417" s="7"/>
      <c r="I417" s="7"/>
      <c r="J417" s="7"/>
      <c r="K417" s="7"/>
      <c r="L417" s="7"/>
      <c r="M417" s="7"/>
      <c r="N417" s="7"/>
      <c r="O417" s="7"/>
      <c r="P417" s="268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ht="18.0" customHeight="1">
      <c r="A418" s="7"/>
      <c r="B418" s="7"/>
      <c r="C418" s="7"/>
      <c r="D418" s="7"/>
      <c r="E418" s="7"/>
      <c r="F418" s="267"/>
      <c r="G418" s="7"/>
      <c r="H418" s="7"/>
      <c r="I418" s="7"/>
      <c r="J418" s="7"/>
      <c r="K418" s="7"/>
      <c r="L418" s="7"/>
      <c r="M418" s="7"/>
      <c r="N418" s="7"/>
      <c r="O418" s="7"/>
      <c r="P418" s="268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ht="18.0" customHeight="1">
      <c r="A419" s="7"/>
      <c r="B419" s="7"/>
      <c r="C419" s="7"/>
      <c r="D419" s="7"/>
      <c r="E419" s="7"/>
      <c r="F419" s="267"/>
      <c r="G419" s="7"/>
      <c r="H419" s="7"/>
      <c r="I419" s="7"/>
      <c r="J419" s="7"/>
      <c r="K419" s="7"/>
      <c r="L419" s="7"/>
      <c r="M419" s="7"/>
      <c r="N419" s="7"/>
      <c r="O419" s="7"/>
      <c r="P419" s="268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ht="18.0" customHeight="1">
      <c r="A420" s="7"/>
      <c r="B420" s="7"/>
      <c r="C420" s="7"/>
      <c r="D420" s="7"/>
      <c r="E420" s="7"/>
      <c r="F420" s="267"/>
      <c r="G420" s="7"/>
      <c r="H420" s="7"/>
      <c r="I420" s="7"/>
      <c r="J420" s="7"/>
      <c r="K420" s="7"/>
      <c r="L420" s="7"/>
      <c r="M420" s="7"/>
      <c r="N420" s="7"/>
      <c r="O420" s="7"/>
      <c r="P420" s="268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ht="18.0" customHeight="1">
      <c r="A421" s="7"/>
      <c r="B421" s="7"/>
      <c r="C421" s="7"/>
      <c r="D421" s="7"/>
      <c r="E421" s="7"/>
      <c r="F421" s="267"/>
      <c r="G421" s="7"/>
      <c r="H421" s="7"/>
      <c r="I421" s="7"/>
      <c r="J421" s="7"/>
      <c r="K421" s="7"/>
      <c r="L421" s="7"/>
      <c r="M421" s="7"/>
      <c r="N421" s="7"/>
      <c r="O421" s="7"/>
      <c r="P421" s="268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ht="18.0" customHeight="1">
      <c r="A422" s="7"/>
      <c r="B422" s="7"/>
      <c r="C422" s="7"/>
      <c r="D422" s="7"/>
      <c r="E422" s="7"/>
      <c r="F422" s="267"/>
      <c r="G422" s="7"/>
      <c r="H422" s="7"/>
      <c r="I422" s="7"/>
      <c r="J422" s="7"/>
      <c r="K422" s="7"/>
      <c r="L422" s="7"/>
      <c r="M422" s="7"/>
      <c r="N422" s="7"/>
      <c r="O422" s="7"/>
      <c r="P422" s="268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ht="18.0" customHeight="1">
      <c r="A423" s="7"/>
      <c r="B423" s="7"/>
      <c r="C423" s="7"/>
      <c r="D423" s="7"/>
      <c r="E423" s="7"/>
      <c r="F423" s="267"/>
      <c r="G423" s="7"/>
      <c r="H423" s="7"/>
      <c r="I423" s="7"/>
      <c r="J423" s="7"/>
      <c r="K423" s="7"/>
      <c r="L423" s="7"/>
      <c r="M423" s="7"/>
      <c r="N423" s="7"/>
      <c r="O423" s="7"/>
      <c r="P423" s="268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ht="18.0" customHeight="1">
      <c r="A424" s="7"/>
      <c r="B424" s="7"/>
      <c r="C424" s="7"/>
      <c r="D424" s="7"/>
      <c r="E424" s="7"/>
      <c r="F424" s="267"/>
      <c r="G424" s="7"/>
      <c r="H424" s="7"/>
      <c r="I424" s="7"/>
      <c r="J424" s="7"/>
      <c r="K424" s="7"/>
      <c r="L424" s="7"/>
      <c r="M424" s="7"/>
      <c r="N424" s="7"/>
      <c r="O424" s="7"/>
      <c r="P424" s="268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ht="18.0" customHeight="1">
      <c r="A425" s="7"/>
      <c r="B425" s="7"/>
      <c r="C425" s="7"/>
      <c r="D425" s="7"/>
      <c r="E425" s="7"/>
      <c r="F425" s="267"/>
      <c r="G425" s="7"/>
      <c r="H425" s="7"/>
      <c r="I425" s="7"/>
      <c r="J425" s="7"/>
      <c r="K425" s="7"/>
      <c r="L425" s="7"/>
      <c r="M425" s="7"/>
      <c r="N425" s="7"/>
      <c r="O425" s="7"/>
      <c r="P425" s="268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ht="18.0" customHeight="1">
      <c r="A426" s="7"/>
      <c r="B426" s="7"/>
      <c r="C426" s="7"/>
      <c r="D426" s="7"/>
      <c r="E426" s="7"/>
      <c r="F426" s="267"/>
      <c r="G426" s="7"/>
      <c r="H426" s="7"/>
      <c r="I426" s="7"/>
      <c r="J426" s="7"/>
      <c r="K426" s="7"/>
      <c r="L426" s="7"/>
      <c r="M426" s="7"/>
      <c r="N426" s="7"/>
      <c r="O426" s="7"/>
      <c r="P426" s="268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ht="18.0" customHeight="1">
      <c r="A427" s="7"/>
      <c r="B427" s="7"/>
      <c r="C427" s="7"/>
      <c r="D427" s="7"/>
      <c r="E427" s="7"/>
      <c r="F427" s="267"/>
      <c r="G427" s="7"/>
      <c r="H427" s="7"/>
      <c r="I427" s="7"/>
      <c r="J427" s="7"/>
      <c r="K427" s="7"/>
      <c r="L427" s="7"/>
      <c r="M427" s="7"/>
      <c r="N427" s="7"/>
      <c r="O427" s="7"/>
      <c r="P427" s="268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ht="18.0" customHeight="1">
      <c r="A428" s="7"/>
      <c r="B428" s="7"/>
      <c r="C428" s="7"/>
      <c r="D428" s="7"/>
      <c r="E428" s="7"/>
      <c r="F428" s="267"/>
      <c r="G428" s="7"/>
      <c r="H428" s="7"/>
      <c r="I428" s="7"/>
      <c r="J428" s="7"/>
      <c r="K428" s="7"/>
      <c r="L428" s="7"/>
      <c r="M428" s="7"/>
      <c r="N428" s="7"/>
      <c r="O428" s="7"/>
      <c r="P428" s="268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ht="18.0" customHeight="1">
      <c r="A429" s="7"/>
      <c r="B429" s="7"/>
      <c r="C429" s="7"/>
      <c r="D429" s="7"/>
      <c r="E429" s="7"/>
      <c r="F429" s="267"/>
      <c r="G429" s="7"/>
      <c r="H429" s="7"/>
      <c r="I429" s="7"/>
      <c r="J429" s="7"/>
      <c r="K429" s="7"/>
      <c r="L429" s="7"/>
      <c r="M429" s="7"/>
      <c r="N429" s="7"/>
      <c r="O429" s="7"/>
      <c r="P429" s="268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ht="18.0" customHeight="1">
      <c r="A430" s="7"/>
      <c r="B430" s="7"/>
      <c r="C430" s="7"/>
      <c r="D430" s="7"/>
      <c r="E430" s="7"/>
      <c r="F430" s="267"/>
      <c r="G430" s="7"/>
      <c r="H430" s="7"/>
      <c r="I430" s="7"/>
      <c r="J430" s="7"/>
      <c r="K430" s="7"/>
      <c r="L430" s="7"/>
      <c r="M430" s="7"/>
      <c r="N430" s="7"/>
      <c r="O430" s="7"/>
      <c r="P430" s="268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ht="18.0" customHeight="1">
      <c r="A431" s="7"/>
      <c r="B431" s="7"/>
      <c r="C431" s="7"/>
      <c r="D431" s="7"/>
      <c r="E431" s="7"/>
      <c r="F431" s="267"/>
      <c r="G431" s="7"/>
      <c r="H431" s="7"/>
      <c r="I431" s="7"/>
      <c r="J431" s="7"/>
      <c r="K431" s="7"/>
      <c r="L431" s="7"/>
      <c r="M431" s="7"/>
      <c r="N431" s="7"/>
      <c r="O431" s="7"/>
      <c r="P431" s="268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ht="18.0" customHeight="1">
      <c r="A432" s="7"/>
      <c r="B432" s="7"/>
      <c r="C432" s="7"/>
      <c r="D432" s="7"/>
      <c r="E432" s="7"/>
      <c r="F432" s="267"/>
      <c r="G432" s="7"/>
      <c r="H432" s="7"/>
      <c r="I432" s="7"/>
      <c r="J432" s="7"/>
      <c r="K432" s="7"/>
      <c r="L432" s="7"/>
      <c r="M432" s="7"/>
      <c r="N432" s="7"/>
      <c r="O432" s="7"/>
      <c r="P432" s="268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ht="18.0" customHeight="1">
      <c r="A433" s="7"/>
      <c r="B433" s="7"/>
      <c r="C433" s="7"/>
      <c r="D433" s="7"/>
      <c r="E433" s="7"/>
      <c r="F433" s="267"/>
      <c r="G433" s="7"/>
      <c r="H433" s="7"/>
      <c r="I433" s="7"/>
      <c r="J433" s="7"/>
      <c r="K433" s="7"/>
      <c r="L433" s="7"/>
      <c r="M433" s="7"/>
      <c r="N433" s="7"/>
      <c r="O433" s="7"/>
      <c r="P433" s="268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ht="18.0" customHeight="1">
      <c r="A434" s="7"/>
      <c r="B434" s="7"/>
      <c r="C434" s="7"/>
      <c r="D434" s="7"/>
      <c r="E434" s="7"/>
      <c r="F434" s="267"/>
      <c r="G434" s="7"/>
      <c r="H434" s="7"/>
      <c r="I434" s="7"/>
      <c r="J434" s="7"/>
      <c r="K434" s="7"/>
      <c r="L434" s="7"/>
      <c r="M434" s="7"/>
      <c r="N434" s="7"/>
      <c r="O434" s="7"/>
      <c r="P434" s="268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ht="18.0" customHeight="1">
      <c r="A435" s="7"/>
      <c r="B435" s="7"/>
      <c r="C435" s="7"/>
      <c r="D435" s="7"/>
      <c r="E435" s="7"/>
      <c r="F435" s="267"/>
      <c r="G435" s="7"/>
      <c r="H435" s="7"/>
      <c r="I435" s="7"/>
      <c r="J435" s="7"/>
      <c r="K435" s="7"/>
      <c r="L435" s="7"/>
      <c r="M435" s="7"/>
      <c r="N435" s="7"/>
      <c r="O435" s="7"/>
      <c r="P435" s="268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ht="18.0" customHeight="1">
      <c r="A436" s="7"/>
      <c r="B436" s="7"/>
      <c r="C436" s="7"/>
      <c r="D436" s="7"/>
      <c r="E436" s="7"/>
      <c r="F436" s="267"/>
      <c r="G436" s="7"/>
      <c r="H436" s="7"/>
      <c r="I436" s="7"/>
      <c r="J436" s="7"/>
      <c r="K436" s="7"/>
      <c r="L436" s="7"/>
      <c r="M436" s="7"/>
      <c r="N436" s="7"/>
      <c r="O436" s="7"/>
      <c r="P436" s="268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ht="18.0" customHeight="1">
      <c r="A437" s="7"/>
      <c r="B437" s="7"/>
      <c r="C437" s="7"/>
      <c r="D437" s="7"/>
      <c r="E437" s="7"/>
      <c r="F437" s="267"/>
      <c r="G437" s="7"/>
      <c r="H437" s="7"/>
      <c r="I437" s="7"/>
      <c r="J437" s="7"/>
      <c r="K437" s="7"/>
      <c r="L437" s="7"/>
      <c r="M437" s="7"/>
      <c r="N437" s="7"/>
      <c r="O437" s="7"/>
      <c r="P437" s="268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ht="18.0" customHeight="1">
      <c r="A438" s="7"/>
      <c r="B438" s="7"/>
      <c r="C438" s="7"/>
      <c r="D438" s="7"/>
      <c r="E438" s="7"/>
      <c r="F438" s="267"/>
      <c r="G438" s="7"/>
      <c r="H438" s="7"/>
      <c r="I438" s="7"/>
      <c r="J438" s="7"/>
      <c r="K438" s="7"/>
      <c r="L438" s="7"/>
      <c r="M438" s="7"/>
      <c r="N438" s="7"/>
      <c r="O438" s="7"/>
      <c r="P438" s="268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ht="18.0" customHeight="1">
      <c r="A439" s="7"/>
      <c r="B439" s="7"/>
      <c r="C439" s="7"/>
      <c r="D439" s="7"/>
      <c r="E439" s="7"/>
      <c r="F439" s="267"/>
      <c r="G439" s="7"/>
      <c r="H439" s="7"/>
      <c r="I439" s="7"/>
      <c r="J439" s="7"/>
      <c r="K439" s="7"/>
      <c r="L439" s="7"/>
      <c r="M439" s="7"/>
      <c r="N439" s="7"/>
      <c r="O439" s="7"/>
      <c r="P439" s="268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ht="18.0" customHeight="1">
      <c r="A440" s="7"/>
      <c r="B440" s="7"/>
      <c r="C440" s="7"/>
      <c r="D440" s="7"/>
      <c r="E440" s="7"/>
      <c r="F440" s="267"/>
      <c r="G440" s="7"/>
      <c r="H440" s="7"/>
      <c r="I440" s="7"/>
      <c r="J440" s="7"/>
      <c r="K440" s="7"/>
      <c r="L440" s="7"/>
      <c r="M440" s="7"/>
      <c r="N440" s="7"/>
      <c r="O440" s="7"/>
      <c r="P440" s="268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ht="18.0" customHeight="1">
      <c r="A441" s="7"/>
      <c r="B441" s="7"/>
      <c r="C441" s="7"/>
      <c r="D441" s="7"/>
      <c r="E441" s="7"/>
      <c r="F441" s="267"/>
      <c r="G441" s="7"/>
      <c r="H441" s="7"/>
      <c r="I441" s="7"/>
      <c r="J441" s="7"/>
      <c r="K441" s="7"/>
      <c r="L441" s="7"/>
      <c r="M441" s="7"/>
      <c r="N441" s="7"/>
      <c r="O441" s="7"/>
      <c r="P441" s="268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ht="18.0" customHeight="1">
      <c r="A442" s="7"/>
      <c r="B442" s="7"/>
      <c r="C442" s="7"/>
      <c r="D442" s="7"/>
      <c r="E442" s="7"/>
      <c r="F442" s="267"/>
      <c r="G442" s="7"/>
      <c r="H442" s="7"/>
      <c r="I442" s="7"/>
      <c r="J442" s="7"/>
      <c r="K442" s="7"/>
      <c r="L442" s="7"/>
      <c r="M442" s="7"/>
      <c r="N442" s="7"/>
      <c r="O442" s="7"/>
      <c r="P442" s="268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ht="18.0" customHeight="1">
      <c r="A443" s="7"/>
      <c r="B443" s="7"/>
      <c r="C443" s="7"/>
      <c r="D443" s="7"/>
      <c r="E443" s="7"/>
      <c r="F443" s="267"/>
      <c r="G443" s="7"/>
      <c r="H443" s="7"/>
      <c r="I443" s="7"/>
      <c r="J443" s="7"/>
      <c r="K443" s="7"/>
      <c r="L443" s="7"/>
      <c r="M443" s="7"/>
      <c r="N443" s="7"/>
      <c r="O443" s="7"/>
      <c r="P443" s="268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ht="18.0" customHeight="1">
      <c r="A444" s="7"/>
      <c r="B444" s="7"/>
      <c r="C444" s="7"/>
      <c r="D444" s="7"/>
      <c r="E444" s="7"/>
      <c r="F444" s="267"/>
      <c r="G444" s="7"/>
      <c r="H444" s="7"/>
      <c r="I444" s="7"/>
      <c r="J444" s="7"/>
      <c r="K444" s="7"/>
      <c r="L444" s="7"/>
      <c r="M444" s="7"/>
      <c r="N444" s="7"/>
      <c r="O444" s="7"/>
      <c r="P444" s="268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ht="18.0" customHeight="1">
      <c r="A445" s="7"/>
      <c r="B445" s="7"/>
      <c r="C445" s="7"/>
      <c r="D445" s="7"/>
      <c r="E445" s="7"/>
      <c r="F445" s="267"/>
      <c r="G445" s="7"/>
      <c r="H445" s="7"/>
      <c r="I445" s="7"/>
      <c r="J445" s="7"/>
      <c r="K445" s="7"/>
      <c r="L445" s="7"/>
      <c r="M445" s="7"/>
      <c r="N445" s="7"/>
      <c r="O445" s="7"/>
      <c r="P445" s="268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ht="18.0" customHeight="1">
      <c r="A446" s="7"/>
      <c r="B446" s="7"/>
      <c r="C446" s="7"/>
      <c r="D446" s="7"/>
      <c r="E446" s="7"/>
      <c r="F446" s="267"/>
      <c r="G446" s="7"/>
      <c r="H446" s="7"/>
      <c r="I446" s="7"/>
      <c r="J446" s="7"/>
      <c r="K446" s="7"/>
      <c r="L446" s="7"/>
      <c r="M446" s="7"/>
      <c r="N446" s="7"/>
      <c r="O446" s="7"/>
      <c r="P446" s="268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ht="18.0" customHeight="1">
      <c r="A447" s="7"/>
      <c r="B447" s="7"/>
      <c r="C447" s="7"/>
      <c r="D447" s="7"/>
      <c r="E447" s="7"/>
      <c r="F447" s="267"/>
      <c r="G447" s="7"/>
      <c r="H447" s="7"/>
      <c r="I447" s="7"/>
      <c r="J447" s="7"/>
      <c r="K447" s="7"/>
      <c r="L447" s="7"/>
      <c r="M447" s="7"/>
      <c r="N447" s="7"/>
      <c r="O447" s="7"/>
      <c r="P447" s="268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ht="18.0" customHeight="1">
      <c r="A448" s="7"/>
      <c r="B448" s="7"/>
      <c r="C448" s="7"/>
      <c r="D448" s="7"/>
      <c r="E448" s="7"/>
      <c r="F448" s="267"/>
      <c r="G448" s="7"/>
      <c r="H448" s="7"/>
      <c r="I448" s="7"/>
      <c r="J448" s="7"/>
      <c r="K448" s="7"/>
      <c r="L448" s="7"/>
      <c r="M448" s="7"/>
      <c r="N448" s="7"/>
      <c r="O448" s="7"/>
      <c r="P448" s="268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ht="18.0" customHeight="1">
      <c r="A449" s="7"/>
      <c r="B449" s="7"/>
      <c r="C449" s="7"/>
      <c r="D449" s="7"/>
      <c r="E449" s="7"/>
      <c r="F449" s="267"/>
      <c r="G449" s="7"/>
      <c r="H449" s="7"/>
      <c r="I449" s="7"/>
      <c r="J449" s="7"/>
      <c r="K449" s="7"/>
      <c r="L449" s="7"/>
      <c r="M449" s="7"/>
      <c r="N449" s="7"/>
      <c r="O449" s="7"/>
      <c r="P449" s="268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ht="18.0" customHeight="1">
      <c r="A450" s="7"/>
      <c r="B450" s="7"/>
      <c r="C450" s="7"/>
      <c r="D450" s="7"/>
      <c r="E450" s="7"/>
      <c r="F450" s="267"/>
      <c r="G450" s="7"/>
      <c r="H450" s="7"/>
      <c r="I450" s="7"/>
      <c r="J450" s="7"/>
      <c r="K450" s="7"/>
      <c r="L450" s="7"/>
      <c r="M450" s="7"/>
      <c r="N450" s="7"/>
      <c r="O450" s="7"/>
      <c r="P450" s="268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ht="18.0" customHeight="1">
      <c r="A451" s="7"/>
      <c r="B451" s="7"/>
      <c r="C451" s="7"/>
      <c r="D451" s="7"/>
      <c r="E451" s="7"/>
      <c r="F451" s="267"/>
      <c r="G451" s="7"/>
      <c r="H451" s="7"/>
      <c r="I451" s="7"/>
      <c r="J451" s="7"/>
      <c r="K451" s="7"/>
      <c r="L451" s="7"/>
      <c r="M451" s="7"/>
      <c r="N451" s="7"/>
      <c r="O451" s="7"/>
      <c r="P451" s="268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ht="18.0" customHeight="1">
      <c r="A452" s="7"/>
      <c r="B452" s="7"/>
      <c r="C452" s="7"/>
      <c r="D452" s="7"/>
      <c r="E452" s="7"/>
      <c r="F452" s="267"/>
      <c r="G452" s="7"/>
      <c r="H452" s="7"/>
      <c r="I452" s="7"/>
      <c r="J452" s="7"/>
      <c r="K452" s="7"/>
      <c r="L452" s="7"/>
      <c r="M452" s="7"/>
      <c r="N452" s="7"/>
      <c r="O452" s="7"/>
      <c r="P452" s="268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ht="18.0" customHeight="1">
      <c r="A453" s="7"/>
      <c r="B453" s="7"/>
      <c r="C453" s="7"/>
      <c r="D453" s="7"/>
      <c r="E453" s="7"/>
      <c r="F453" s="267"/>
      <c r="G453" s="7"/>
      <c r="H453" s="7"/>
      <c r="I453" s="7"/>
      <c r="J453" s="7"/>
      <c r="K453" s="7"/>
      <c r="L453" s="7"/>
      <c r="M453" s="7"/>
      <c r="N453" s="7"/>
      <c r="O453" s="7"/>
      <c r="P453" s="268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ht="18.0" customHeight="1">
      <c r="A454" s="7"/>
      <c r="B454" s="7"/>
      <c r="C454" s="7"/>
      <c r="D454" s="7"/>
      <c r="E454" s="7"/>
      <c r="F454" s="267"/>
      <c r="G454" s="7"/>
      <c r="H454" s="7"/>
      <c r="I454" s="7"/>
      <c r="J454" s="7"/>
      <c r="K454" s="7"/>
      <c r="L454" s="7"/>
      <c r="M454" s="7"/>
      <c r="N454" s="7"/>
      <c r="O454" s="7"/>
      <c r="P454" s="268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ht="18.0" customHeight="1">
      <c r="A455" s="7"/>
      <c r="B455" s="7"/>
      <c r="C455" s="7"/>
      <c r="D455" s="7"/>
      <c r="E455" s="7"/>
      <c r="F455" s="267"/>
      <c r="G455" s="7"/>
      <c r="H455" s="7"/>
      <c r="I455" s="7"/>
      <c r="J455" s="7"/>
      <c r="K455" s="7"/>
      <c r="L455" s="7"/>
      <c r="M455" s="7"/>
      <c r="N455" s="7"/>
      <c r="O455" s="7"/>
      <c r="P455" s="268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ht="18.0" customHeight="1">
      <c r="A456" s="7"/>
      <c r="B456" s="7"/>
      <c r="C456" s="7"/>
      <c r="D456" s="7"/>
      <c r="E456" s="7"/>
      <c r="F456" s="267"/>
      <c r="G456" s="7"/>
      <c r="H456" s="7"/>
      <c r="I456" s="7"/>
      <c r="J456" s="7"/>
      <c r="K456" s="7"/>
      <c r="L456" s="7"/>
      <c r="M456" s="7"/>
      <c r="N456" s="7"/>
      <c r="O456" s="7"/>
      <c r="P456" s="268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ht="18.0" customHeight="1">
      <c r="A457" s="7"/>
      <c r="B457" s="7"/>
      <c r="C457" s="7"/>
      <c r="D457" s="7"/>
      <c r="E457" s="7"/>
      <c r="F457" s="267"/>
      <c r="G457" s="7"/>
      <c r="H457" s="7"/>
      <c r="I457" s="7"/>
      <c r="J457" s="7"/>
      <c r="K457" s="7"/>
      <c r="L457" s="7"/>
      <c r="M457" s="7"/>
      <c r="N457" s="7"/>
      <c r="O457" s="7"/>
      <c r="P457" s="268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ht="18.0" customHeight="1">
      <c r="A458" s="7"/>
      <c r="B458" s="7"/>
      <c r="C458" s="7"/>
      <c r="D458" s="7"/>
      <c r="E458" s="7"/>
      <c r="F458" s="267"/>
      <c r="G458" s="7"/>
      <c r="H458" s="7"/>
      <c r="I458" s="7"/>
      <c r="J458" s="7"/>
      <c r="K458" s="7"/>
      <c r="L458" s="7"/>
      <c r="M458" s="7"/>
      <c r="N458" s="7"/>
      <c r="O458" s="7"/>
      <c r="P458" s="268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ht="18.0" customHeight="1">
      <c r="A459" s="7"/>
      <c r="B459" s="7"/>
      <c r="C459" s="7"/>
      <c r="D459" s="7"/>
      <c r="E459" s="7"/>
      <c r="F459" s="267"/>
      <c r="G459" s="7"/>
      <c r="H459" s="7"/>
      <c r="I459" s="7"/>
      <c r="J459" s="7"/>
      <c r="K459" s="7"/>
      <c r="L459" s="7"/>
      <c r="M459" s="7"/>
      <c r="N459" s="7"/>
      <c r="O459" s="7"/>
      <c r="P459" s="268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ht="18.0" customHeight="1">
      <c r="A460" s="7"/>
      <c r="B460" s="7"/>
      <c r="C460" s="7"/>
      <c r="D460" s="7"/>
      <c r="E460" s="7"/>
      <c r="F460" s="267"/>
      <c r="G460" s="7"/>
      <c r="H460" s="7"/>
      <c r="I460" s="7"/>
      <c r="J460" s="7"/>
      <c r="K460" s="7"/>
      <c r="L460" s="7"/>
      <c r="M460" s="7"/>
      <c r="N460" s="7"/>
      <c r="O460" s="7"/>
      <c r="P460" s="268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ht="18.0" customHeight="1">
      <c r="A461" s="7"/>
      <c r="B461" s="7"/>
      <c r="C461" s="7"/>
      <c r="D461" s="7"/>
      <c r="E461" s="7"/>
      <c r="F461" s="267"/>
      <c r="G461" s="7"/>
      <c r="H461" s="7"/>
      <c r="I461" s="7"/>
      <c r="J461" s="7"/>
      <c r="K461" s="7"/>
      <c r="L461" s="7"/>
      <c r="M461" s="7"/>
      <c r="N461" s="7"/>
      <c r="O461" s="7"/>
      <c r="P461" s="268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ht="18.0" customHeight="1">
      <c r="A462" s="7"/>
      <c r="B462" s="7"/>
      <c r="C462" s="7"/>
      <c r="D462" s="7"/>
      <c r="E462" s="7"/>
      <c r="F462" s="267"/>
      <c r="G462" s="7"/>
      <c r="H462" s="7"/>
      <c r="I462" s="7"/>
      <c r="J462" s="7"/>
      <c r="K462" s="7"/>
      <c r="L462" s="7"/>
      <c r="M462" s="7"/>
      <c r="N462" s="7"/>
      <c r="O462" s="7"/>
      <c r="P462" s="268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ht="18.0" customHeight="1">
      <c r="A463" s="7"/>
      <c r="B463" s="7"/>
      <c r="C463" s="7"/>
      <c r="D463" s="7"/>
      <c r="E463" s="7"/>
      <c r="F463" s="267"/>
      <c r="G463" s="7"/>
      <c r="H463" s="7"/>
      <c r="I463" s="7"/>
      <c r="J463" s="7"/>
      <c r="K463" s="7"/>
      <c r="L463" s="7"/>
      <c r="M463" s="7"/>
      <c r="N463" s="7"/>
      <c r="O463" s="7"/>
      <c r="P463" s="268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ht="18.0" customHeight="1">
      <c r="A464" s="7"/>
      <c r="B464" s="7"/>
      <c r="C464" s="7"/>
      <c r="D464" s="7"/>
      <c r="E464" s="7"/>
      <c r="F464" s="267"/>
      <c r="G464" s="7"/>
      <c r="H464" s="7"/>
      <c r="I464" s="7"/>
      <c r="J464" s="7"/>
      <c r="K464" s="7"/>
      <c r="L464" s="7"/>
      <c r="M464" s="7"/>
      <c r="N464" s="7"/>
      <c r="O464" s="7"/>
      <c r="P464" s="268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ht="18.0" customHeight="1">
      <c r="A465" s="7"/>
      <c r="B465" s="7"/>
      <c r="C465" s="7"/>
      <c r="D465" s="7"/>
      <c r="E465" s="7"/>
      <c r="F465" s="267"/>
      <c r="G465" s="7"/>
      <c r="H465" s="7"/>
      <c r="I465" s="7"/>
      <c r="J465" s="7"/>
      <c r="K465" s="7"/>
      <c r="L465" s="7"/>
      <c r="M465" s="7"/>
      <c r="N465" s="7"/>
      <c r="O465" s="7"/>
      <c r="P465" s="268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ht="18.0" customHeight="1">
      <c r="A466" s="7"/>
      <c r="B466" s="7"/>
      <c r="C466" s="7"/>
      <c r="D466" s="7"/>
      <c r="E466" s="7"/>
      <c r="F466" s="267"/>
      <c r="G466" s="7"/>
      <c r="H466" s="7"/>
      <c r="I466" s="7"/>
      <c r="J466" s="7"/>
      <c r="K466" s="7"/>
      <c r="L466" s="7"/>
      <c r="M466" s="7"/>
      <c r="N466" s="7"/>
      <c r="O466" s="7"/>
      <c r="P466" s="268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ht="18.0" customHeight="1">
      <c r="A467" s="7"/>
      <c r="B467" s="7"/>
      <c r="C467" s="7"/>
      <c r="D467" s="7"/>
      <c r="E467" s="7"/>
      <c r="F467" s="267"/>
      <c r="G467" s="7"/>
      <c r="H467" s="7"/>
      <c r="I467" s="7"/>
      <c r="J467" s="7"/>
      <c r="K467" s="7"/>
      <c r="L467" s="7"/>
      <c r="M467" s="7"/>
      <c r="N467" s="7"/>
      <c r="O467" s="7"/>
      <c r="P467" s="268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ht="18.0" customHeight="1">
      <c r="A468" s="7"/>
      <c r="B468" s="7"/>
      <c r="C468" s="7"/>
      <c r="D468" s="7"/>
      <c r="E468" s="7"/>
      <c r="F468" s="267"/>
      <c r="G468" s="7"/>
      <c r="H468" s="7"/>
      <c r="I468" s="7"/>
      <c r="J468" s="7"/>
      <c r="K468" s="7"/>
      <c r="L468" s="7"/>
      <c r="M468" s="7"/>
      <c r="N468" s="7"/>
      <c r="O468" s="7"/>
      <c r="P468" s="268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ht="18.0" customHeight="1">
      <c r="A469" s="7"/>
      <c r="B469" s="7"/>
      <c r="C469" s="7"/>
      <c r="D469" s="7"/>
      <c r="E469" s="7"/>
      <c r="F469" s="267"/>
      <c r="G469" s="7"/>
      <c r="H469" s="7"/>
      <c r="I469" s="7"/>
      <c r="J469" s="7"/>
      <c r="K469" s="7"/>
      <c r="L469" s="7"/>
      <c r="M469" s="7"/>
      <c r="N469" s="7"/>
      <c r="O469" s="7"/>
      <c r="P469" s="268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ht="18.0" customHeight="1">
      <c r="A470" s="7"/>
      <c r="B470" s="7"/>
      <c r="C470" s="7"/>
      <c r="D470" s="7"/>
      <c r="E470" s="7"/>
      <c r="F470" s="267"/>
      <c r="G470" s="7"/>
      <c r="H470" s="7"/>
      <c r="I470" s="7"/>
      <c r="J470" s="7"/>
      <c r="K470" s="7"/>
      <c r="L470" s="7"/>
      <c r="M470" s="7"/>
      <c r="N470" s="7"/>
      <c r="O470" s="7"/>
      <c r="P470" s="268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ht="18.0" customHeight="1">
      <c r="A471" s="7"/>
      <c r="B471" s="7"/>
      <c r="C471" s="7"/>
      <c r="D471" s="7"/>
      <c r="E471" s="7"/>
      <c r="F471" s="267"/>
      <c r="G471" s="7"/>
      <c r="H471" s="7"/>
      <c r="I471" s="7"/>
      <c r="J471" s="7"/>
      <c r="K471" s="7"/>
      <c r="L471" s="7"/>
      <c r="M471" s="7"/>
      <c r="N471" s="7"/>
      <c r="O471" s="7"/>
      <c r="P471" s="268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ht="18.0" customHeight="1">
      <c r="A472" s="7"/>
      <c r="B472" s="7"/>
      <c r="C472" s="7"/>
      <c r="D472" s="7"/>
      <c r="E472" s="7"/>
      <c r="F472" s="267"/>
      <c r="G472" s="7"/>
      <c r="H472" s="7"/>
      <c r="I472" s="7"/>
      <c r="J472" s="7"/>
      <c r="K472" s="7"/>
      <c r="L472" s="7"/>
      <c r="M472" s="7"/>
      <c r="N472" s="7"/>
      <c r="O472" s="7"/>
      <c r="P472" s="268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ht="18.0" customHeight="1">
      <c r="A473" s="7"/>
      <c r="B473" s="7"/>
      <c r="C473" s="7"/>
      <c r="D473" s="7"/>
      <c r="E473" s="7"/>
      <c r="F473" s="267"/>
      <c r="G473" s="7"/>
      <c r="H473" s="7"/>
      <c r="I473" s="7"/>
      <c r="J473" s="7"/>
      <c r="K473" s="7"/>
      <c r="L473" s="7"/>
      <c r="M473" s="7"/>
      <c r="N473" s="7"/>
      <c r="O473" s="7"/>
      <c r="P473" s="268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ht="18.0" customHeight="1">
      <c r="A474" s="7"/>
      <c r="B474" s="7"/>
      <c r="C474" s="7"/>
      <c r="D474" s="7"/>
      <c r="E474" s="7"/>
      <c r="F474" s="267"/>
      <c r="G474" s="7"/>
      <c r="H474" s="7"/>
      <c r="I474" s="7"/>
      <c r="J474" s="7"/>
      <c r="K474" s="7"/>
      <c r="L474" s="7"/>
      <c r="M474" s="7"/>
      <c r="N474" s="7"/>
      <c r="O474" s="7"/>
      <c r="P474" s="268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ht="18.0" customHeight="1">
      <c r="A475" s="7"/>
      <c r="B475" s="7"/>
      <c r="C475" s="7"/>
      <c r="D475" s="7"/>
      <c r="E475" s="7"/>
      <c r="F475" s="267"/>
      <c r="G475" s="7"/>
      <c r="H475" s="7"/>
      <c r="I475" s="7"/>
      <c r="J475" s="7"/>
      <c r="K475" s="7"/>
      <c r="L475" s="7"/>
      <c r="M475" s="7"/>
      <c r="N475" s="7"/>
      <c r="O475" s="7"/>
      <c r="P475" s="268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ht="18.0" customHeight="1">
      <c r="A476" s="7"/>
      <c r="B476" s="7"/>
      <c r="C476" s="7"/>
      <c r="D476" s="7"/>
      <c r="E476" s="7"/>
      <c r="F476" s="267"/>
      <c r="G476" s="7"/>
      <c r="H476" s="7"/>
      <c r="I476" s="7"/>
      <c r="J476" s="7"/>
      <c r="K476" s="7"/>
      <c r="L476" s="7"/>
      <c r="M476" s="7"/>
      <c r="N476" s="7"/>
      <c r="O476" s="7"/>
      <c r="P476" s="268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ht="18.0" customHeight="1">
      <c r="A477" s="7"/>
      <c r="B477" s="7"/>
      <c r="C477" s="7"/>
      <c r="D477" s="7"/>
      <c r="E477" s="7"/>
      <c r="F477" s="267"/>
      <c r="G477" s="7"/>
      <c r="H477" s="7"/>
      <c r="I477" s="7"/>
      <c r="J477" s="7"/>
      <c r="K477" s="7"/>
      <c r="L477" s="7"/>
      <c r="M477" s="7"/>
      <c r="N477" s="7"/>
      <c r="O477" s="7"/>
      <c r="P477" s="268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ht="18.0" customHeight="1">
      <c r="A478" s="7"/>
      <c r="B478" s="7"/>
      <c r="C478" s="7"/>
      <c r="D478" s="7"/>
      <c r="E478" s="7"/>
      <c r="F478" s="267"/>
      <c r="G478" s="7"/>
      <c r="H478" s="7"/>
      <c r="I478" s="7"/>
      <c r="J478" s="7"/>
      <c r="K478" s="7"/>
      <c r="L478" s="7"/>
      <c r="M478" s="7"/>
      <c r="N478" s="7"/>
      <c r="O478" s="7"/>
      <c r="P478" s="268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ht="18.0" customHeight="1">
      <c r="A479" s="7"/>
      <c r="B479" s="7"/>
      <c r="C479" s="7"/>
      <c r="D479" s="7"/>
      <c r="E479" s="7"/>
      <c r="F479" s="267"/>
      <c r="G479" s="7"/>
      <c r="H479" s="7"/>
      <c r="I479" s="7"/>
      <c r="J479" s="7"/>
      <c r="K479" s="7"/>
      <c r="L479" s="7"/>
      <c r="M479" s="7"/>
      <c r="N479" s="7"/>
      <c r="O479" s="7"/>
      <c r="P479" s="268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ht="18.0" customHeight="1">
      <c r="A480" s="7"/>
      <c r="B480" s="7"/>
      <c r="C480" s="7"/>
      <c r="D480" s="7"/>
      <c r="E480" s="7"/>
      <c r="F480" s="267"/>
      <c r="G480" s="7"/>
      <c r="H480" s="7"/>
      <c r="I480" s="7"/>
      <c r="J480" s="7"/>
      <c r="K480" s="7"/>
      <c r="L480" s="7"/>
      <c r="M480" s="7"/>
      <c r="N480" s="7"/>
      <c r="O480" s="7"/>
      <c r="P480" s="268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ht="18.0" customHeight="1">
      <c r="A481" s="7"/>
      <c r="B481" s="7"/>
      <c r="C481" s="7"/>
      <c r="D481" s="7"/>
      <c r="E481" s="7"/>
      <c r="F481" s="267"/>
      <c r="G481" s="7"/>
      <c r="H481" s="7"/>
      <c r="I481" s="7"/>
      <c r="J481" s="7"/>
      <c r="K481" s="7"/>
      <c r="L481" s="7"/>
      <c r="M481" s="7"/>
      <c r="N481" s="7"/>
      <c r="O481" s="7"/>
      <c r="P481" s="268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ht="18.0" customHeight="1">
      <c r="A482" s="7"/>
      <c r="B482" s="7"/>
      <c r="C482" s="7"/>
      <c r="D482" s="7"/>
      <c r="E482" s="7"/>
      <c r="F482" s="267"/>
      <c r="G482" s="7"/>
      <c r="H482" s="7"/>
      <c r="I482" s="7"/>
      <c r="J482" s="7"/>
      <c r="K482" s="7"/>
      <c r="L482" s="7"/>
      <c r="M482" s="7"/>
      <c r="N482" s="7"/>
      <c r="O482" s="7"/>
      <c r="P482" s="268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ht="18.0" customHeight="1">
      <c r="A483" s="7"/>
      <c r="B483" s="7"/>
      <c r="C483" s="7"/>
      <c r="D483" s="7"/>
      <c r="E483" s="7"/>
      <c r="F483" s="267"/>
      <c r="G483" s="7"/>
      <c r="H483" s="7"/>
      <c r="I483" s="7"/>
      <c r="J483" s="7"/>
      <c r="K483" s="7"/>
      <c r="L483" s="7"/>
      <c r="M483" s="7"/>
      <c r="N483" s="7"/>
      <c r="O483" s="7"/>
      <c r="P483" s="268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ht="18.0" customHeight="1">
      <c r="A484" s="7"/>
      <c r="B484" s="7"/>
      <c r="C484" s="7"/>
      <c r="D484" s="7"/>
      <c r="E484" s="7"/>
      <c r="F484" s="267"/>
      <c r="G484" s="7"/>
      <c r="H484" s="7"/>
      <c r="I484" s="7"/>
      <c r="J484" s="7"/>
      <c r="K484" s="7"/>
      <c r="L484" s="7"/>
      <c r="M484" s="7"/>
      <c r="N484" s="7"/>
      <c r="O484" s="7"/>
      <c r="P484" s="268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ht="18.0" customHeight="1">
      <c r="A485" s="7"/>
      <c r="B485" s="7"/>
      <c r="C485" s="7"/>
      <c r="D485" s="7"/>
      <c r="E485" s="7"/>
      <c r="F485" s="267"/>
      <c r="G485" s="7"/>
      <c r="H485" s="7"/>
      <c r="I485" s="7"/>
      <c r="J485" s="7"/>
      <c r="K485" s="7"/>
      <c r="L485" s="7"/>
      <c r="M485" s="7"/>
      <c r="N485" s="7"/>
      <c r="O485" s="7"/>
      <c r="P485" s="268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ht="18.0" customHeight="1">
      <c r="A486" s="7"/>
      <c r="B486" s="7"/>
      <c r="C486" s="7"/>
      <c r="D486" s="7"/>
      <c r="E486" s="7"/>
      <c r="F486" s="267"/>
      <c r="G486" s="7"/>
      <c r="H486" s="7"/>
      <c r="I486" s="7"/>
      <c r="J486" s="7"/>
      <c r="K486" s="7"/>
      <c r="L486" s="7"/>
      <c r="M486" s="7"/>
      <c r="N486" s="7"/>
      <c r="O486" s="7"/>
      <c r="P486" s="268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ht="18.0" customHeight="1">
      <c r="A487" s="7"/>
      <c r="B487" s="7"/>
      <c r="C487" s="7"/>
      <c r="D487" s="7"/>
      <c r="E487" s="7"/>
      <c r="F487" s="267"/>
      <c r="G487" s="7"/>
      <c r="H487" s="7"/>
      <c r="I487" s="7"/>
      <c r="J487" s="7"/>
      <c r="K487" s="7"/>
      <c r="L487" s="7"/>
      <c r="M487" s="7"/>
      <c r="N487" s="7"/>
      <c r="O487" s="7"/>
      <c r="P487" s="268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ht="18.0" customHeight="1">
      <c r="A488" s="7"/>
      <c r="B488" s="7"/>
      <c r="C488" s="7"/>
      <c r="D488" s="7"/>
      <c r="E488" s="7"/>
      <c r="F488" s="267"/>
      <c r="G488" s="7"/>
      <c r="H488" s="7"/>
      <c r="I488" s="7"/>
      <c r="J488" s="7"/>
      <c r="K488" s="7"/>
      <c r="L488" s="7"/>
      <c r="M488" s="7"/>
      <c r="N488" s="7"/>
      <c r="O488" s="7"/>
      <c r="P488" s="268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ht="18.0" customHeight="1">
      <c r="A489" s="7"/>
      <c r="B489" s="7"/>
      <c r="C489" s="7"/>
      <c r="D489" s="7"/>
      <c r="E489" s="7"/>
      <c r="F489" s="267"/>
      <c r="G489" s="7"/>
      <c r="H489" s="7"/>
      <c r="I489" s="7"/>
      <c r="J489" s="7"/>
      <c r="K489" s="7"/>
      <c r="L489" s="7"/>
      <c r="M489" s="7"/>
      <c r="N489" s="7"/>
      <c r="O489" s="7"/>
      <c r="P489" s="268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ht="18.0" customHeight="1">
      <c r="A490" s="7"/>
      <c r="B490" s="7"/>
      <c r="C490" s="7"/>
      <c r="D490" s="7"/>
      <c r="E490" s="7"/>
      <c r="F490" s="267"/>
      <c r="G490" s="7"/>
      <c r="H490" s="7"/>
      <c r="I490" s="7"/>
      <c r="J490" s="7"/>
      <c r="K490" s="7"/>
      <c r="L490" s="7"/>
      <c r="M490" s="7"/>
      <c r="N490" s="7"/>
      <c r="O490" s="7"/>
      <c r="P490" s="268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ht="18.0" customHeight="1">
      <c r="A491" s="7"/>
      <c r="B491" s="7"/>
      <c r="C491" s="7"/>
      <c r="D491" s="7"/>
      <c r="E491" s="7"/>
      <c r="F491" s="267"/>
      <c r="G491" s="7"/>
      <c r="H491" s="7"/>
      <c r="I491" s="7"/>
      <c r="J491" s="7"/>
      <c r="K491" s="7"/>
      <c r="L491" s="7"/>
      <c r="M491" s="7"/>
      <c r="N491" s="7"/>
      <c r="O491" s="7"/>
      <c r="P491" s="268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ht="18.0" customHeight="1">
      <c r="A492" s="7"/>
      <c r="B492" s="7"/>
      <c r="C492" s="7"/>
      <c r="D492" s="7"/>
      <c r="E492" s="7"/>
      <c r="F492" s="267"/>
      <c r="G492" s="7"/>
      <c r="H492" s="7"/>
      <c r="I492" s="7"/>
      <c r="J492" s="7"/>
      <c r="K492" s="7"/>
      <c r="L492" s="7"/>
      <c r="M492" s="7"/>
      <c r="N492" s="7"/>
      <c r="O492" s="7"/>
      <c r="P492" s="268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ht="18.0" customHeight="1">
      <c r="A493" s="7"/>
      <c r="B493" s="7"/>
      <c r="C493" s="7"/>
      <c r="D493" s="7"/>
      <c r="E493" s="7"/>
      <c r="F493" s="267"/>
      <c r="G493" s="7"/>
      <c r="H493" s="7"/>
      <c r="I493" s="7"/>
      <c r="J493" s="7"/>
      <c r="K493" s="7"/>
      <c r="L493" s="7"/>
      <c r="M493" s="7"/>
      <c r="N493" s="7"/>
      <c r="O493" s="7"/>
      <c r="P493" s="268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ht="18.0" customHeight="1">
      <c r="A494" s="7"/>
      <c r="B494" s="7"/>
      <c r="C494" s="7"/>
      <c r="D494" s="7"/>
      <c r="E494" s="7"/>
      <c r="F494" s="267"/>
      <c r="G494" s="7"/>
      <c r="H494" s="7"/>
      <c r="I494" s="7"/>
      <c r="J494" s="7"/>
      <c r="K494" s="7"/>
      <c r="L494" s="7"/>
      <c r="M494" s="7"/>
      <c r="N494" s="7"/>
      <c r="O494" s="7"/>
      <c r="P494" s="268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ht="18.0" customHeight="1">
      <c r="A495" s="7"/>
      <c r="B495" s="7"/>
      <c r="C495" s="7"/>
      <c r="D495" s="7"/>
      <c r="E495" s="7"/>
      <c r="F495" s="267"/>
      <c r="G495" s="7"/>
      <c r="H495" s="7"/>
      <c r="I495" s="7"/>
      <c r="J495" s="7"/>
      <c r="K495" s="7"/>
      <c r="L495" s="7"/>
      <c r="M495" s="7"/>
      <c r="N495" s="7"/>
      <c r="O495" s="7"/>
      <c r="P495" s="268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ht="18.0" customHeight="1">
      <c r="A496" s="7"/>
      <c r="B496" s="7"/>
      <c r="C496" s="7"/>
      <c r="D496" s="7"/>
      <c r="E496" s="7"/>
      <c r="F496" s="267"/>
      <c r="G496" s="7"/>
      <c r="H496" s="7"/>
      <c r="I496" s="7"/>
      <c r="J496" s="7"/>
      <c r="K496" s="7"/>
      <c r="L496" s="7"/>
      <c r="M496" s="7"/>
      <c r="N496" s="7"/>
      <c r="O496" s="7"/>
      <c r="P496" s="268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ht="18.0" customHeight="1">
      <c r="A497" s="7"/>
      <c r="B497" s="7"/>
      <c r="C497" s="7"/>
      <c r="D497" s="7"/>
      <c r="E497" s="7"/>
      <c r="F497" s="267"/>
      <c r="G497" s="7"/>
      <c r="H497" s="7"/>
      <c r="I497" s="7"/>
      <c r="J497" s="7"/>
      <c r="K497" s="7"/>
      <c r="L497" s="7"/>
      <c r="M497" s="7"/>
      <c r="N497" s="7"/>
      <c r="O497" s="7"/>
      <c r="P497" s="268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ht="18.0" customHeight="1">
      <c r="A498" s="7"/>
      <c r="B498" s="7"/>
      <c r="C498" s="7"/>
      <c r="D498" s="7"/>
      <c r="E498" s="7"/>
      <c r="F498" s="267"/>
      <c r="G498" s="7"/>
      <c r="H498" s="7"/>
      <c r="I498" s="7"/>
      <c r="J498" s="7"/>
      <c r="K498" s="7"/>
      <c r="L498" s="7"/>
      <c r="M498" s="7"/>
      <c r="N498" s="7"/>
      <c r="O498" s="7"/>
      <c r="P498" s="268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ht="18.0" customHeight="1">
      <c r="A499" s="7"/>
      <c r="B499" s="7"/>
      <c r="C499" s="7"/>
      <c r="D499" s="7"/>
      <c r="E499" s="7"/>
      <c r="F499" s="267"/>
      <c r="G499" s="7"/>
      <c r="H499" s="7"/>
      <c r="I499" s="7"/>
      <c r="J499" s="7"/>
      <c r="K499" s="7"/>
      <c r="L499" s="7"/>
      <c r="M499" s="7"/>
      <c r="N499" s="7"/>
      <c r="O499" s="7"/>
      <c r="P499" s="268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ht="18.0" customHeight="1">
      <c r="A500" s="7"/>
      <c r="B500" s="7"/>
      <c r="C500" s="7"/>
      <c r="D500" s="7"/>
      <c r="E500" s="7"/>
      <c r="F500" s="267"/>
      <c r="G500" s="7"/>
      <c r="H500" s="7"/>
      <c r="I500" s="7"/>
      <c r="J500" s="7"/>
      <c r="K500" s="7"/>
      <c r="L500" s="7"/>
      <c r="M500" s="7"/>
      <c r="N500" s="7"/>
      <c r="O500" s="7"/>
      <c r="P500" s="268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ht="18.0" customHeight="1">
      <c r="A501" s="7"/>
      <c r="B501" s="7"/>
      <c r="C501" s="7"/>
      <c r="D501" s="7"/>
      <c r="E501" s="7"/>
      <c r="F501" s="267"/>
      <c r="G501" s="7"/>
      <c r="H501" s="7"/>
      <c r="I501" s="7"/>
      <c r="J501" s="7"/>
      <c r="K501" s="7"/>
      <c r="L501" s="7"/>
      <c r="M501" s="7"/>
      <c r="N501" s="7"/>
      <c r="O501" s="7"/>
      <c r="P501" s="268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ht="18.0" customHeight="1">
      <c r="A502" s="7"/>
      <c r="B502" s="7"/>
      <c r="C502" s="7"/>
      <c r="D502" s="7"/>
      <c r="E502" s="7"/>
      <c r="F502" s="267"/>
      <c r="G502" s="7"/>
      <c r="H502" s="7"/>
      <c r="I502" s="7"/>
      <c r="J502" s="7"/>
      <c r="K502" s="7"/>
      <c r="L502" s="7"/>
      <c r="M502" s="7"/>
      <c r="N502" s="7"/>
      <c r="O502" s="7"/>
      <c r="P502" s="268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ht="18.0" customHeight="1">
      <c r="A503" s="7"/>
      <c r="B503" s="7"/>
      <c r="C503" s="7"/>
      <c r="D503" s="7"/>
      <c r="E503" s="7"/>
      <c r="F503" s="267"/>
      <c r="G503" s="7"/>
      <c r="H503" s="7"/>
      <c r="I503" s="7"/>
      <c r="J503" s="7"/>
      <c r="K503" s="7"/>
      <c r="L503" s="7"/>
      <c r="M503" s="7"/>
      <c r="N503" s="7"/>
      <c r="O503" s="7"/>
      <c r="P503" s="268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ht="18.0" customHeight="1">
      <c r="A504" s="7"/>
      <c r="B504" s="7"/>
      <c r="C504" s="7"/>
      <c r="D504" s="7"/>
      <c r="E504" s="7"/>
      <c r="F504" s="267"/>
      <c r="G504" s="7"/>
      <c r="H504" s="7"/>
      <c r="I504" s="7"/>
      <c r="J504" s="7"/>
      <c r="K504" s="7"/>
      <c r="L504" s="7"/>
      <c r="M504" s="7"/>
      <c r="N504" s="7"/>
      <c r="O504" s="7"/>
      <c r="P504" s="268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ht="18.0" customHeight="1">
      <c r="A505" s="7"/>
      <c r="B505" s="7"/>
      <c r="C505" s="7"/>
      <c r="D505" s="7"/>
      <c r="E505" s="7"/>
      <c r="F505" s="267"/>
      <c r="G505" s="7"/>
      <c r="H505" s="7"/>
      <c r="I505" s="7"/>
      <c r="J505" s="7"/>
      <c r="K505" s="7"/>
      <c r="L505" s="7"/>
      <c r="M505" s="7"/>
      <c r="N505" s="7"/>
      <c r="O505" s="7"/>
      <c r="P505" s="268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ht="18.0" customHeight="1">
      <c r="A506" s="7"/>
      <c r="B506" s="7"/>
      <c r="C506" s="7"/>
      <c r="D506" s="7"/>
      <c r="E506" s="7"/>
      <c r="F506" s="267"/>
      <c r="G506" s="7"/>
      <c r="H506" s="7"/>
      <c r="I506" s="7"/>
      <c r="J506" s="7"/>
      <c r="K506" s="7"/>
      <c r="L506" s="7"/>
      <c r="M506" s="7"/>
      <c r="N506" s="7"/>
      <c r="O506" s="7"/>
      <c r="P506" s="268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ht="18.0" customHeight="1">
      <c r="A507" s="7"/>
      <c r="B507" s="7"/>
      <c r="C507" s="7"/>
      <c r="D507" s="7"/>
      <c r="E507" s="7"/>
      <c r="F507" s="267"/>
      <c r="G507" s="7"/>
      <c r="H507" s="7"/>
      <c r="I507" s="7"/>
      <c r="J507" s="7"/>
      <c r="K507" s="7"/>
      <c r="L507" s="7"/>
      <c r="M507" s="7"/>
      <c r="N507" s="7"/>
      <c r="O507" s="7"/>
      <c r="P507" s="268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ht="18.0" customHeight="1">
      <c r="A508" s="7"/>
      <c r="B508" s="7"/>
      <c r="C508" s="7"/>
      <c r="D508" s="7"/>
      <c r="E508" s="7"/>
      <c r="F508" s="267"/>
      <c r="G508" s="7"/>
      <c r="H508" s="7"/>
      <c r="I508" s="7"/>
      <c r="J508" s="7"/>
      <c r="K508" s="7"/>
      <c r="L508" s="7"/>
      <c r="M508" s="7"/>
      <c r="N508" s="7"/>
      <c r="O508" s="7"/>
      <c r="P508" s="268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ht="18.0" customHeight="1">
      <c r="A509" s="7"/>
      <c r="B509" s="7"/>
      <c r="C509" s="7"/>
      <c r="D509" s="7"/>
      <c r="E509" s="7"/>
      <c r="F509" s="267"/>
      <c r="G509" s="7"/>
      <c r="H509" s="7"/>
      <c r="I509" s="7"/>
      <c r="J509" s="7"/>
      <c r="K509" s="7"/>
      <c r="L509" s="7"/>
      <c r="M509" s="7"/>
      <c r="N509" s="7"/>
      <c r="O509" s="7"/>
      <c r="P509" s="268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ht="18.0" customHeight="1">
      <c r="A510" s="7"/>
      <c r="B510" s="7"/>
      <c r="C510" s="7"/>
      <c r="D510" s="7"/>
      <c r="E510" s="7"/>
      <c r="F510" s="267"/>
      <c r="G510" s="7"/>
      <c r="H510" s="7"/>
      <c r="I510" s="7"/>
      <c r="J510" s="7"/>
      <c r="K510" s="7"/>
      <c r="L510" s="7"/>
      <c r="M510" s="7"/>
      <c r="N510" s="7"/>
      <c r="O510" s="7"/>
      <c r="P510" s="268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ht="18.0" customHeight="1">
      <c r="A511" s="7"/>
      <c r="B511" s="7"/>
      <c r="C511" s="7"/>
      <c r="D511" s="7"/>
      <c r="E511" s="7"/>
      <c r="F511" s="267"/>
      <c r="G511" s="7"/>
      <c r="H511" s="7"/>
      <c r="I511" s="7"/>
      <c r="J511" s="7"/>
      <c r="K511" s="7"/>
      <c r="L511" s="7"/>
      <c r="M511" s="7"/>
      <c r="N511" s="7"/>
      <c r="O511" s="7"/>
      <c r="P511" s="268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ht="18.0" customHeight="1">
      <c r="A512" s="7"/>
      <c r="B512" s="7"/>
      <c r="C512" s="7"/>
      <c r="D512" s="7"/>
      <c r="E512" s="7"/>
      <c r="F512" s="267"/>
      <c r="G512" s="7"/>
      <c r="H512" s="7"/>
      <c r="I512" s="7"/>
      <c r="J512" s="7"/>
      <c r="K512" s="7"/>
      <c r="L512" s="7"/>
      <c r="M512" s="7"/>
      <c r="N512" s="7"/>
      <c r="O512" s="7"/>
      <c r="P512" s="268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ht="18.0" customHeight="1">
      <c r="A513" s="7"/>
      <c r="B513" s="7"/>
      <c r="C513" s="7"/>
      <c r="D513" s="7"/>
      <c r="E513" s="7"/>
      <c r="F513" s="267"/>
      <c r="G513" s="7"/>
      <c r="H513" s="7"/>
      <c r="I513" s="7"/>
      <c r="J513" s="7"/>
      <c r="K513" s="7"/>
      <c r="L513" s="7"/>
      <c r="M513" s="7"/>
      <c r="N513" s="7"/>
      <c r="O513" s="7"/>
      <c r="P513" s="268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ht="18.0" customHeight="1">
      <c r="A514" s="7"/>
      <c r="B514" s="7"/>
      <c r="C514" s="7"/>
      <c r="D514" s="7"/>
      <c r="E514" s="7"/>
      <c r="F514" s="267"/>
      <c r="G514" s="7"/>
      <c r="H514" s="7"/>
      <c r="I514" s="7"/>
      <c r="J514" s="7"/>
      <c r="K514" s="7"/>
      <c r="L514" s="7"/>
      <c r="M514" s="7"/>
      <c r="N514" s="7"/>
      <c r="O514" s="7"/>
      <c r="P514" s="268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ht="18.0" customHeight="1">
      <c r="A515" s="7"/>
      <c r="B515" s="7"/>
      <c r="C515" s="7"/>
      <c r="D515" s="7"/>
      <c r="E515" s="7"/>
      <c r="F515" s="267"/>
      <c r="G515" s="7"/>
      <c r="H515" s="7"/>
      <c r="I515" s="7"/>
      <c r="J515" s="7"/>
      <c r="K515" s="7"/>
      <c r="L515" s="7"/>
      <c r="M515" s="7"/>
      <c r="N515" s="7"/>
      <c r="O515" s="7"/>
      <c r="P515" s="268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ht="18.0" customHeight="1">
      <c r="A516" s="7"/>
      <c r="B516" s="7"/>
      <c r="C516" s="7"/>
      <c r="D516" s="7"/>
      <c r="E516" s="7"/>
      <c r="F516" s="267"/>
      <c r="G516" s="7"/>
      <c r="H516" s="7"/>
      <c r="I516" s="7"/>
      <c r="J516" s="7"/>
      <c r="K516" s="7"/>
      <c r="L516" s="7"/>
      <c r="M516" s="7"/>
      <c r="N516" s="7"/>
      <c r="O516" s="7"/>
      <c r="P516" s="268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ht="18.0" customHeight="1">
      <c r="A517" s="7"/>
      <c r="B517" s="7"/>
      <c r="C517" s="7"/>
      <c r="D517" s="7"/>
      <c r="E517" s="7"/>
      <c r="F517" s="267"/>
      <c r="G517" s="7"/>
      <c r="H517" s="7"/>
      <c r="I517" s="7"/>
      <c r="J517" s="7"/>
      <c r="K517" s="7"/>
      <c r="L517" s="7"/>
      <c r="M517" s="7"/>
      <c r="N517" s="7"/>
      <c r="O517" s="7"/>
      <c r="P517" s="268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ht="18.0" customHeight="1">
      <c r="A518" s="7"/>
      <c r="B518" s="7"/>
      <c r="C518" s="7"/>
      <c r="D518" s="7"/>
      <c r="E518" s="7"/>
      <c r="F518" s="267"/>
      <c r="G518" s="7"/>
      <c r="H518" s="7"/>
      <c r="I518" s="7"/>
      <c r="J518" s="7"/>
      <c r="K518" s="7"/>
      <c r="L518" s="7"/>
      <c r="M518" s="7"/>
      <c r="N518" s="7"/>
      <c r="O518" s="7"/>
      <c r="P518" s="268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ht="18.0" customHeight="1">
      <c r="A519" s="7"/>
      <c r="B519" s="7"/>
      <c r="C519" s="7"/>
      <c r="D519" s="7"/>
      <c r="E519" s="7"/>
      <c r="F519" s="267"/>
      <c r="G519" s="7"/>
      <c r="H519" s="7"/>
      <c r="I519" s="7"/>
      <c r="J519" s="7"/>
      <c r="K519" s="7"/>
      <c r="L519" s="7"/>
      <c r="M519" s="7"/>
      <c r="N519" s="7"/>
      <c r="O519" s="7"/>
      <c r="P519" s="268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ht="18.0" customHeight="1">
      <c r="A520" s="7"/>
      <c r="B520" s="7"/>
      <c r="C520" s="7"/>
      <c r="D520" s="7"/>
      <c r="E520" s="7"/>
      <c r="F520" s="267"/>
      <c r="G520" s="7"/>
      <c r="H520" s="7"/>
      <c r="I520" s="7"/>
      <c r="J520" s="7"/>
      <c r="K520" s="7"/>
      <c r="L520" s="7"/>
      <c r="M520" s="7"/>
      <c r="N520" s="7"/>
      <c r="O520" s="7"/>
      <c r="P520" s="268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ht="18.0" customHeight="1">
      <c r="A521" s="7"/>
      <c r="B521" s="7"/>
      <c r="C521" s="7"/>
      <c r="D521" s="7"/>
      <c r="E521" s="7"/>
      <c r="F521" s="267"/>
      <c r="G521" s="7"/>
      <c r="H521" s="7"/>
      <c r="I521" s="7"/>
      <c r="J521" s="7"/>
      <c r="K521" s="7"/>
      <c r="L521" s="7"/>
      <c r="M521" s="7"/>
      <c r="N521" s="7"/>
      <c r="O521" s="7"/>
      <c r="P521" s="268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ht="18.0" customHeight="1">
      <c r="A522" s="7"/>
      <c r="B522" s="7"/>
      <c r="C522" s="7"/>
      <c r="D522" s="7"/>
      <c r="E522" s="7"/>
      <c r="F522" s="267"/>
      <c r="G522" s="7"/>
      <c r="H522" s="7"/>
      <c r="I522" s="7"/>
      <c r="J522" s="7"/>
      <c r="K522" s="7"/>
      <c r="L522" s="7"/>
      <c r="M522" s="7"/>
      <c r="N522" s="7"/>
      <c r="O522" s="7"/>
      <c r="P522" s="268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ht="18.0" customHeight="1">
      <c r="A523" s="7"/>
      <c r="B523" s="7"/>
      <c r="C523" s="7"/>
      <c r="D523" s="7"/>
      <c r="E523" s="7"/>
      <c r="F523" s="267"/>
      <c r="G523" s="7"/>
      <c r="H523" s="7"/>
      <c r="I523" s="7"/>
      <c r="J523" s="7"/>
      <c r="K523" s="7"/>
      <c r="L523" s="7"/>
      <c r="M523" s="7"/>
      <c r="N523" s="7"/>
      <c r="O523" s="7"/>
      <c r="P523" s="268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ht="18.0" customHeight="1">
      <c r="A524" s="7"/>
      <c r="B524" s="7"/>
      <c r="C524" s="7"/>
      <c r="D524" s="7"/>
      <c r="E524" s="7"/>
      <c r="F524" s="267"/>
      <c r="G524" s="7"/>
      <c r="H524" s="7"/>
      <c r="I524" s="7"/>
      <c r="J524" s="7"/>
      <c r="K524" s="7"/>
      <c r="L524" s="7"/>
      <c r="M524" s="7"/>
      <c r="N524" s="7"/>
      <c r="O524" s="7"/>
      <c r="P524" s="268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ht="18.0" customHeight="1">
      <c r="A525" s="7"/>
      <c r="B525" s="7"/>
      <c r="C525" s="7"/>
      <c r="D525" s="7"/>
      <c r="E525" s="7"/>
      <c r="F525" s="267"/>
      <c r="G525" s="7"/>
      <c r="H525" s="7"/>
      <c r="I525" s="7"/>
      <c r="J525" s="7"/>
      <c r="K525" s="7"/>
      <c r="L525" s="7"/>
      <c r="M525" s="7"/>
      <c r="N525" s="7"/>
      <c r="O525" s="7"/>
      <c r="P525" s="268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25:D25"/>
    <mergeCell ref="E26:F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85" t="s">
        <v>53</v>
      </c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</row>
    <row r="2" ht="23.25" customHeight="1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86"/>
      <c r="W2" s="386"/>
      <c r="X2" s="386"/>
      <c r="Y2" s="386"/>
      <c r="Z2" s="386"/>
      <c r="AA2" s="386"/>
      <c r="AB2" s="386"/>
      <c r="AC2" s="386"/>
      <c r="AD2" s="386"/>
    </row>
    <row r="3" ht="23.25" customHeight="1">
      <c r="A3" s="385" t="s">
        <v>238</v>
      </c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  <c r="AA3" s="386"/>
      <c r="AB3" s="386"/>
      <c r="AC3" s="386"/>
      <c r="AD3" s="386"/>
    </row>
    <row r="4" ht="23.25" customHeight="1">
      <c r="A4" s="386"/>
      <c r="B4" s="386"/>
      <c r="C4" s="386"/>
      <c r="D4" s="386"/>
      <c r="E4" s="386"/>
      <c r="F4" s="386"/>
      <c r="G4" s="386"/>
      <c r="H4" s="387"/>
      <c r="I4" s="387"/>
      <c r="J4" s="387"/>
      <c r="K4" s="387"/>
      <c r="L4" s="387"/>
      <c r="M4" s="387"/>
      <c r="N4" s="386"/>
      <c r="O4" s="386"/>
      <c r="P4" s="386"/>
      <c r="Q4" s="386"/>
      <c r="R4" s="386"/>
      <c r="S4" s="386"/>
      <c r="T4" s="386"/>
      <c r="U4" s="386"/>
      <c r="V4" s="386"/>
      <c r="W4" s="386"/>
      <c r="X4" s="386"/>
      <c r="Y4" s="386"/>
      <c r="Z4" s="386"/>
      <c r="AA4" s="386"/>
      <c r="AB4" s="386"/>
      <c r="AC4" s="386"/>
      <c r="AD4" s="386"/>
    </row>
    <row r="5" ht="23.25" customHeight="1">
      <c r="A5" s="385" t="s">
        <v>239</v>
      </c>
      <c r="B5" s="388" t="s">
        <v>260</v>
      </c>
      <c r="C5" s="386"/>
      <c r="D5" s="386"/>
      <c r="E5" s="386"/>
      <c r="F5" s="386"/>
      <c r="G5" s="386"/>
      <c r="H5" s="386"/>
      <c r="I5" s="386"/>
      <c r="J5" s="386"/>
      <c r="K5" s="386"/>
      <c r="L5" s="386"/>
      <c r="M5" s="386"/>
      <c r="N5" s="386"/>
      <c r="O5" s="386"/>
      <c r="P5" s="386"/>
      <c r="Q5" s="386"/>
      <c r="R5" s="386"/>
      <c r="S5" s="386"/>
      <c r="T5" s="386"/>
      <c r="U5" s="386"/>
      <c r="V5" s="386"/>
      <c r="W5" s="386"/>
      <c r="X5" s="386"/>
      <c r="Y5" s="386"/>
      <c r="Z5" s="386"/>
      <c r="AA5" s="386"/>
      <c r="AB5" s="386"/>
      <c r="AC5" s="386"/>
      <c r="AD5" s="386"/>
    </row>
    <row r="6" ht="24.0" customHeight="1">
      <c r="A6" s="386"/>
      <c r="B6" s="386"/>
      <c r="C6" s="386"/>
      <c r="D6" s="386"/>
      <c r="E6" s="386"/>
      <c r="F6" s="386"/>
      <c r="G6" s="386"/>
      <c r="H6" s="386"/>
      <c r="I6" s="389">
        <v>0.009</v>
      </c>
      <c r="J6" s="386"/>
      <c r="K6" s="386"/>
      <c r="L6" s="386"/>
      <c r="M6" s="386"/>
      <c r="N6" s="386"/>
      <c r="O6" s="386"/>
      <c r="P6" s="386"/>
      <c r="Q6" s="386"/>
      <c r="R6" s="386"/>
      <c r="S6" s="386"/>
      <c r="T6" s="386"/>
      <c r="U6" s="386"/>
      <c r="V6" s="386"/>
      <c r="W6" s="386"/>
      <c r="X6" s="386"/>
      <c r="Y6" s="386"/>
      <c r="Z6" s="386"/>
      <c r="AA6" s="386"/>
      <c r="AB6" s="386"/>
      <c r="AC6" s="386"/>
      <c r="AD6" s="386"/>
    </row>
    <row r="7" ht="68.25" customHeight="1">
      <c r="A7" s="390" t="s">
        <v>241</v>
      </c>
      <c r="B7" s="391" t="s">
        <v>242</v>
      </c>
      <c r="C7" s="392" t="s">
        <v>243</v>
      </c>
      <c r="D7" s="392" t="s">
        <v>244</v>
      </c>
      <c r="E7" s="392" t="s">
        <v>245</v>
      </c>
      <c r="F7" s="392" t="s">
        <v>246</v>
      </c>
      <c r="G7" s="393" t="s">
        <v>247</v>
      </c>
      <c r="H7" s="394" t="s">
        <v>12</v>
      </c>
      <c r="I7" s="394" t="s">
        <v>261</v>
      </c>
      <c r="J7" s="395" t="s">
        <v>262</v>
      </c>
      <c r="K7" s="386"/>
      <c r="L7" s="386"/>
      <c r="M7" s="386"/>
      <c r="N7" s="386"/>
      <c r="O7" s="386"/>
      <c r="P7" s="386"/>
      <c r="Q7" s="386"/>
      <c r="R7" s="386"/>
      <c r="S7" s="386"/>
      <c r="T7" s="386"/>
      <c r="U7" s="386"/>
      <c r="V7" s="386"/>
      <c r="W7" s="386"/>
      <c r="X7" s="386"/>
      <c r="Y7" s="386"/>
      <c r="Z7" s="386"/>
      <c r="AA7" s="386"/>
      <c r="AB7" s="386"/>
      <c r="AC7" s="386"/>
      <c r="AD7" s="386"/>
    </row>
    <row r="8" ht="48.0" customHeight="1">
      <c r="A8" s="396" t="str">
        <f>+SUMMARY!#REF!</f>
        <v>#ERROR!</v>
      </c>
      <c r="B8" s="397" t="str">
        <f>+SUMMARY!#REF!</f>
        <v>#ERROR!</v>
      </c>
      <c r="C8" s="397" t="str">
        <f>+SUMMARY!#REF!</f>
        <v>#ERROR!</v>
      </c>
      <c r="D8" s="397" t="str">
        <f>+SUMMARY!#REF!</f>
        <v>#ERROR!</v>
      </c>
      <c r="E8" s="397" t="str">
        <f>+SUMMARY!#REF!</f>
        <v>#ERROR!</v>
      </c>
      <c r="F8" s="397" t="str">
        <f>+SUMMARY!#REF!</f>
        <v>#ERROR!</v>
      </c>
      <c r="G8" s="397" t="str">
        <f>+SUMMARY!#REF!</f>
        <v>#ERROR!</v>
      </c>
      <c r="H8" s="398" t="str">
        <f>+SUMMARY!#REF!</f>
        <v>#ERROR!</v>
      </c>
      <c r="I8" s="399" t="str">
        <f t="shared" ref="I8:I38" si="1">D8/B8</f>
        <v>#ERROR!</v>
      </c>
      <c r="J8" s="400"/>
      <c r="K8" s="386"/>
      <c r="L8" s="386"/>
      <c r="M8" s="386"/>
      <c r="N8" s="386"/>
      <c r="O8" s="386"/>
      <c r="P8" s="386"/>
      <c r="Q8" s="386"/>
      <c r="R8" s="386"/>
      <c r="S8" s="386"/>
      <c r="T8" s="386"/>
      <c r="U8" s="386"/>
      <c r="V8" s="386"/>
      <c r="W8" s="386"/>
      <c r="X8" s="386"/>
      <c r="Y8" s="386"/>
      <c r="Z8" s="386"/>
      <c r="AA8" s="386"/>
      <c r="AB8" s="386"/>
      <c r="AC8" s="386"/>
      <c r="AD8" s="386"/>
    </row>
    <row r="9" ht="33.0" customHeight="1">
      <c r="A9" s="396">
        <f>+SUMMARY!A7</f>
        <v>44347</v>
      </c>
      <c r="B9" s="397">
        <f>+SUMMARY!B7</f>
        <v>35101.17942</v>
      </c>
      <c r="C9" s="397">
        <f>+SUMMARY!C7</f>
        <v>30871.37738</v>
      </c>
      <c r="D9" s="397">
        <f>+SUMMARY!D7</f>
        <v>0</v>
      </c>
      <c r="E9" s="397">
        <f>+SUMMARY!E7</f>
        <v>386.4</v>
      </c>
      <c r="F9" s="397">
        <f>+SUMMARY!F7</f>
        <v>978.8658672</v>
      </c>
      <c r="G9" s="397">
        <f>+SUMMARY!G7</f>
        <v>2864.536171</v>
      </c>
      <c r="H9" s="398" t="str">
        <f>+SUMMARY!H7</f>
        <v/>
      </c>
      <c r="I9" s="399">
        <f t="shared" si="1"/>
        <v>0</v>
      </c>
      <c r="J9" s="400"/>
      <c r="K9" s="386"/>
      <c r="L9" s="386"/>
      <c r="M9" s="386"/>
      <c r="N9" s="386"/>
      <c r="O9" s="386"/>
      <c r="P9" s="386"/>
      <c r="Q9" s="386"/>
      <c r="R9" s="386"/>
      <c r="S9" s="386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86"/>
    </row>
    <row r="10" ht="33.0" customHeight="1">
      <c r="A10" s="396">
        <f>+SUMMARY!A8</f>
        <v>44348</v>
      </c>
      <c r="B10" s="397">
        <f>+SUMMARY!B8</f>
        <v>38490.38187</v>
      </c>
      <c r="C10" s="397">
        <f>+SUMMARY!C8</f>
        <v>33457.34203</v>
      </c>
      <c r="D10" s="397">
        <f>+SUMMARY!D8</f>
        <v>0</v>
      </c>
      <c r="E10" s="397">
        <f>+SUMMARY!E8</f>
        <v>262.2</v>
      </c>
      <c r="F10" s="397">
        <f>+SUMMARY!F8</f>
        <v>1602.669801</v>
      </c>
      <c r="G10" s="397">
        <f>+SUMMARY!G8</f>
        <v>3168.170037</v>
      </c>
      <c r="H10" s="398" t="str">
        <f>+SUMMARY!H8</f>
        <v/>
      </c>
      <c r="I10" s="399">
        <f t="shared" si="1"/>
        <v>0</v>
      </c>
      <c r="J10" s="400"/>
      <c r="K10" s="386"/>
      <c r="L10" s="386"/>
      <c r="M10" s="386"/>
      <c r="N10" s="386"/>
      <c r="O10" s="386"/>
      <c r="P10" s="386"/>
      <c r="Q10" s="386"/>
      <c r="R10" s="386"/>
      <c r="S10" s="386"/>
      <c r="T10" s="386"/>
      <c r="U10" s="386"/>
      <c r="V10" s="386"/>
      <c r="W10" s="386"/>
      <c r="X10" s="386"/>
      <c r="Y10" s="386"/>
      <c r="Z10" s="386"/>
      <c r="AA10" s="386"/>
      <c r="AB10" s="386"/>
      <c r="AC10" s="386"/>
      <c r="AD10" s="386"/>
    </row>
    <row r="11" ht="33.0" customHeight="1">
      <c r="A11" s="396">
        <f>+SUMMARY!A9</f>
        <v>44349</v>
      </c>
      <c r="B11" s="397">
        <f>+SUMMARY!B9</f>
        <v>30280.04234</v>
      </c>
      <c r="C11" s="397">
        <f>+SUMMARY!C9</f>
        <v>25828.82484</v>
      </c>
      <c r="D11" s="397">
        <f>+SUMMARY!D9</f>
        <v>0</v>
      </c>
      <c r="E11" s="397">
        <f>+SUMMARY!E9</f>
        <v>439.8</v>
      </c>
      <c r="F11" s="397">
        <f>+SUMMARY!F9</f>
        <v>1600.438909</v>
      </c>
      <c r="G11" s="397">
        <f>+SUMMARY!G9</f>
        <v>2410.978593</v>
      </c>
      <c r="H11" s="398" t="str">
        <f>+SUMMARY!H9</f>
        <v/>
      </c>
      <c r="I11" s="399">
        <f t="shared" si="1"/>
        <v>0</v>
      </c>
      <c r="J11" s="400"/>
      <c r="K11" s="386"/>
      <c r="L11" s="386"/>
      <c r="M11" s="386"/>
      <c r="N11" s="386"/>
      <c r="O11" s="386"/>
      <c r="P11" s="386"/>
      <c r="Q11" s="386"/>
      <c r="R11" s="386"/>
      <c r="S11" s="386"/>
      <c r="T11" s="386"/>
      <c r="U11" s="386"/>
      <c r="V11" s="386"/>
      <c r="W11" s="386"/>
      <c r="X11" s="386"/>
      <c r="Y11" s="386"/>
      <c r="Z11" s="386"/>
      <c r="AA11" s="386"/>
      <c r="AB11" s="386"/>
      <c r="AC11" s="386"/>
      <c r="AD11" s="386"/>
    </row>
    <row r="12" ht="33.0" customHeight="1">
      <c r="A12" s="396">
        <f>+SUMMARY!A10</f>
        <v>44350</v>
      </c>
      <c r="B12" s="397">
        <f>+SUMMARY!B10</f>
        <v>29841.9022</v>
      </c>
      <c r="C12" s="397">
        <f>+SUMMARY!C10</f>
        <v>25638.02627</v>
      </c>
      <c r="D12" s="397">
        <f>+SUMMARY!D10</f>
        <v>0</v>
      </c>
      <c r="E12" s="397">
        <f>+SUMMARY!E10</f>
        <v>263.4</v>
      </c>
      <c r="F12" s="397">
        <f>+SUMMARY!F10</f>
        <v>1458.972407</v>
      </c>
      <c r="G12" s="397">
        <f>+SUMMARY!G10</f>
        <v>2481.50352</v>
      </c>
      <c r="H12" s="398" t="str">
        <f>+SUMMARY!H10</f>
        <v/>
      </c>
      <c r="I12" s="399">
        <f t="shared" si="1"/>
        <v>0</v>
      </c>
      <c r="J12" s="400"/>
      <c r="K12" s="386"/>
      <c r="L12" s="386"/>
      <c r="M12" s="386"/>
      <c r="N12" s="386"/>
      <c r="O12" s="386"/>
      <c r="P12" s="386"/>
      <c r="Q12" s="386"/>
      <c r="R12" s="386"/>
      <c r="S12" s="386"/>
      <c r="T12" s="386"/>
      <c r="U12" s="386"/>
      <c r="V12" s="386"/>
      <c r="W12" s="386"/>
      <c r="X12" s="386"/>
      <c r="Y12" s="386"/>
      <c r="Z12" s="386"/>
      <c r="AA12" s="386"/>
      <c r="AB12" s="386"/>
      <c r="AC12" s="386"/>
      <c r="AD12" s="386"/>
    </row>
    <row r="13" ht="33.0" customHeight="1">
      <c r="A13" s="396">
        <f>+SUMMARY!A11</f>
        <v>44351</v>
      </c>
      <c r="B13" s="397">
        <f>+SUMMARY!B11</f>
        <v>39240.68417</v>
      </c>
      <c r="C13" s="397">
        <f>+SUMMARY!C11</f>
        <v>34617.7333</v>
      </c>
      <c r="D13" s="397">
        <f>+SUMMARY!D11</f>
        <v>0</v>
      </c>
      <c r="E13" s="397">
        <f>+SUMMARY!E11</f>
        <v>244.2</v>
      </c>
      <c r="F13" s="397">
        <f>+SUMMARY!F11</f>
        <v>1036.614712</v>
      </c>
      <c r="G13" s="397">
        <f>+SUMMARY!G11</f>
        <v>3342.136162</v>
      </c>
      <c r="H13" s="398" t="str">
        <f>+SUMMARY!H11</f>
        <v/>
      </c>
      <c r="I13" s="399">
        <f t="shared" si="1"/>
        <v>0</v>
      </c>
      <c r="J13" s="400"/>
      <c r="K13" s="386"/>
      <c r="L13" s="386"/>
      <c r="M13" s="386"/>
      <c r="N13" s="386"/>
      <c r="O13" s="386"/>
      <c r="P13" s="386"/>
      <c r="Q13" s="386"/>
      <c r="R13" s="386"/>
      <c r="S13" s="386"/>
      <c r="T13" s="386"/>
      <c r="U13" s="386"/>
      <c r="V13" s="386"/>
      <c r="W13" s="386"/>
      <c r="X13" s="386"/>
      <c r="Y13" s="386"/>
      <c r="Z13" s="386"/>
      <c r="AA13" s="386"/>
      <c r="AB13" s="386"/>
      <c r="AC13" s="386"/>
      <c r="AD13" s="386"/>
    </row>
    <row r="14" ht="33.0" customHeight="1">
      <c r="A14" s="396">
        <f>+SUMMARY!A12</f>
        <v>44352</v>
      </c>
      <c r="B14" s="397">
        <f>+SUMMARY!B12</f>
        <v>27833.71302</v>
      </c>
      <c r="C14" s="397">
        <f>+SUMMARY!C12</f>
        <v>24459.03206</v>
      </c>
      <c r="D14" s="397">
        <f>+SUMMARY!D12</f>
        <v>0</v>
      </c>
      <c r="E14" s="397">
        <f>+SUMMARY!E12</f>
        <v>203.4</v>
      </c>
      <c r="F14" s="397">
        <f>+SUMMARY!F12</f>
        <v>719.0384146</v>
      </c>
      <c r="G14" s="397">
        <f>+SUMMARY!G12</f>
        <v>2452.242544</v>
      </c>
      <c r="H14" s="398" t="str">
        <f>+SUMMARY!H12</f>
        <v/>
      </c>
      <c r="I14" s="399">
        <f t="shared" si="1"/>
        <v>0</v>
      </c>
      <c r="J14" s="400"/>
      <c r="K14" s="386"/>
      <c r="L14" s="386"/>
      <c r="M14" s="386"/>
      <c r="N14" s="386"/>
      <c r="O14" s="386"/>
      <c r="P14" s="386"/>
      <c r="Q14" s="386"/>
      <c r="R14" s="386"/>
      <c r="S14" s="386"/>
      <c r="T14" s="386"/>
      <c r="U14" s="386"/>
      <c r="V14" s="386"/>
      <c r="W14" s="386"/>
      <c r="X14" s="386"/>
      <c r="Y14" s="386"/>
      <c r="Z14" s="386"/>
      <c r="AA14" s="386"/>
      <c r="AB14" s="386"/>
      <c r="AC14" s="386"/>
      <c r="AD14" s="386"/>
    </row>
    <row r="15" ht="33.0" customHeight="1">
      <c r="A15" s="396">
        <f>+SUMMARY!A13</f>
        <v>44354</v>
      </c>
      <c r="B15" s="397">
        <f>+SUMMARY!B13</f>
        <v>18590.1386</v>
      </c>
      <c r="C15" s="397">
        <f>+SUMMARY!C13</f>
        <v>16757.86863</v>
      </c>
      <c r="D15" s="397">
        <f>+SUMMARY!D13</f>
        <v>0</v>
      </c>
      <c r="E15" s="397">
        <f>+SUMMARY!E13</f>
        <v>162.6</v>
      </c>
      <c r="F15" s="397">
        <f>+SUMMARY!F13</f>
        <v>274.2402776</v>
      </c>
      <c r="G15" s="397">
        <f>+SUMMARY!G13</f>
        <v>1395.429697</v>
      </c>
      <c r="H15" s="398" t="str">
        <f>+SUMMARY!H13</f>
        <v>#REF!</v>
      </c>
      <c r="I15" s="399">
        <f t="shared" si="1"/>
        <v>0</v>
      </c>
      <c r="J15" s="400"/>
      <c r="K15" s="386"/>
      <c r="L15" s="386"/>
      <c r="M15" s="386"/>
      <c r="N15" s="386"/>
      <c r="O15" s="386"/>
      <c r="P15" s="386"/>
      <c r="Q15" s="386"/>
      <c r="R15" s="386"/>
      <c r="S15" s="386"/>
      <c r="T15" s="386"/>
      <c r="U15" s="386"/>
      <c r="V15" s="386"/>
      <c r="W15" s="386"/>
      <c r="X15" s="386"/>
      <c r="Y15" s="386"/>
      <c r="Z15" s="386"/>
      <c r="AA15" s="386"/>
      <c r="AB15" s="386"/>
      <c r="AC15" s="386"/>
      <c r="AD15" s="386"/>
    </row>
    <row r="16" ht="33.0" customHeight="1">
      <c r="A16" s="396">
        <f>+SUMMARY!A14</f>
        <v>44355</v>
      </c>
      <c r="B16" s="397">
        <f>+SUMMARY!B14</f>
        <v>26302.63816</v>
      </c>
      <c r="C16" s="397">
        <f>+SUMMARY!C14</f>
        <v>22499.51073</v>
      </c>
      <c r="D16" s="397">
        <f>+SUMMARY!D14</f>
        <v>0</v>
      </c>
      <c r="E16" s="397">
        <f>+SUMMARY!E14</f>
        <v>328.8</v>
      </c>
      <c r="F16" s="397">
        <f>+SUMMARY!F14</f>
        <v>985.5691144</v>
      </c>
      <c r="G16" s="397">
        <f>+SUMMARY!G14</f>
        <v>2488.758319</v>
      </c>
      <c r="H16" s="398" t="str">
        <f>+SUMMARY!H14</f>
        <v/>
      </c>
      <c r="I16" s="399">
        <f t="shared" si="1"/>
        <v>0</v>
      </c>
      <c r="J16" s="400"/>
      <c r="K16" s="386"/>
      <c r="L16" s="386"/>
      <c r="M16" s="386"/>
      <c r="N16" s="386"/>
      <c r="O16" s="386"/>
      <c r="P16" s="386"/>
      <c r="Q16" s="386"/>
      <c r="R16" s="386"/>
      <c r="S16" s="386"/>
      <c r="T16" s="386"/>
      <c r="U16" s="386"/>
      <c r="V16" s="386"/>
      <c r="W16" s="386"/>
      <c r="X16" s="386"/>
      <c r="Y16" s="386"/>
      <c r="Z16" s="386"/>
      <c r="AA16" s="386"/>
      <c r="AB16" s="386"/>
      <c r="AC16" s="386"/>
      <c r="AD16" s="386"/>
    </row>
    <row r="17" ht="33.0" customHeight="1">
      <c r="A17" s="396">
        <f>+SUMMARY!A15</f>
        <v>44356</v>
      </c>
      <c r="B17" s="397">
        <f>+SUMMARY!B15</f>
        <v>26364.55411</v>
      </c>
      <c r="C17" s="397">
        <f>+SUMMARY!C15</f>
        <v>23918.85103</v>
      </c>
      <c r="D17" s="397">
        <f>+SUMMARY!D15</f>
        <v>0</v>
      </c>
      <c r="E17" s="397">
        <f>+SUMMARY!E15</f>
        <v>152.4</v>
      </c>
      <c r="F17" s="397">
        <f>+SUMMARY!F15</f>
        <v>837.3042642</v>
      </c>
      <c r="G17" s="397">
        <f>+SUMMARY!G15</f>
        <v>1455.998822</v>
      </c>
      <c r="H17" s="398" t="str">
        <f>+SUMMARY!H15</f>
        <v/>
      </c>
      <c r="I17" s="399">
        <f t="shared" si="1"/>
        <v>0</v>
      </c>
      <c r="J17" s="400"/>
      <c r="K17" s="401"/>
      <c r="L17" s="401"/>
      <c r="M17" s="401"/>
      <c r="N17" s="401"/>
      <c r="O17" s="401"/>
      <c r="P17" s="401"/>
      <c r="Q17" s="401"/>
      <c r="R17" s="401"/>
      <c r="S17" s="401"/>
      <c r="T17" s="401"/>
      <c r="U17" s="401"/>
      <c r="V17" s="401"/>
      <c r="W17" s="401"/>
      <c r="X17" s="401"/>
      <c r="Y17" s="401"/>
      <c r="Z17" s="401"/>
      <c r="AA17" s="401"/>
      <c r="AB17" s="401"/>
      <c r="AC17" s="401"/>
      <c r="AD17" s="401"/>
    </row>
    <row r="18" ht="33.0" customHeight="1">
      <c r="A18" s="396">
        <f>+SUMMARY!A16</f>
        <v>44357</v>
      </c>
      <c r="B18" s="397">
        <f>+SUMMARY!B16</f>
        <v>33020.12586</v>
      </c>
      <c r="C18" s="397">
        <f>+SUMMARY!C16</f>
        <v>28880.98186</v>
      </c>
      <c r="D18" s="397">
        <f>+SUMMARY!D16</f>
        <v>0</v>
      </c>
      <c r="E18" s="397">
        <f>+SUMMARY!E16</f>
        <v>238.2</v>
      </c>
      <c r="F18" s="397">
        <f>+SUMMARY!F16</f>
        <v>1208.084291</v>
      </c>
      <c r="G18" s="397">
        <f>+SUMMARY!G16</f>
        <v>2692.859711</v>
      </c>
      <c r="H18" s="398" t="str">
        <f>+SUMMARY!H16</f>
        <v/>
      </c>
      <c r="I18" s="399">
        <f t="shared" si="1"/>
        <v>0</v>
      </c>
      <c r="J18" s="400"/>
      <c r="K18" s="401"/>
      <c r="L18" s="401"/>
      <c r="M18" s="401"/>
      <c r="N18" s="401"/>
      <c r="O18" s="401"/>
      <c r="P18" s="401"/>
      <c r="Q18" s="401"/>
      <c r="R18" s="401"/>
      <c r="S18" s="401"/>
      <c r="T18" s="401"/>
      <c r="U18" s="401"/>
      <c r="V18" s="401"/>
      <c r="W18" s="401"/>
      <c r="X18" s="401"/>
      <c r="Y18" s="401"/>
      <c r="Z18" s="401"/>
      <c r="AA18" s="401"/>
      <c r="AB18" s="401"/>
      <c r="AC18" s="401"/>
      <c r="AD18" s="401"/>
    </row>
    <row r="19" ht="33.0" customHeight="1">
      <c r="A19" s="396">
        <f>+SUMMARY!A17</f>
        <v>44358</v>
      </c>
      <c r="B19" s="397">
        <f>+SUMMARY!B17</f>
        <v>14859.99189</v>
      </c>
      <c r="C19" s="397">
        <f>+SUMMARY!C17</f>
        <v>12707.00091</v>
      </c>
      <c r="D19" s="397">
        <f>+SUMMARY!D17</f>
        <v>0</v>
      </c>
      <c r="E19" s="397">
        <f>+SUMMARY!E17</f>
        <v>138.6</v>
      </c>
      <c r="F19" s="397">
        <f>+SUMMARY!F17</f>
        <v>786.2242803</v>
      </c>
      <c r="G19" s="397">
        <f>+SUMMARY!G17</f>
        <v>1228.166692</v>
      </c>
      <c r="H19" s="398" t="str">
        <f>+SUMMARY!H17</f>
        <v/>
      </c>
      <c r="I19" s="399">
        <f t="shared" si="1"/>
        <v>0</v>
      </c>
      <c r="J19" s="400"/>
      <c r="K19" s="401"/>
      <c r="L19" s="401"/>
      <c r="M19" s="401"/>
      <c r="N19" s="401"/>
      <c r="O19" s="401"/>
      <c r="P19" s="401"/>
      <c r="Q19" s="401"/>
      <c r="R19" s="401"/>
      <c r="S19" s="401"/>
      <c r="T19" s="401"/>
      <c r="U19" s="401"/>
      <c r="V19" s="401"/>
      <c r="W19" s="401"/>
      <c r="X19" s="401"/>
      <c r="Y19" s="401"/>
      <c r="Z19" s="401"/>
      <c r="AA19" s="401"/>
      <c r="AB19" s="401"/>
      <c r="AC19" s="401"/>
      <c r="AD19" s="401"/>
    </row>
    <row r="20" ht="33.0" customHeight="1">
      <c r="A20" s="396">
        <f>+SUMMARY!A18</f>
        <v>44359</v>
      </c>
      <c r="B20" s="397">
        <f>+SUMMARY!B18</f>
        <v>18324.71731</v>
      </c>
      <c r="C20" s="397">
        <f>+SUMMARY!C18</f>
        <v>15995.98773</v>
      </c>
      <c r="D20" s="397">
        <f>+SUMMARY!D18</f>
        <v>0</v>
      </c>
      <c r="E20" s="397">
        <f>+SUMMARY!E18</f>
        <v>203.4</v>
      </c>
      <c r="F20" s="397">
        <f>+SUMMARY!F18</f>
        <v>558.7497036</v>
      </c>
      <c r="G20" s="397">
        <f>+SUMMARY!G18</f>
        <v>1566.57988</v>
      </c>
      <c r="H20" s="398" t="str">
        <f>+SUMMARY!H18</f>
        <v/>
      </c>
      <c r="I20" s="399">
        <f t="shared" si="1"/>
        <v>0</v>
      </c>
      <c r="J20" s="400"/>
      <c r="K20" s="401"/>
      <c r="L20" s="401"/>
      <c r="M20" s="401"/>
      <c r="N20" s="401"/>
      <c r="O20" s="401"/>
      <c r="P20" s="401"/>
      <c r="Q20" s="401"/>
      <c r="R20" s="401"/>
      <c r="S20" s="401"/>
      <c r="T20" s="401"/>
      <c r="U20" s="401"/>
      <c r="V20" s="401"/>
      <c r="W20" s="401"/>
      <c r="X20" s="401"/>
      <c r="Y20" s="401"/>
      <c r="Z20" s="401"/>
      <c r="AA20" s="401"/>
      <c r="AB20" s="401"/>
      <c r="AC20" s="401"/>
      <c r="AD20" s="401"/>
    </row>
    <row r="21" ht="33.0" customHeight="1">
      <c r="A21" s="396">
        <f>+SUMMARY!A19</f>
        <v>44361</v>
      </c>
      <c r="B21" s="397">
        <f>+SUMMARY!B19</f>
        <v>23482.246</v>
      </c>
      <c r="C21" s="397">
        <f>+SUMMARY!C19</f>
        <v>22008.36222</v>
      </c>
      <c r="D21" s="397">
        <f>+SUMMARY!D19</f>
        <v>0</v>
      </c>
      <c r="E21" s="397">
        <f>+SUMMARY!E19</f>
        <v>88.8</v>
      </c>
      <c r="F21" s="397">
        <f>+SUMMARY!F19</f>
        <v>566.4113804</v>
      </c>
      <c r="G21" s="397">
        <f>+SUMMARY!G19</f>
        <v>818.6724032</v>
      </c>
      <c r="H21" s="398" t="str">
        <f>+SUMMARY!H19</f>
        <v/>
      </c>
      <c r="I21" s="399">
        <f t="shared" si="1"/>
        <v>0</v>
      </c>
      <c r="J21" s="400"/>
      <c r="K21" s="401"/>
      <c r="L21" s="401"/>
      <c r="M21" s="401"/>
      <c r="N21" s="401"/>
      <c r="O21" s="401"/>
      <c r="P21" s="401"/>
      <c r="Q21" s="401"/>
      <c r="R21" s="401"/>
      <c r="S21" s="401"/>
      <c r="T21" s="401"/>
      <c r="U21" s="401"/>
      <c r="V21" s="401"/>
      <c r="W21" s="401"/>
      <c r="X21" s="401"/>
      <c r="Y21" s="401"/>
      <c r="Z21" s="401"/>
      <c r="AA21" s="401"/>
      <c r="AB21" s="401"/>
      <c r="AC21" s="401"/>
      <c r="AD21" s="401"/>
    </row>
    <row r="22" ht="33.0" customHeight="1">
      <c r="A22" s="396">
        <f>+SUMMARY!A20</f>
        <v>44362</v>
      </c>
      <c r="B22" s="397">
        <f>+SUMMARY!B20</f>
        <v>16499.764</v>
      </c>
      <c r="C22" s="397">
        <f>+SUMMARY!C20</f>
        <v>14104.97092</v>
      </c>
      <c r="D22" s="397">
        <f>+SUMMARY!D20</f>
        <v>551.43441</v>
      </c>
      <c r="E22" s="397">
        <f>+SUMMARY!E20</f>
        <v>175.2</v>
      </c>
      <c r="F22" s="397">
        <f>+SUMMARY!F20</f>
        <v>809.7384969</v>
      </c>
      <c r="G22" s="397">
        <f>+SUMMARY!G20</f>
        <v>858.4201691</v>
      </c>
      <c r="H22" s="398" t="str">
        <f>+SUMMARY!H20</f>
        <v/>
      </c>
      <c r="I22" s="399">
        <f t="shared" si="1"/>
        <v>0.03342074529</v>
      </c>
      <c r="J22" s="400"/>
      <c r="K22" s="401"/>
      <c r="L22" s="401"/>
      <c r="M22" s="401"/>
      <c r="N22" s="401"/>
      <c r="O22" s="401"/>
      <c r="P22" s="401"/>
      <c r="Q22" s="401"/>
      <c r="R22" s="401"/>
      <c r="S22" s="401"/>
      <c r="T22" s="401"/>
      <c r="U22" s="401"/>
      <c r="V22" s="401"/>
      <c r="W22" s="401"/>
      <c r="X22" s="401"/>
      <c r="Y22" s="401"/>
      <c r="Z22" s="401"/>
      <c r="AA22" s="401"/>
      <c r="AB22" s="401"/>
      <c r="AC22" s="401"/>
      <c r="AD22" s="401"/>
    </row>
    <row r="23" ht="33.0" customHeight="1">
      <c r="A23" s="396">
        <f>+SUMMARY!A21</f>
        <v>44363</v>
      </c>
      <c r="B23" s="397">
        <f>+SUMMARY!B21</f>
        <v>31925.2777</v>
      </c>
      <c r="C23" s="397">
        <f>+SUMMARY!C21</f>
        <v>28252.88352</v>
      </c>
      <c r="D23" s="397">
        <f>+SUMMARY!D21</f>
        <v>0</v>
      </c>
      <c r="E23" s="397">
        <f>+SUMMARY!E21</f>
        <v>223.2</v>
      </c>
      <c r="F23" s="397">
        <f>+SUMMARY!F21</f>
        <v>1256.161311</v>
      </c>
      <c r="G23" s="397">
        <f>+SUMMARY!G21</f>
        <v>2193.032869</v>
      </c>
      <c r="H23" s="398" t="str">
        <f>+SUMMARY!H21</f>
        <v/>
      </c>
      <c r="I23" s="399">
        <f t="shared" si="1"/>
        <v>0</v>
      </c>
      <c r="J23" s="400"/>
      <c r="K23" s="401"/>
      <c r="L23" s="401"/>
      <c r="M23" s="401"/>
      <c r="N23" s="401"/>
      <c r="O23" s="401"/>
      <c r="P23" s="401"/>
      <c r="Q23" s="401"/>
      <c r="R23" s="401"/>
      <c r="S23" s="401"/>
      <c r="T23" s="401"/>
      <c r="U23" s="401"/>
      <c r="V23" s="401"/>
      <c r="W23" s="401"/>
      <c r="X23" s="401"/>
      <c r="Y23" s="401"/>
      <c r="Z23" s="401"/>
      <c r="AA23" s="401"/>
      <c r="AB23" s="401"/>
      <c r="AC23" s="401"/>
      <c r="AD23" s="401"/>
    </row>
    <row r="24" ht="33.0" customHeight="1">
      <c r="A24" s="396">
        <f>+SUMMARY!A22</f>
        <v>44364</v>
      </c>
      <c r="B24" s="397">
        <f>+SUMMARY!B22</f>
        <v>37706.20397</v>
      </c>
      <c r="C24" s="397">
        <f>+SUMMARY!C22</f>
        <v>33490.41397</v>
      </c>
      <c r="D24" s="397">
        <f>+SUMMARY!D22</f>
        <v>781.470781</v>
      </c>
      <c r="E24" s="397">
        <f>+SUMMARY!E22</f>
        <v>342.6</v>
      </c>
      <c r="F24" s="397">
        <f>+SUMMARY!F22</f>
        <v>1539.788898</v>
      </c>
      <c r="G24" s="397">
        <f>+SUMMARY!G22</f>
        <v>1551.930324</v>
      </c>
      <c r="H24" s="398" t="str">
        <f>+SUMMARY!H22</f>
        <v/>
      </c>
      <c r="I24" s="399">
        <f t="shared" si="1"/>
        <v>0.02072525735</v>
      </c>
      <c r="J24" s="400"/>
      <c r="K24" s="401"/>
      <c r="L24" s="401"/>
      <c r="M24" s="401"/>
      <c r="N24" s="401"/>
      <c r="O24" s="401"/>
      <c r="P24" s="401"/>
      <c r="Q24" s="401"/>
      <c r="R24" s="401"/>
      <c r="S24" s="401"/>
      <c r="T24" s="401"/>
      <c r="U24" s="401"/>
      <c r="V24" s="401"/>
      <c r="W24" s="401"/>
      <c r="X24" s="401"/>
      <c r="Y24" s="401"/>
      <c r="Z24" s="401"/>
      <c r="AA24" s="401"/>
      <c r="AB24" s="401"/>
      <c r="AC24" s="401"/>
      <c r="AD24" s="401"/>
    </row>
    <row r="25" ht="33.0" customHeight="1">
      <c r="A25" s="396">
        <f>+SUMMARY!A23</f>
        <v>44365</v>
      </c>
      <c r="B25" s="397">
        <f>+SUMMARY!B23</f>
        <v>42274.116</v>
      </c>
      <c r="C25" s="397">
        <f>+SUMMARY!C23</f>
        <v>36351.48707</v>
      </c>
      <c r="D25" s="397">
        <f>+SUMMARY!D23</f>
        <v>0</v>
      </c>
      <c r="E25" s="397">
        <f>+SUMMARY!E23</f>
        <v>357</v>
      </c>
      <c r="F25" s="397">
        <f>+SUMMARY!F23</f>
        <v>1695.6464</v>
      </c>
      <c r="G25" s="397">
        <f>+SUMMARY!G23</f>
        <v>3869.982534</v>
      </c>
      <c r="H25" s="398" t="str">
        <f>+SUMMARY!H23</f>
        <v/>
      </c>
      <c r="I25" s="399">
        <f t="shared" si="1"/>
        <v>0</v>
      </c>
      <c r="J25" s="400"/>
      <c r="K25" s="401"/>
      <c r="L25" s="401"/>
      <c r="M25" s="401"/>
      <c r="N25" s="401"/>
      <c r="O25" s="401"/>
      <c r="P25" s="401"/>
      <c r="Q25" s="401"/>
      <c r="R25" s="401"/>
      <c r="S25" s="401"/>
      <c r="T25" s="401"/>
      <c r="U25" s="401"/>
      <c r="V25" s="401"/>
      <c r="W25" s="401"/>
      <c r="X25" s="401"/>
      <c r="Y25" s="401"/>
      <c r="Z25" s="401"/>
      <c r="AA25" s="401"/>
      <c r="AB25" s="401"/>
      <c r="AC25" s="401"/>
      <c r="AD25" s="401"/>
    </row>
    <row r="26" ht="33.0" customHeight="1">
      <c r="A26" s="396">
        <f>+SUMMARY!A24</f>
        <v>44366</v>
      </c>
      <c r="B26" s="397">
        <f>+SUMMARY!B24</f>
        <v>22591.0677</v>
      </c>
      <c r="C26" s="397">
        <f>+SUMMARY!C24</f>
        <v>6390.470613</v>
      </c>
      <c r="D26" s="397">
        <f>+SUMMARY!D24</f>
        <v>0</v>
      </c>
      <c r="E26" s="397">
        <f>+SUMMARY!E24</f>
        <v>234</v>
      </c>
      <c r="F26" s="397">
        <f>+SUMMARY!F24</f>
        <v>697.749892</v>
      </c>
      <c r="G26" s="397">
        <f>+SUMMARY!G24</f>
        <v>15268.8472</v>
      </c>
      <c r="H26" s="398" t="str">
        <f>+SUMMARY!H24</f>
        <v/>
      </c>
      <c r="I26" s="399">
        <f t="shared" si="1"/>
        <v>0</v>
      </c>
      <c r="J26" s="400"/>
      <c r="K26" s="401"/>
      <c r="L26" s="401"/>
      <c r="M26" s="401"/>
      <c r="N26" s="401"/>
      <c r="O26" s="401"/>
      <c r="P26" s="401"/>
      <c r="Q26" s="401"/>
      <c r="R26" s="401"/>
      <c r="S26" s="401"/>
      <c r="T26" s="401"/>
      <c r="U26" s="401"/>
      <c r="V26" s="401"/>
      <c r="W26" s="401"/>
      <c r="X26" s="401"/>
      <c r="Y26" s="401"/>
      <c r="Z26" s="401"/>
      <c r="AA26" s="401"/>
      <c r="AB26" s="401"/>
      <c r="AC26" s="401"/>
      <c r="AD26" s="401"/>
    </row>
    <row r="27" ht="33.0" customHeight="1">
      <c r="A27" s="396">
        <f>+SUMMARY!A25</f>
        <v>44368</v>
      </c>
      <c r="B27" s="397">
        <f>+SUMMARY!B25</f>
        <v>30427.09305</v>
      </c>
      <c r="C27" s="397">
        <f>+SUMMARY!C25</f>
        <v>27468.27035</v>
      </c>
      <c r="D27" s="397">
        <f>+SUMMARY!D25</f>
        <v>0</v>
      </c>
      <c r="E27" s="397">
        <f>+SUMMARY!E25</f>
        <v>444</v>
      </c>
      <c r="F27" s="397">
        <f>+SUMMARY!F25</f>
        <v>568.828196</v>
      </c>
      <c r="G27" s="397">
        <f>+SUMMARY!G25</f>
        <v>1945.994504</v>
      </c>
      <c r="H27" s="398" t="str">
        <f>+SUMMARY!H25</f>
        <v/>
      </c>
      <c r="I27" s="399">
        <f t="shared" si="1"/>
        <v>0</v>
      </c>
      <c r="J27" s="400"/>
      <c r="K27" s="401"/>
      <c r="L27" s="401"/>
      <c r="M27" s="401"/>
      <c r="N27" s="401"/>
      <c r="O27" s="401"/>
      <c r="P27" s="401"/>
      <c r="Q27" s="401"/>
      <c r="R27" s="401"/>
      <c r="S27" s="401"/>
      <c r="T27" s="401"/>
      <c r="U27" s="401"/>
      <c r="V27" s="401"/>
      <c r="W27" s="401"/>
      <c r="X27" s="401"/>
      <c r="Y27" s="401"/>
      <c r="Z27" s="401"/>
      <c r="AA27" s="401"/>
      <c r="AB27" s="401"/>
      <c r="AC27" s="401"/>
      <c r="AD27" s="401"/>
    </row>
    <row r="28" ht="33.0" customHeight="1">
      <c r="A28" s="396">
        <f>+SUMMARY!A26</f>
        <v>44369</v>
      </c>
      <c r="B28" s="397">
        <f>+SUMMARY!B26</f>
        <v>38694.12</v>
      </c>
      <c r="C28" s="397">
        <f>+SUMMARY!C26</f>
        <v>35214.0553</v>
      </c>
      <c r="D28" s="397">
        <f>+SUMMARY!D26</f>
        <v>0</v>
      </c>
      <c r="E28" s="397">
        <f>+SUMMARY!E26</f>
        <v>223.8</v>
      </c>
      <c r="F28" s="397">
        <f>+SUMMARY!F26</f>
        <v>831.647566</v>
      </c>
      <c r="G28" s="397">
        <f>+SUMMARY!G26</f>
        <v>2424.617131</v>
      </c>
      <c r="H28" s="398" t="str">
        <f>+SUMMARY!H26</f>
        <v/>
      </c>
      <c r="I28" s="399">
        <f t="shared" si="1"/>
        <v>0</v>
      </c>
      <c r="J28" s="400"/>
      <c r="K28" s="401"/>
      <c r="L28" s="401"/>
      <c r="M28" s="401"/>
      <c r="N28" s="401"/>
      <c r="O28" s="401"/>
      <c r="P28" s="401"/>
      <c r="Q28" s="401"/>
      <c r="R28" s="401"/>
      <c r="S28" s="401"/>
      <c r="T28" s="401"/>
      <c r="U28" s="401"/>
      <c r="V28" s="401"/>
      <c r="W28" s="401"/>
      <c r="X28" s="401"/>
      <c r="Y28" s="401"/>
      <c r="Z28" s="401"/>
      <c r="AA28" s="401"/>
      <c r="AB28" s="401"/>
      <c r="AC28" s="401"/>
      <c r="AD28" s="401"/>
    </row>
    <row r="29" ht="33.0" customHeight="1">
      <c r="A29" s="396">
        <f>+SUMMARY!A27</f>
        <v>44370</v>
      </c>
      <c r="B29" s="397">
        <f>+SUMMARY!B27</f>
        <v>34623.82602</v>
      </c>
      <c r="C29" s="397">
        <f>+SUMMARY!C27</f>
        <v>31836.99565</v>
      </c>
      <c r="D29" s="397">
        <f>+SUMMARY!D27</f>
        <v>0</v>
      </c>
      <c r="E29" s="397">
        <f>+SUMMARY!E27</f>
        <v>218.4</v>
      </c>
      <c r="F29" s="397">
        <f>+SUMMARY!F27</f>
        <v>576.0543282</v>
      </c>
      <c r="G29" s="397">
        <f>+SUMMARY!G27</f>
        <v>1992.376037</v>
      </c>
      <c r="H29" s="398" t="str">
        <f>+SUMMARY!H27</f>
        <v/>
      </c>
      <c r="I29" s="399">
        <f t="shared" si="1"/>
        <v>0</v>
      </c>
      <c r="J29" s="400"/>
      <c r="K29" s="401"/>
      <c r="L29" s="401"/>
      <c r="M29" s="401"/>
      <c r="N29" s="401"/>
      <c r="O29" s="401"/>
      <c r="P29" s="401"/>
      <c r="Q29" s="401"/>
      <c r="R29" s="401"/>
      <c r="S29" s="401"/>
      <c r="T29" s="401"/>
      <c r="U29" s="401"/>
      <c r="V29" s="401"/>
      <c r="W29" s="401"/>
      <c r="X29" s="401"/>
      <c r="Y29" s="401"/>
      <c r="Z29" s="401"/>
      <c r="AA29" s="401"/>
      <c r="AB29" s="401"/>
      <c r="AC29" s="401"/>
      <c r="AD29" s="401"/>
    </row>
    <row r="30" ht="33.0" customHeight="1">
      <c r="A30" s="396" t="str">
        <f>+SUMMARY!A28</f>
        <v>24/06/2021</v>
      </c>
      <c r="B30" s="397">
        <f>+SUMMARY!B28</f>
        <v>44741.03968</v>
      </c>
      <c r="C30" s="397">
        <f>+SUMMARY!C28</f>
        <v>40035.448</v>
      </c>
      <c r="D30" s="397">
        <f>+SUMMARY!D28</f>
        <v>0</v>
      </c>
      <c r="E30" s="397">
        <f>+SUMMARY!E28</f>
        <v>205.8</v>
      </c>
      <c r="F30" s="397">
        <f>+SUMMARY!F28</f>
        <v>925.5324121</v>
      </c>
      <c r="G30" s="397">
        <f>+SUMMARY!G28</f>
        <v>3574.25927</v>
      </c>
      <c r="H30" s="398" t="str">
        <f>+SUMMARY!H28</f>
        <v/>
      </c>
      <c r="I30" s="399">
        <f t="shared" si="1"/>
        <v>0</v>
      </c>
      <c r="J30" s="400"/>
      <c r="K30" s="401"/>
      <c r="L30" s="401"/>
      <c r="M30" s="401"/>
      <c r="N30" s="401"/>
      <c r="O30" s="401"/>
      <c r="P30" s="401"/>
      <c r="Q30" s="401"/>
      <c r="R30" s="401"/>
      <c r="S30" s="401"/>
      <c r="T30" s="401"/>
      <c r="U30" s="401"/>
      <c r="V30" s="401"/>
      <c r="W30" s="401"/>
      <c r="X30" s="401"/>
      <c r="Y30" s="401"/>
      <c r="Z30" s="401"/>
      <c r="AA30" s="401"/>
      <c r="AB30" s="401"/>
      <c r="AC30" s="401"/>
      <c r="AD30" s="401"/>
    </row>
    <row r="31" ht="33.0" customHeight="1">
      <c r="A31" s="396">
        <f>+SUMMARY!A29</f>
        <v>44372</v>
      </c>
      <c r="B31" s="397">
        <f>+SUMMARY!B29</f>
        <v>34273.486</v>
      </c>
      <c r="C31" s="397">
        <f>+SUMMARY!C29</f>
        <v>30120.62113</v>
      </c>
      <c r="D31" s="397">
        <f>+SUMMARY!D29</f>
        <v>0</v>
      </c>
      <c r="E31" s="397">
        <f>+SUMMARY!E29</f>
        <v>120.6</v>
      </c>
      <c r="F31" s="397">
        <f>+SUMMARY!F29</f>
        <v>608.9615812</v>
      </c>
      <c r="G31" s="397">
        <f>+SUMMARY!G29</f>
        <v>3423.303287</v>
      </c>
      <c r="H31" s="398" t="str">
        <f>+SUMMARY!H29</f>
        <v/>
      </c>
      <c r="I31" s="399">
        <f t="shared" si="1"/>
        <v>0</v>
      </c>
      <c r="J31" s="400"/>
      <c r="K31" s="401"/>
      <c r="L31" s="401"/>
      <c r="M31" s="401"/>
      <c r="N31" s="401"/>
      <c r="O31" s="401"/>
      <c r="P31" s="401"/>
      <c r="Q31" s="401"/>
      <c r="R31" s="401"/>
      <c r="S31" s="401"/>
      <c r="T31" s="401"/>
      <c r="U31" s="401"/>
      <c r="V31" s="401"/>
      <c r="W31" s="401"/>
      <c r="X31" s="401"/>
      <c r="Y31" s="401"/>
      <c r="Z31" s="401"/>
      <c r="AA31" s="401"/>
      <c r="AB31" s="401"/>
      <c r="AC31" s="401"/>
      <c r="AD31" s="401"/>
    </row>
    <row r="32" ht="33.0" customHeight="1">
      <c r="A32" s="396">
        <f>+SUMMARY!A30</f>
        <v>44373</v>
      </c>
      <c r="B32" s="397">
        <f>+SUMMARY!B30</f>
        <v>37386.8361</v>
      </c>
      <c r="C32" s="397">
        <f>+SUMMARY!C30</f>
        <v>33137.66063</v>
      </c>
      <c r="D32" s="397">
        <f>+SUMMARY!D30</f>
        <v>0</v>
      </c>
      <c r="E32" s="397">
        <f>+SUMMARY!E30</f>
        <v>251.4</v>
      </c>
      <c r="F32" s="397">
        <f>+SUMMARY!F30</f>
        <v>616.5467821</v>
      </c>
      <c r="G32" s="397">
        <f>+SUMMARY!G30</f>
        <v>3381.228687</v>
      </c>
      <c r="H32" s="398" t="str">
        <f>+SUMMARY!H30</f>
        <v/>
      </c>
      <c r="I32" s="399">
        <f t="shared" si="1"/>
        <v>0</v>
      </c>
      <c r="J32" s="400"/>
      <c r="K32" s="401"/>
      <c r="L32" s="401"/>
      <c r="M32" s="401"/>
      <c r="N32" s="401"/>
      <c r="O32" s="401"/>
      <c r="P32" s="401"/>
      <c r="Q32" s="401"/>
      <c r="R32" s="401"/>
      <c r="S32" s="401"/>
      <c r="T32" s="401"/>
      <c r="U32" s="401"/>
      <c r="V32" s="401"/>
      <c r="W32" s="401"/>
      <c r="X32" s="401"/>
      <c r="Y32" s="401"/>
      <c r="Z32" s="401"/>
      <c r="AA32" s="401"/>
      <c r="AB32" s="401"/>
      <c r="AC32" s="401"/>
      <c r="AD32" s="401"/>
    </row>
    <row r="33" ht="33.0" customHeight="1">
      <c r="A33" s="396">
        <f>+SUMMARY!A31</f>
        <v>44375</v>
      </c>
      <c r="B33" s="397">
        <f>+SUMMARY!B31</f>
        <v>8552.19</v>
      </c>
      <c r="C33" s="397">
        <f>+SUMMARY!C31</f>
        <v>6108.28509</v>
      </c>
      <c r="D33" s="397">
        <f>+SUMMARY!D31</f>
        <v>0</v>
      </c>
      <c r="E33" s="397">
        <f>+SUMMARY!E31</f>
        <v>28.8</v>
      </c>
      <c r="F33" s="397">
        <f>+SUMMARY!F31</f>
        <v>928.767834</v>
      </c>
      <c r="G33" s="397">
        <f>+SUMMARY!G31</f>
        <v>1486.337076</v>
      </c>
      <c r="H33" s="398" t="str">
        <f>+SUMMARY!H31</f>
        <v/>
      </c>
      <c r="I33" s="399">
        <f t="shared" si="1"/>
        <v>0</v>
      </c>
      <c r="J33" s="400"/>
      <c r="K33" s="401"/>
      <c r="L33" s="401"/>
      <c r="M33" s="401"/>
      <c r="N33" s="401"/>
      <c r="O33" s="401"/>
      <c r="P33" s="401"/>
      <c r="Q33" s="401"/>
      <c r="R33" s="401"/>
      <c r="S33" s="401"/>
      <c r="T33" s="401"/>
      <c r="U33" s="401"/>
      <c r="V33" s="401"/>
      <c r="W33" s="401"/>
      <c r="X33" s="401"/>
      <c r="Y33" s="401"/>
      <c r="Z33" s="401"/>
      <c r="AA33" s="401"/>
      <c r="AB33" s="401"/>
      <c r="AC33" s="401"/>
      <c r="AD33" s="401"/>
    </row>
    <row r="34" ht="33.0" customHeight="1">
      <c r="A34" s="396">
        <f>+SUMMARY!A32</f>
        <v>44376</v>
      </c>
      <c r="B34" s="397">
        <f>+SUMMARY!B32</f>
        <v>11417.0055</v>
      </c>
      <c r="C34" s="397">
        <f>+SUMMARY!C32</f>
        <v>10106.20354</v>
      </c>
      <c r="D34" s="397">
        <f>+SUMMARY!D32</f>
        <v>50.456974</v>
      </c>
      <c r="E34" s="397">
        <f>+SUMMARY!E32</f>
        <v>130.2</v>
      </c>
      <c r="F34" s="397">
        <f>+SUMMARY!F32</f>
        <v>445.7031318</v>
      </c>
      <c r="G34" s="397">
        <f>+SUMMARY!G32</f>
        <v>684.4418502</v>
      </c>
      <c r="H34" s="398" t="str">
        <f>+SUMMARY!H32</f>
        <v/>
      </c>
      <c r="I34" s="399">
        <f t="shared" si="1"/>
        <v>0.004419457799</v>
      </c>
      <c r="J34" s="400"/>
      <c r="K34" s="401"/>
      <c r="L34" s="401"/>
      <c r="M34" s="401"/>
      <c r="N34" s="401"/>
      <c r="O34" s="401"/>
      <c r="P34" s="401"/>
      <c r="Q34" s="401"/>
      <c r="R34" s="401"/>
      <c r="S34" s="401"/>
      <c r="T34" s="401"/>
      <c r="U34" s="401"/>
      <c r="V34" s="401"/>
      <c r="W34" s="401"/>
      <c r="X34" s="401"/>
      <c r="Y34" s="401"/>
      <c r="Z34" s="401"/>
      <c r="AA34" s="401"/>
      <c r="AB34" s="401"/>
      <c r="AC34" s="401"/>
      <c r="AD34" s="401"/>
    </row>
    <row r="35" ht="33.0" customHeight="1">
      <c r="A35" s="396" t="str">
        <f>+SUMMARY!A33</f>
        <v/>
      </c>
      <c r="B35" s="397" t="str">
        <f>+SUMMARY!B33</f>
        <v/>
      </c>
      <c r="C35" s="397" t="str">
        <f>+SUMMARY!C33</f>
        <v/>
      </c>
      <c r="D35" s="397" t="str">
        <f>+SUMMARY!D33</f>
        <v/>
      </c>
      <c r="E35" s="397" t="str">
        <f>+SUMMARY!E33</f>
        <v/>
      </c>
      <c r="F35" s="397" t="str">
        <f>+SUMMARY!F33</f>
        <v/>
      </c>
      <c r="G35" s="397" t="str">
        <f>+SUMMARY!G33</f>
        <v/>
      </c>
      <c r="H35" s="398" t="str">
        <f>+SUMMARY!H33</f>
        <v/>
      </c>
      <c r="I35" s="399" t="str">
        <f t="shared" si="1"/>
        <v>#DIV/0!</v>
      </c>
      <c r="J35" s="400"/>
      <c r="K35" s="401"/>
      <c r="L35" s="401"/>
      <c r="M35" s="401"/>
      <c r="N35" s="401"/>
      <c r="O35" s="401"/>
      <c r="P35" s="401"/>
      <c r="Q35" s="401"/>
      <c r="R35" s="401"/>
      <c r="S35" s="401"/>
      <c r="T35" s="401"/>
      <c r="U35" s="401"/>
      <c r="V35" s="401"/>
      <c r="W35" s="401"/>
      <c r="X35" s="401"/>
      <c r="Y35" s="401"/>
      <c r="Z35" s="401"/>
      <c r="AA35" s="401"/>
      <c r="AB35" s="401"/>
      <c r="AC35" s="401"/>
      <c r="AD35" s="401"/>
    </row>
    <row r="36" ht="33.0" customHeight="1">
      <c r="A36" s="396" t="str">
        <f>+SUMMARY!A34</f>
        <v/>
      </c>
      <c r="B36" s="397" t="str">
        <f>+SUMMARY!B34</f>
        <v/>
      </c>
      <c r="C36" s="397" t="str">
        <f>+SUMMARY!C34</f>
        <v/>
      </c>
      <c r="D36" s="397" t="str">
        <f>+SUMMARY!D34</f>
        <v/>
      </c>
      <c r="E36" s="397" t="str">
        <f>+SUMMARY!E34</f>
        <v/>
      </c>
      <c r="F36" s="397" t="str">
        <f>+SUMMARY!F34</f>
        <v/>
      </c>
      <c r="G36" s="397" t="str">
        <f>+SUMMARY!G34</f>
        <v/>
      </c>
      <c r="H36" s="398" t="str">
        <f>+SUMMARY!H34</f>
        <v/>
      </c>
      <c r="I36" s="399" t="str">
        <f t="shared" si="1"/>
        <v>#DIV/0!</v>
      </c>
      <c r="J36" s="400"/>
      <c r="K36" s="401"/>
      <c r="L36" s="401"/>
      <c r="M36" s="401"/>
      <c r="N36" s="401"/>
      <c r="O36" s="401"/>
      <c r="P36" s="401"/>
      <c r="Q36" s="401"/>
      <c r="R36" s="401"/>
      <c r="S36" s="401"/>
      <c r="T36" s="401"/>
      <c r="U36" s="401"/>
      <c r="V36" s="401"/>
      <c r="W36" s="401"/>
      <c r="X36" s="401"/>
      <c r="Y36" s="401"/>
      <c r="Z36" s="401"/>
      <c r="AA36" s="401"/>
      <c r="AB36" s="401"/>
      <c r="AC36" s="401"/>
      <c r="AD36" s="401"/>
    </row>
    <row r="37" ht="33.0" customHeight="1">
      <c r="A37" s="396" t="str">
        <f>+SUMMARY!A35</f>
        <v/>
      </c>
      <c r="B37" s="397" t="str">
        <f>+SUMMARY!B35</f>
        <v/>
      </c>
      <c r="C37" s="397" t="str">
        <f>+SUMMARY!C35</f>
        <v/>
      </c>
      <c r="D37" s="397" t="str">
        <f>+SUMMARY!D35</f>
        <v/>
      </c>
      <c r="E37" s="397" t="str">
        <f>+SUMMARY!E35</f>
        <v/>
      </c>
      <c r="F37" s="397" t="str">
        <f>+SUMMARY!F35</f>
        <v/>
      </c>
      <c r="G37" s="397" t="str">
        <f>+SUMMARY!G35</f>
        <v/>
      </c>
      <c r="H37" s="398" t="str">
        <f>+SUMMARY!H35</f>
        <v/>
      </c>
      <c r="I37" s="399" t="str">
        <f t="shared" si="1"/>
        <v>#DIV/0!</v>
      </c>
      <c r="J37" s="400"/>
      <c r="K37" s="401"/>
      <c r="L37" s="401"/>
      <c r="M37" s="401"/>
      <c r="N37" s="401"/>
      <c r="O37" s="401"/>
      <c r="P37" s="401"/>
      <c r="Q37" s="401"/>
      <c r="R37" s="401"/>
      <c r="S37" s="401"/>
      <c r="T37" s="401"/>
      <c r="U37" s="401"/>
      <c r="V37" s="401"/>
      <c r="W37" s="401"/>
      <c r="X37" s="401"/>
      <c r="Y37" s="401"/>
      <c r="Z37" s="401"/>
      <c r="AA37" s="401"/>
      <c r="AB37" s="401"/>
      <c r="AC37" s="401"/>
      <c r="AD37" s="401"/>
    </row>
    <row r="38" ht="30.0" customHeight="1">
      <c r="A38" s="402" t="s">
        <v>250</v>
      </c>
      <c r="B38" s="403" t="str">
        <f t="shared" ref="B38:G38" si="2">SUM(B8:B37)</f>
        <v>#ERROR!</v>
      </c>
      <c r="C38" s="403" t="str">
        <f t="shared" si="2"/>
        <v>#ERROR!</v>
      </c>
      <c r="D38" s="403" t="str">
        <f t="shared" si="2"/>
        <v>#ERROR!</v>
      </c>
      <c r="E38" s="403" t="str">
        <f t="shared" si="2"/>
        <v>#ERROR!</v>
      </c>
      <c r="F38" s="403" t="str">
        <f t="shared" si="2"/>
        <v>#ERROR!</v>
      </c>
      <c r="G38" s="403" t="str">
        <f t="shared" si="2"/>
        <v>#ERROR!</v>
      </c>
      <c r="H38" s="404"/>
      <c r="I38" s="405" t="str">
        <f t="shared" si="1"/>
        <v>#ERROR!</v>
      </c>
      <c r="J38" s="406"/>
      <c r="K38" s="386"/>
      <c r="L38" s="386"/>
      <c r="M38" s="386"/>
      <c r="N38" s="386"/>
      <c r="O38" s="386"/>
      <c r="P38" s="386"/>
      <c r="Q38" s="386"/>
      <c r="R38" s="386"/>
      <c r="S38" s="386"/>
      <c r="T38" s="386"/>
      <c r="U38" s="386"/>
      <c r="V38" s="386"/>
      <c r="W38" s="386"/>
      <c r="X38" s="386"/>
      <c r="Y38" s="386"/>
      <c r="Z38" s="386"/>
      <c r="AA38" s="386"/>
      <c r="AB38" s="386"/>
      <c r="AC38" s="386"/>
      <c r="AD38" s="386"/>
    </row>
    <row r="39" ht="24.75" customHeight="1">
      <c r="A39" s="407" t="s">
        <v>49</v>
      </c>
      <c r="B39" s="408"/>
      <c r="C39" s="409" t="str">
        <f>+C38/B38</f>
        <v>#ERROR!</v>
      </c>
      <c r="D39" s="410" t="str">
        <f>+D38/B38</f>
        <v>#ERROR!</v>
      </c>
      <c r="E39" s="409" t="str">
        <f>+E38/B38</f>
        <v>#ERROR!</v>
      </c>
      <c r="F39" s="409" t="str">
        <f>+F38/B38</f>
        <v>#ERROR!</v>
      </c>
      <c r="G39" s="409" t="str">
        <f>+G38/B38</f>
        <v>#ERROR!</v>
      </c>
      <c r="H39" s="411" t="str">
        <f>+SUMMARY!H37</f>
        <v/>
      </c>
      <c r="I39" s="412"/>
      <c r="J39" s="413"/>
      <c r="K39" s="386"/>
      <c r="L39" s="386"/>
      <c r="M39" s="386"/>
      <c r="N39" s="386"/>
      <c r="O39" s="386"/>
      <c r="P39" s="386"/>
      <c r="Q39" s="386"/>
      <c r="R39" s="386"/>
      <c r="S39" s="386"/>
      <c r="T39" s="386"/>
      <c r="U39" s="386"/>
      <c r="V39" s="386"/>
      <c r="W39" s="386"/>
      <c r="X39" s="386"/>
      <c r="Y39" s="386"/>
      <c r="Z39" s="386"/>
      <c r="AA39" s="386"/>
      <c r="AB39" s="386"/>
      <c r="AC39" s="386"/>
      <c r="AD39" s="386"/>
    </row>
    <row r="40" ht="33.75" customHeight="1">
      <c r="A40" s="414" t="s">
        <v>251</v>
      </c>
      <c r="B40" s="415"/>
      <c r="C40" s="416"/>
      <c r="D40" s="416">
        <v>0.0053</v>
      </c>
      <c r="E40" s="416">
        <v>0.0084</v>
      </c>
      <c r="F40" s="416"/>
      <c r="G40" s="417">
        <v>0.0061</v>
      </c>
      <c r="H40" s="418"/>
      <c r="I40" s="386"/>
      <c r="J40" s="386"/>
      <c r="K40" s="386"/>
      <c r="L40" s="386"/>
      <c r="M40" s="386"/>
      <c r="N40" s="386"/>
      <c r="O40" s="386"/>
      <c r="P40" s="386"/>
      <c r="Q40" s="386"/>
      <c r="R40" s="386"/>
      <c r="S40" s="386"/>
      <c r="T40" s="386"/>
      <c r="U40" s="386"/>
      <c r="V40" s="386"/>
      <c r="W40" s="386"/>
      <c r="X40" s="386"/>
      <c r="Y40" s="386"/>
      <c r="Z40" s="386"/>
      <c r="AA40" s="386"/>
      <c r="AB40" s="386"/>
      <c r="AC40" s="386"/>
      <c r="AD40" s="386"/>
    </row>
    <row r="41" ht="40.5" customHeight="1">
      <c r="A41" s="419"/>
      <c r="B41" s="386"/>
      <c r="C41" s="386"/>
      <c r="D41" s="386" t="s">
        <v>252</v>
      </c>
      <c r="E41" s="386"/>
      <c r="F41" s="420" t="str">
        <f>+D38+E38+F38+G38</f>
        <v>#ERROR!</v>
      </c>
      <c r="G41" s="386"/>
      <c r="H41" s="421"/>
      <c r="I41" s="386"/>
      <c r="J41" s="386"/>
      <c r="K41" s="386"/>
      <c r="L41" s="386"/>
      <c r="M41" s="386"/>
      <c r="N41" s="386"/>
      <c r="O41" s="386"/>
      <c r="P41" s="386"/>
      <c r="Q41" s="386"/>
      <c r="R41" s="386"/>
      <c r="S41" s="386"/>
      <c r="T41" s="386"/>
      <c r="U41" s="386"/>
      <c r="V41" s="386"/>
      <c r="W41" s="386"/>
      <c r="X41" s="386"/>
      <c r="Y41" s="386"/>
      <c r="Z41" s="386"/>
      <c r="AA41" s="386"/>
      <c r="AB41" s="386"/>
      <c r="AC41" s="386"/>
      <c r="AD41" s="386"/>
    </row>
    <row r="42" ht="23.25" customHeight="1">
      <c r="A42" s="419"/>
      <c r="B42" s="386"/>
      <c r="C42" s="386"/>
      <c r="D42" s="386" t="s">
        <v>253</v>
      </c>
      <c r="E42" s="386"/>
      <c r="F42" s="422" t="str">
        <f>+F41/B38</f>
        <v>#ERROR!</v>
      </c>
      <c r="G42" s="386"/>
      <c r="H42" s="421"/>
      <c r="I42" s="386"/>
      <c r="J42" s="386"/>
      <c r="K42" s="386"/>
      <c r="L42" s="386"/>
      <c r="M42" s="386"/>
      <c r="N42" s="386"/>
      <c r="O42" s="386"/>
      <c r="P42" s="386"/>
      <c r="Q42" s="386"/>
      <c r="R42" s="386"/>
      <c r="S42" s="386"/>
      <c r="T42" s="386"/>
      <c r="U42" s="386"/>
      <c r="V42" s="386"/>
      <c r="W42" s="386"/>
      <c r="X42" s="386"/>
      <c r="Y42" s="386"/>
      <c r="Z42" s="386"/>
      <c r="AA42" s="386"/>
      <c r="AB42" s="386"/>
      <c r="AC42" s="386"/>
      <c r="AD42" s="386"/>
    </row>
    <row r="43" ht="23.25" customHeight="1">
      <c r="A43" s="419"/>
      <c r="B43" s="386"/>
      <c r="C43" s="386"/>
      <c r="D43" s="386" t="s">
        <v>254</v>
      </c>
      <c r="E43" s="386"/>
      <c r="F43" s="422" t="str">
        <f t="shared" ref="F43:F44" si="3">+D39+E39+G39</f>
        <v>#ERROR!</v>
      </c>
      <c r="G43" s="386"/>
      <c r="H43" s="421"/>
      <c r="I43" s="386"/>
      <c r="J43" s="386"/>
      <c r="K43" s="386"/>
      <c r="L43" s="386"/>
      <c r="M43" s="386"/>
      <c r="N43" s="386"/>
      <c r="O43" s="386"/>
      <c r="P43" s="386"/>
      <c r="Q43" s="386"/>
      <c r="R43" s="386"/>
      <c r="S43" s="386"/>
      <c r="T43" s="386"/>
      <c r="U43" s="386"/>
      <c r="V43" s="386"/>
      <c r="W43" s="386"/>
      <c r="X43" s="386"/>
      <c r="Y43" s="386"/>
      <c r="Z43" s="386"/>
      <c r="AA43" s="386"/>
      <c r="AB43" s="386"/>
      <c r="AC43" s="386"/>
      <c r="AD43" s="386"/>
    </row>
    <row r="44" ht="23.25" customHeight="1">
      <c r="A44" s="419"/>
      <c r="B44" s="386"/>
      <c r="C44" s="385" t="s">
        <v>255</v>
      </c>
      <c r="D44" s="385"/>
      <c r="E44" s="385"/>
      <c r="F44" s="389">
        <f t="shared" si="3"/>
        <v>0.0198</v>
      </c>
      <c r="G44" s="386"/>
      <c r="H44" s="421"/>
      <c r="I44" s="386"/>
      <c r="J44" s="386"/>
      <c r="K44" s="386"/>
      <c r="L44" s="386"/>
      <c r="M44" s="386"/>
      <c r="N44" s="386"/>
      <c r="O44" s="386"/>
      <c r="P44" s="386"/>
      <c r="Q44" s="386"/>
      <c r="R44" s="386"/>
      <c r="S44" s="386"/>
      <c r="T44" s="386"/>
      <c r="U44" s="386"/>
      <c r="V44" s="386"/>
      <c r="W44" s="386"/>
      <c r="X44" s="386"/>
      <c r="Y44" s="386"/>
      <c r="Z44" s="386"/>
      <c r="AA44" s="386"/>
      <c r="AB44" s="386"/>
      <c r="AC44" s="386"/>
      <c r="AD44" s="386"/>
    </row>
    <row r="45" ht="23.25" customHeight="1">
      <c r="A45" s="419" t="s">
        <v>256</v>
      </c>
      <c r="B45" s="386"/>
      <c r="C45" s="386"/>
      <c r="D45" s="423">
        <v>9.0</v>
      </c>
      <c r="E45" s="386"/>
      <c r="F45" s="386"/>
      <c r="G45" s="386"/>
      <c r="H45" s="421"/>
      <c r="I45" s="386"/>
      <c r="J45" s="386"/>
      <c r="K45" s="386"/>
      <c r="L45" s="386"/>
      <c r="M45" s="386"/>
      <c r="N45" s="386"/>
      <c r="O45" s="386"/>
      <c r="P45" s="386"/>
      <c r="Q45" s="386"/>
      <c r="R45" s="386"/>
      <c r="S45" s="386"/>
      <c r="T45" s="386"/>
      <c r="U45" s="386"/>
      <c r="V45" s="386"/>
      <c r="W45" s="386"/>
      <c r="X45" s="386"/>
      <c r="Y45" s="386"/>
      <c r="Z45" s="386"/>
      <c r="AA45" s="386"/>
      <c r="AB45" s="386"/>
      <c r="AC45" s="386"/>
      <c r="AD45" s="386"/>
    </row>
    <row r="46" ht="23.25" customHeight="1">
      <c r="A46" s="419"/>
      <c r="B46" s="386"/>
      <c r="C46" s="386" t="s">
        <v>257</v>
      </c>
      <c r="D46" s="424" t="str">
        <f t="shared" ref="D46:E46" si="4">+$D$45*D38</f>
        <v>#ERROR!</v>
      </c>
      <c r="E46" s="424" t="str">
        <f t="shared" si="4"/>
        <v>#ERROR!</v>
      </c>
      <c r="F46" s="424"/>
      <c r="G46" s="424" t="str">
        <f>+$D$45*G38</f>
        <v>#ERROR!</v>
      </c>
      <c r="H46" s="421"/>
      <c r="I46" s="386"/>
      <c r="J46" s="386"/>
      <c r="K46" s="386"/>
      <c r="L46" s="386"/>
      <c r="M46" s="386"/>
      <c r="N46" s="386"/>
      <c r="O46" s="386"/>
      <c r="P46" s="386"/>
      <c r="Q46" s="386"/>
      <c r="R46" s="386"/>
      <c r="S46" s="386"/>
      <c r="T46" s="386"/>
      <c r="U46" s="386"/>
      <c r="V46" s="386"/>
      <c r="W46" s="386"/>
      <c r="X46" s="386"/>
      <c r="Y46" s="386"/>
      <c r="Z46" s="386"/>
      <c r="AA46" s="386"/>
      <c r="AB46" s="386"/>
      <c r="AC46" s="386"/>
      <c r="AD46" s="386"/>
    </row>
    <row r="47" ht="24.0" customHeight="1">
      <c r="A47" s="425"/>
      <c r="B47" s="426"/>
      <c r="C47" s="426"/>
      <c r="D47" s="426"/>
      <c r="E47" s="426"/>
      <c r="F47" s="426"/>
      <c r="G47" s="426"/>
      <c r="H47" s="427"/>
      <c r="I47" s="386"/>
      <c r="J47" s="386"/>
      <c r="K47" s="386"/>
      <c r="L47" s="386"/>
      <c r="M47" s="386"/>
      <c r="N47" s="386"/>
      <c r="O47" s="386"/>
      <c r="P47" s="386"/>
      <c r="Q47" s="386"/>
      <c r="R47" s="386"/>
      <c r="S47" s="386"/>
      <c r="T47" s="386"/>
      <c r="U47" s="386"/>
      <c r="V47" s="386"/>
      <c r="W47" s="386"/>
      <c r="X47" s="386"/>
      <c r="Y47" s="386"/>
      <c r="Z47" s="386"/>
      <c r="AA47" s="386"/>
      <c r="AB47" s="386"/>
      <c r="AC47" s="386"/>
      <c r="AD47" s="386"/>
    </row>
    <row r="48" ht="23.25" customHeight="1">
      <c r="A48" s="386"/>
      <c r="B48" s="386"/>
      <c r="C48" s="386"/>
      <c r="D48" s="386"/>
      <c r="E48" s="386"/>
      <c r="F48" s="386"/>
      <c r="G48" s="386"/>
      <c r="H48" s="386"/>
      <c r="I48" s="386"/>
      <c r="J48" s="386"/>
      <c r="K48" s="386"/>
      <c r="L48" s="386"/>
      <c r="M48" s="386"/>
      <c r="N48" s="386"/>
      <c r="O48" s="386"/>
      <c r="P48" s="386"/>
      <c r="Q48" s="386"/>
      <c r="R48" s="386"/>
      <c r="S48" s="386"/>
      <c r="T48" s="386"/>
      <c r="U48" s="386"/>
      <c r="V48" s="386"/>
      <c r="W48" s="386"/>
      <c r="X48" s="386"/>
      <c r="Y48" s="386"/>
      <c r="Z48" s="386"/>
      <c r="AA48" s="386"/>
      <c r="AB48" s="386"/>
      <c r="AC48" s="386"/>
      <c r="AD48" s="386"/>
    </row>
    <row r="49" ht="23.25" customHeight="1">
      <c r="A49" s="386"/>
      <c r="B49" s="386"/>
      <c r="C49" s="386"/>
      <c r="D49" s="386"/>
      <c r="E49" s="386"/>
      <c r="F49" s="428"/>
      <c r="G49" s="386"/>
      <c r="H49" s="386"/>
      <c r="I49" s="386"/>
      <c r="J49" s="386"/>
      <c r="K49" s="386"/>
      <c r="L49" s="386"/>
      <c r="M49" s="386"/>
      <c r="N49" s="386"/>
      <c r="O49" s="386"/>
      <c r="P49" s="386"/>
      <c r="Q49" s="386"/>
      <c r="R49" s="386"/>
      <c r="S49" s="386"/>
      <c r="T49" s="386"/>
      <c r="U49" s="386"/>
      <c r="V49" s="386"/>
      <c r="W49" s="386"/>
      <c r="X49" s="386"/>
      <c r="Y49" s="386"/>
      <c r="Z49" s="386"/>
      <c r="AA49" s="386"/>
      <c r="AB49" s="386"/>
      <c r="AC49" s="386"/>
      <c r="AD49" s="386"/>
    </row>
    <row r="50" ht="23.25" customHeight="1">
      <c r="A50" s="386"/>
      <c r="B50" s="386"/>
      <c r="C50" s="386"/>
      <c r="D50" s="386"/>
      <c r="E50" s="428"/>
      <c r="F50" s="386"/>
      <c r="G50" s="386"/>
      <c r="H50" s="386"/>
      <c r="I50" s="386"/>
      <c r="J50" s="386"/>
      <c r="K50" s="386"/>
      <c r="L50" s="386"/>
      <c r="M50" s="386"/>
      <c r="N50" s="386"/>
      <c r="O50" s="386"/>
      <c r="P50" s="386"/>
      <c r="Q50" s="386"/>
      <c r="R50" s="386"/>
      <c r="S50" s="386"/>
      <c r="T50" s="386"/>
      <c r="U50" s="386"/>
      <c r="V50" s="386"/>
      <c r="W50" s="386"/>
      <c r="X50" s="386"/>
      <c r="Y50" s="386"/>
      <c r="Z50" s="386"/>
      <c r="AA50" s="386"/>
      <c r="AB50" s="386"/>
      <c r="AC50" s="386"/>
      <c r="AD50" s="386"/>
    </row>
    <row r="51" ht="23.25" customHeight="1">
      <c r="A51" s="386"/>
      <c r="B51" s="386"/>
      <c r="C51" s="386"/>
      <c r="D51" s="386"/>
      <c r="E51" s="386"/>
      <c r="F51" s="386"/>
      <c r="G51" s="386"/>
      <c r="H51" s="386"/>
      <c r="I51" s="386"/>
      <c r="J51" s="386"/>
      <c r="K51" s="386"/>
      <c r="L51" s="386"/>
      <c r="M51" s="386"/>
      <c r="N51" s="386"/>
      <c r="O51" s="386"/>
      <c r="P51" s="386"/>
      <c r="Q51" s="386"/>
      <c r="R51" s="386"/>
      <c r="S51" s="386"/>
      <c r="T51" s="386"/>
      <c r="U51" s="386"/>
      <c r="V51" s="386"/>
      <c r="W51" s="386"/>
      <c r="X51" s="386"/>
      <c r="Y51" s="386"/>
      <c r="Z51" s="386"/>
      <c r="AA51" s="386"/>
      <c r="AB51" s="386"/>
      <c r="AC51" s="386"/>
      <c r="AD51" s="386"/>
    </row>
    <row r="52" ht="23.25" customHeight="1">
      <c r="A52" s="386"/>
      <c r="B52" s="386"/>
      <c r="C52" s="386"/>
      <c r="D52" s="386"/>
      <c r="E52" s="386"/>
      <c r="F52" s="386"/>
      <c r="G52" s="386"/>
      <c r="H52" s="386"/>
      <c r="I52" s="386"/>
      <c r="J52" s="386"/>
      <c r="K52" s="386"/>
      <c r="L52" s="386"/>
      <c r="M52" s="386"/>
      <c r="N52" s="386"/>
      <c r="O52" s="386"/>
      <c r="P52" s="386"/>
      <c r="Q52" s="386"/>
      <c r="R52" s="386"/>
      <c r="S52" s="386"/>
      <c r="T52" s="386"/>
      <c r="U52" s="386"/>
      <c r="V52" s="386"/>
      <c r="W52" s="386"/>
      <c r="X52" s="386"/>
      <c r="Y52" s="386"/>
      <c r="Z52" s="386"/>
      <c r="AA52" s="386"/>
      <c r="AB52" s="386"/>
      <c r="AC52" s="386"/>
      <c r="AD52" s="386"/>
    </row>
    <row r="53" ht="23.25" customHeight="1">
      <c r="A53" s="386"/>
      <c r="B53" s="386"/>
      <c r="C53" s="386"/>
      <c r="D53" s="386"/>
      <c r="E53" s="386"/>
      <c r="F53" s="386"/>
      <c r="G53" s="386"/>
      <c r="H53" s="386"/>
      <c r="I53" s="386"/>
      <c r="J53" s="386"/>
      <c r="K53" s="386"/>
      <c r="L53" s="386"/>
      <c r="M53" s="386"/>
      <c r="N53" s="386"/>
      <c r="O53" s="386"/>
      <c r="P53" s="386"/>
      <c r="Q53" s="386"/>
      <c r="R53" s="386"/>
      <c r="S53" s="386"/>
      <c r="T53" s="386"/>
      <c r="U53" s="386"/>
      <c r="V53" s="386"/>
      <c r="W53" s="386"/>
      <c r="X53" s="386"/>
      <c r="Y53" s="386"/>
      <c r="Z53" s="386"/>
      <c r="AA53" s="386"/>
      <c r="AB53" s="386"/>
      <c r="AC53" s="386"/>
      <c r="AD53" s="386"/>
    </row>
    <row r="54" ht="23.25" customHeight="1">
      <c r="A54" s="386"/>
      <c r="B54" s="386"/>
      <c r="C54" s="386"/>
      <c r="D54" s="386"/>
      <c r="E54" s="386"/>
      <c r="F54" s="386"/>
      <c r="G54" s="386"/>
      <c r="H54" s="386"/>
      <c r="I54" s="386"/>
      <c r="J54" s="386"/>
      <c r="K54" s="386"/>
      <c r="L54" s="386"/>
      <c r="M54" s="386"/>
      <c r="N54" s="386"/>
      <c r="O54" s="386"/>
      <c r="P54" s="386"/>
      <c r="Q54" s="386"/>
      <c r="R54" s="386"/>
      <c r="S54" s="386"/>
      <c r="T54" s="386"/>
      <c r="U54" s="386"/>
      <c r="V54" s="386"/>
      <c r="W54" s="386"/>
      <c r="X54" s="386"/>
      <c r="Y54" s="386"/>
      <c r="Z54" s="386"/>
      <c r="AA54" s="386"/>
      <c r="AB54" s="386"/>
      <c r="AC54" s="386"/>
      <c r="AD54" s="386"/>
    </row>
    <row r="55" ht="23.25" customHeight="1">
      <c r="A55" s="386"/>
      <c r="B55" s="386"/>
      <c r="C55" s="386"/>
      <c r="D55" s="386"/>
      <c r="E55" s="386"/>
      <c r="F55" s="386"/>
      <c r="G55" s="386"/>
      <c r="H55" s="386"/>
      <c r="I55" s="386"/>
      <c r="J55" s="386"/>
      <c r="K55" s="386"/>
      <c r="L55" s="386"/>
      <c r="M55" s="386"/>
      <c r="N55" s="386"/>
      <c r="O55" s="386"/>
      <c r="P55" s="386"/>
      <c r="Q55" s="386"/>
      <c r="R55" s="386"/>
      <c r="S55" s="386"/>
      <c r="T55" s="386"/>
      <c r="U55" s="386"/>
      <c r="V55" s="386"/>
      <c r="W55" s="386"/>
      <c r="X55" s="386"/>
      <c r="Y55" s="386"/>
      <c r="Z55" s="386"/>
      <c r="AA55" s="386"/>
      <c r="AB55" s="386"/>
      <c r="AC55" s="386"/>
      <c r="AD55" s="386"/>
    </row>
    <row r="56" ht="23.25" customHeight="1">
      <c r="A56" s="386"/>
      <c r="B56" s="386"/>
      <c r="C56" s="386"/>
      <c r="D56" s="386"/>
      <c r="E56" s="386"/>
      <c r="F56" s="386"/>
      <c r="G56" s="386"/>
      <c r="H56" s="386"/>
      <c r="I56" s="386"/>
      <c r="J56" s="386"/>
      <c r="K56" s="386"/>
      <c r="L56" s="386"/>
      <c r="M56" s="386"/>
      <c r="N56" s="386"/>
      <c r="O56" s="386"/>
      <c r="P56" s="386"/>
      <c r="Q56" s="386"/>
      <c r="R56" s="386"/>
      <c r="S56" s="386"/>
      <c r="T56" s="386"/>
      <c r="U56" s="386"/>
      <c r="V56" s="386"/>
      <c r="W56" s="386"/>
      <c r="X56" s="386"/>
      <c r="Y56" s="386"/>
      <c r="Z56" s="386"/>
      <c r="AA56" s="386"/>
      <c r="AB56" s="386"/>
      <c r="AC56" s="386"/>
      <c r="AD56" s="386"/>
    </row>
    <row r="57" ht="23.25" customHeight="1">
      <c r="A57" s="386"/>
      <c r="B57" s="386"/>
      <c r="C57" s="386"/>
      <c r="D57" s="386"/>
      <c r="E57" s="386"/>
      <c r="F57" s="386"/>
      <c r="G57" s="386"/>
      <c r="H57" s="386"/>
      <c r="I57" s="386"/>
      <c r="J57" s="386"/>
      <c r="K57" s="386"/>
      <c r="L57" s="386"/>
      <c r="M57" s="386"/>
      <c r="N57" s="386"/>
      <c r="O57" s="386"/>
      <c r="P57" s="386"/>
      <c r="Q57" s="386"/>
      <c r="R57" s="386"/>
      <c r="S57" s="386"/>
      <c r="T57" s="386"/>
      <c r="U57" s="386"/>
      <c r="V57" s="386"/>
      <c r="W57" s="386"/>
      <c r="X57" s="386"/>
      <c r="Y57" s="386"/>
      <c r="Z57" s="386"/>
      <c r="AA57" s="386"/>
      <c r="AB57" s="386"/>
      <c r="AC57" s="386"/>
      <c r="AD57" s="386"/>
    </row>
    <row r="58" ht="23.25" customHeight="1">
      <c r="A58" s="386"/>
      <c r="B58" s="386"/>
      <c r="C58" s="386"/>
      <c r="D58" s="386"/>
      <c r="E58" s="386"/>
      <c r="F58" s="386"/>
      <c r="G58" s="386"/>
      <c r="H58" s="386"/>
      <c r="I58" s="386"/>
      <c r="J58" s="386"/>
      <c r="K58" s="386"/>
      <c r="L58" s="386"/>
      <c r="M58" s="386"/>
      <c r="N58" s="386"/>
      <c r="O58" s="386"/>
      <c r="P58" s="386"/>
      <c r="Q58" s="386"/>
      <c r="R58" s="386"/>
      <c r="S58" s="386"/>
      <c r="T58" s="386"/>
      <c r="U58" s="386"/>
      <c r="V58" s="386"/>
      <c r="W58" s="386"/>
      <c r="X58" s="386"/>
      <c r="Y58" s="386"/>
      <c r="Z58" s="386"/>
      <c r="AA58" s="386"/>
      <c r="AB58" s="386"/>
      <c r="AC58" s="386"/>
      <c r="AD58" s="386"/>
    </row>
    <row r="59" ht="23.25" customHeight="1">
      <c r="A59" s="386"/>
      <c r="B59" s="386"/>
      <c r="C59" s="386"/>
      <c r="D59" s="386"/>
      <c r="E59" s="386"/>
      <c r="F59" s="386"/>
      <c r="G59" s="386"/>
      <c r="H59" s="386"/>
      <c r="I59" s="386"/>
      <c r="J59" s="386"/>
      <c r="K59" s="386"/>
      <c r="L59" s="386"/>
      <c r="M59" s="386"/>
      <c r="N59" s="386"/>
      <c r="O59" s="386"/>
      <c r="P59" s="386"/>
      <c r="Q59" s="386"/>
      <c r="R59" s="386"/>
      <c r="S59" s="386"/>
      <c r="T59" s="386"/>
      <c r="U59" s="386"/>
      <c r="V59" s="386"/>
      <c r="W59" s="386"/>
      <c r="X59" s="386"/>
      <c r="Y59" s="386"/>
      <c r="Z59" s="386"/>
      <c r="AA59" s="386"/>
      <c r="AB59" s="386"/>
      <c r="AC59" s="386"/>
      <c r="AD59" s="386"/>
    </row>
    <row r="60" ht="23.25" customHeight="1">
      <c r="A60" s="386"/>
      <c r="B60" s="386"/>
      <c r="C60" s="386"/>
      <c r="D60" s="386"/>
      <c r="E60" s="386"/>
      <c r="F60" s="386"/>
      <c r="G60" s="386"/>
      <c r="H60" s="386"/>
      <c r="I60" s="386"/>
      <c r="J60" s="386"/>
      <c r="K60" s="386"/>
      <c r="L60" s="386"/>
      <c r="M60" s="386"/>
      <c r="N60" s="386"/>
      <c r="O60" s="386"/>
      <c r="P60" s="386"/>
      <c r="Q60" s="386"/>
      <c r="R60" s="386"/>
      <c r="S60" s="386"/>
      <c r="T60" s="386"/>
      <c r="U60" s="386"/>
      <c r="V60" s="386"/>
      <c r="W60" s="386"/>
      <c r="X60" s="386"/>
      <c r="Y60" s="386"/>
      <c r="Z60" s="386"/>
      <c r="AA60" s="386"/>
      <c r="AB60" s="386"/>
      <c r="AC60" s="386"/>
      <c r="AD60" s="386"/>
    </row>
    <row r="61" ht="23.25" customHeight="1">
      <c r="A61" s="386"/>
      <c r="B61" s="386"/>
      <c r="C61" s="386"/>
      <c r="D61" s="386"/>
      <c r="E61" s="386"/>
      <c r="F61" s="386"/>
      <c r="G61" s="386"/>
      <c r="H61" s="386"/>
      <c r="I61" s="386"/>
      <c r="J61" s="386"/>
      <c r="K61" s="386"/>
      <c r="L61" s="386"/>
      <c r="M61" s="386"/>
      <c r="N61" s="386"/>
      <c r="O61" s="386"/>
      <c r="P61" s="386"/>
      <c r="Q61" s="386"/>
      <c r="R61" s="386"/>
      <c r="S61" s="386"/>
      <c r="T61" s="386"/>
      <c r="U61" s="386"/>
      <c r="V61" s="386"/>
      <c r="W61" s="386"/>
      <c r="X61" s="386"/>
      <c r="Y61" s="386"/>
      <c r="Z61" s="386"/>
      <c r="AA61" s="386"/>
      <c r="AB61" s="386"/>
      <c r="AC61" s="386"/>
      <c r="AD61" s="386"/>
    </row>
    <row r="62" ht="23.25" customHeight="1">
      <c r="A62" s="386"/>
      <c r="B62" s="386"/>
      <c r="C62" s="386"/>
      <c r="D62" s="386"/>
      <c r="E62" s="386"/>
      <c r="F62" s="386"/>
      <c r="G62" s="386"/>
      <c r="H62" s="386"/>
      <c r="I62" s="386"/>
      <c r="J62" s="386"/>
      <c r="K62" s="386"/>
      <c r="L62" s="386"/>
      <c r="M62" s="386"/>
      <c r="N62" s="386"/>
      <c r="O62" s="386"/>
      <c r="P62" s="386"/>
      <c r="Q62" s="386"/>
      <c r="R62" s="386"/>
      <c r="S62" s="386"/>
      <c r="T62" s="386"/>
      <c r="U62" s="386"/>
      <c r="V62" s="386"/>
      <c r="W62" s="386"/>
      <c r="X62" s="386"/>
      <c r="Y62" s="386"/>
      <c r="Z62" s="386"/>
      <c r="AA62" s="386"/>
      <c r="AB62" s="386"/>
      <c r="AC62" s="386"/>
      <c r="AD62" s="386"/>
    </row>
    <row r="63" ht="23.25" customHeight="1">
      <c r="A63" s="386"/>
      <c r="B63" s="386"/>
      <c r="C63" s="386"/>
      <c r="D63" s="386"/>
      <c r="E63" s="386"/>
      <c r="F63" s="386"/>
      <c r="G63" s="386"/>
      <c r="H63" s="386"/>
      <c r="I63" s="386"/>
      <c r="J63" s="386"/>
      <c r="K63" s="386"/>
      <c r="L63" s="386"/>
      <c r="M63" s="386"/>
      <c r="N63" s="386"/>
      <c r="O63" s="386"/>
      <c r="P63" s="386"/>
      <c r="Q63" s="386"/>
      <c r="R63" s="386"/>
      <c r="S63" s="386"/>
      <c r="T63" s="386"/>
      <c r="U63" s="386"/>
      <c r="V63" s="386"/>
      <c r="W63" s="386"/>
      <c r="X63" s="386"/>
      <c r="Y63" s="386"/>
      <c r="Z63" s="386"/>
      <c r="AA63" s="386"/>
      <c r="AB63" s="386"/>
      <c r="AC63" s="386"/>
      <c r="AD63" s="386"/>
    </row>
    <row r="64" ht="23.25" customHeight="1">
      <c r="A64" s="386"/>
      <c r="B64" s="386"/>
      <c r="C64" s="386"/>
      <c r="D64" s="386"/>
      <c r="E64" s="386"/>
      <c r="F64" s="386"/>
      <c r="G64" s="386"/>
      <c r="H64" s="386"/>
      <c r="I64" s="386"/>
      <c r="J64" s="386"/>
      <c r="K64" s="386"/>
      <c r="L64" s="386"/>
      <c r="M64" s="386"/>
      <c r="N64" s="386"/>
      <c r="O64" s="386"/>
      <c r="P64" s="386"/>
      <c r="Q64" s="386"/>
      <c r="R64" s="386"/>
      <c r="S64" s="386"/>
      <c r="T64" s="386"/>
      <c r="U64" s="386"/>
      <c r="V64" s="386"/>
      <c r="W64" s="386"/>
      <c r="X64" s="386"/>
      <c r="Y64" s="386"/>
      <c r="Z64" s="386"/>
      <c r="AA64" s="386"/>
      <c r="AB64" s="386"/>
      <c r="AC64" s="386"/>
      <c r="AD64" s="386"/>
    </row>
    <row r="65" ht="23.25" customHeight="1">
      <c r="A65" s="386"/>
      <c r="B65" s="386"/>
      <c r="C65" s="386"/>
      <c r="D65" s="386"/>
      <c r="E65" s="386"/>
      <c r="F65" s="386"/>
      <c r="G65" s="386"/>
      <c r="H65" s="386"/>
      <c r="I65" s="386"/>
      <c r="J65" s="386"/>
      <c r="K65" s="386"/>
      <c r="L65" s="386"/>
      <c r="M65" s="386"/>
      <c r="N65" s="386"/>
      <c r="O65" s="386"/>
      <c r="P65" s="386"/>
      <c r="Q65" s="386"/>
      <c r="R65" s="386"/>
      <c r="S65" s="386"/>
      <c r="T65" s="386"/>
      <c r="U65" s="386"/>
      <c r="V65" s="386"/>
      <c r="W65" s="386"/>
      <c r="X65" s="386"/>
      <c r="Y65" s="386"/>
      <c r="Z65" s="386"/>
      <c r="AA65" s="386"/>
      <c r="AB65" s="386"/>
      <c r="AC65" s="386"/>
      <c r="AD65" s="386"/>
    </row>
    <row r="66" ht="23.25" customHeight="1">
      <c r="A66" s="386"/>
      <c r="B66" s="386"/>
      <c r="C66" s="386"/>
      <c r="D66" s="386"/>
      <c r="E66" s="386"/>
      <c r="F66" s="386"/>
      <c r="G66" s="386"/>
      <c r="H66" s="386"/>
      <c r="I66" s="386"/>
      <c r="J66" s="386"/>
      <c r="K66" s="386"/>
      <c r="L66" s="386"/>
      <c r="M66" s="386"/>
      <c r="N66" s="386"/>
      <c r="O66" s="386"/>
      <c r="P66" s="386"/>
      <c r="Q66" s="386"/>
      <c r="R66" s="386"/>
      <c r="S66" s="386"/>
      <c r="T66" s="386"/>
      <c r="U66" s="386"/>
      <c r="V66" s="386"/>
      <c r="W66" s="386"/>
      <c r="X66" s="386"/>
      <c r="Y66" s="386"/>
      <c r="Z66" s="386"/>
      <c r="AA66" s="386"/>
      <c r="AB66" s="386"/>
      <c r="AC66" s="386"/>
      <c r="AD66" s="386"/>
    </row>
    <row r="67" ht="23.25" customHeight="1">
      <c r="A67" s="386"/>
      <c r="B67" s="386"/>
      <c r="C67" s="386"/>
      <c r="D67" s="386"/>
      <c r="E67" s="386"/>
      <c r="F67" s="386"/>
      <c r="G67" s="386"/>
      <c r="H67" s="386"/>
      <c r="I67" s="386"/>
      <c r="J67" s="386"/>
      <c r="K67" s="386"/>
      <c r="L67" s="386"/>
      <c r="M67" s="386"/>
      <c r="N67" s="386"/>
      <c r="O67" s="386"/>
      <c r="P67" s="386"/>
      <c r="Q67" s="386"/>
      <c r="R67" s="386"/>
      <c r="S67" s="386"/>
      <c r="T67" s="386"/>
      <c r="U67" s="386"/>
      <c r="V67" s="386"/>
      <c r="W67" s="386"/>
      <c r="X67" s="386"/>
      <c r="Y67" s="386"/>
      <c r="Z67" s="386"/>
      <c r="AA67" s="386"/>
      <c r="AB67" s="386"/>
      <c r="AC67" s="386"/>
      <c r="AD67" s="386"/>
    </row>
    <row r="68" ht="23.25" customHeight="1">
      <c r="A68" s="386"/>
      <c r="B68" s="386"/>
      <c r="C68" s="386"/>
      <c r="D68" s="386"/>
      <c r="E68" s="386"/>
      <c r="F68" s="386"/>
      <c r="G68" s="386"/>
      <c r="H68" s="386"/>
      <c r="I68" s="386"/>
      <c r="J68" s="386"/>
      <c r="K68" s="386"/>
      <c r="L68" s="386"/>
      <c r="M68" s="386"/>
      <c r="N68" s="386"/>
      <c r="O68" s="386"/>
      <c r="P68" s="386"/>
      <c r="Q68" s="386"/>
      <c r="R68" s="386"/>
      <c r="S68" s="386"/>
      <c r="T68" s="386"/>
      <c r="U68" s="386"/>
      <c r="V68" s="386"/>
      <c r="W68" s="386"/>
      <c r="X68" s="386"/>
      <c r="Y68" s="386"/>
      <c r="Z68" s="386"/>
      <c r="AA68" s="386"/>
      <c r="AB68" s="386"/>
      <c r="AC68" s="386"/>
      <c r="AD68" s="386"/>
    </row>
    <row r="69" ht="23.25" customHeight="1">
      <c r="A69" s="386"/>
      <c r="B69" s="386"/>
      <c r="C69" s="386"/>
      <c r="D69" s="386"/>
      <c r="E69" s="386"/>
      <c r="F69" s="386"/>
      <c r="G69" s="386"/>
      <c r="H69" s="386"/>
      <c r="I69" s="386"/>
      <c r="J69" s="386"/>
      <c r="K69" s="386"/>
      <c r="L69" s="386"/>
      <c r="M69" s="386"/>
      <c r="N69" s="386"/>
      <c r="O69" s="386"/>
      <c r="P69" s="386"/>
      <c r="Q69" s="386"/>
      <c r="R69" s="386"/>
      <c r="S69" s="386"/>
      <c r="T69" s="386"/>
      <c r="U69" s="386"/>
      <c r="V69" s="386"/>
      <c r="W69" s="386"/>
      <c r="X69" s="386"/>
      <c r="Y69" s="386"/>
      <c r="Z69" s="386"/>
      <c r="AA69" s="386"/>
      <c r="AB69" s="386"/>
      <c r="AC69" s="386"/>
      <c r="AD69" s="386"/>
    </row>
    <row r="70" ht="23.25" customHeight="1">
      <c r="A70" s="386"/>
      <c r="B70" s="386"/>
      <c r="C70" s="386"/>
      <c r="D70" s="386"/>
      <c r="E70" s="386"/>
      <c r="F70" s="386"/>
      <c r="G70" s="386"/>
      <c r="H70" s="386"/>
      <c r="I70" s="386"/>
      <c r="J70" s="386"/>
      <c r="K70" s="386"/>
      <c r="L70" s="386"/>
      <c r="M70" s="386"/>
      <c r="N70" s="386"/>
      <c r="O70" s="386"/>
      <c r="P70" s="386"/>
      <c r="Q70" s="386"/>
      <c r="R70" s="386"/>
      <c r="S70" s="386"/>
      <c r="T70" s="386"/>
      <c r="U70" s="386"/>
      <c r="V70" s="386"/>
      <c r="W70" s="386"/>
      <c r="X70" s="386"/>
      <c r="Y70" s="386"/>
      <c r="Z70" s="386"/>
      <c r="AA70" s="386"/>
      <c r="AB70" s="386"/>
      <c r="AC70" s="386"/>
      <c r="AD70" s="386"/>
    </row>
    <row r="71" ht="23.25" customHeight="1">
      <c r="A71" s="386"/>
      <c r="B71" s="386"/>
      <c r="C71" s="386"/>
      <c r="D71" s="386"/>
      <c r="E71" s="386"/>
      <c r="F71" s="386"/>
      <c r="G71" s="386"/>
      <c r="H71" s="386"/>
      <c r="I71" s="386"/>
      <c r="J71" s="386"/>
      <c r="K71" s="386"/>
      <c r="L71" s="386"/>
      <c r="M71" s="386"/>
      <c r="N71" s="386"/>
      <c r="O71" s="386"/>
      <c r="P71" s="386"/>
      <c r="Q71" s="386"/>
      <c r="R71" s="386"/>
      <c r="S71" s="386"/>
      <c r="T71" s="386"/>
      <c r="U71" s="386"/>
      <c r="V71" s="386"/>
      <c r="W71" s="386"/>
      <c r="X71" s="386"/>
      <c r="Y71" s="386"/>
      <c r="Z71" s="386"/>
      <c r="AA71" s="386"/>
      <c r="AB71" s="386"/>
      <c r="AC71" s="386"/>
      <c r="AD71" s="386"/>
    </row>
    <row r="72" ht="23.25" customHeight="1">
      <c r="A72" s="386"/>
      <c r="B72" s="386"/>
      <c r="C72" s="386"/>
      <c r="D72" s="386"/>
      <c r="E72" s="386"/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6"/>
      <c r="T72" s="386"/>
      <c r="U72" s="386"/>
      <c r="V72" s="386"/>
      <c r="W72" s="386"/>
      <c r="X72" s="386"/>
      <c r="Y72" s="386"/>
      <c r="Z72" s="386"/>
      <c r="AA72" s="386"/>
      <c r="AB72" s="386"/>
      <c r="AC72" s="386"/>
      <c r="AD72" s="386"/>
    </row>
    <row r="73" ht="23.25" customHeight="1">
      <c r="A73" s="386"/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6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</row>
    <row r="74" ht="23.25" customHeight="1">
      <c r="A74" s="386"/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6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</row>
    <row r="75" ht="23.25" customHeight="1">
      <c r="A75" s="386"/>
      <c r="B75" s="386"/>
      <c r="C75" s="386"/>
      <c r="D75" s="386"/>
      <c r="E75" s="386"/>
      <c r="F75" s="386"/>
      <c r="G75" s="386"/>
      <c r="H75" s="386"/>
      <c r="I75" s="386"/>
      <c r="J75" s="386"/>
      <c r="K75" s="386"/>
      <c r="L75" s="386"/>
      <c r="M75" s="386"/>
      <c r="N75" s="386"/>
      <c r="O75" s="386"/>
      <c r="P75" s="386"/>
      <c r="Q75" s="386"/>
      <c r="R75" s="386"/>
      <c r="S75" s="386"/>
      <c r="T75" s="386"/>
      <c r="U75" s="386"/>
      <c r="V75" s="386"/>
      <c r="W75" s="386"/>
      <c r="X75" s="386"/>
      <c r="Y75" s="386"/>
      <c r="Z75" s="386"/>
      <c r="AA75" s="386"/>
      <c r="AB75" s="386"/>
      <c r="AC75" s="386"/>
      <c r="AD75" s="386"/>
    </row>
    <row r="76" ht="23.25" customHeight="1">
      <c r="A76" s="386"/>
      <c r="B76" s="386"/>
      <c r="C76" s="386"/>
      <c r="D76" s="386"/>
      <c r="E76" s="386"/>
      <c r="F76" s="386"/>
      <c r="G76" s="386"/>
      <c r="H76" s="386"/>
      <c r="I76" s="386"/>
      <c r="J76" s="386"/>
      <c r="K76" s="386"/>
      <c r="L76" s="386"/>
      <c r="M76" s="386"/>
      <c r="N76" s="386"/>
      <c r="O76" s="386"/>
      <c r="P76" s="386"/>
      <c r="Q76" s="386"/>
      <c r="R76" s="386"/>
      <c r="S76" s="386"/>
      <c r="T76" s="386"/>
      <c r="U76" s="386"/>
      <c r="V76" s="386"/>
      <c r="W76" s="386"/>
      <c r="X76" s="386"/>
      <c r="Y76" s="386"/>
      <c r="Z76" s="386"/>
      <c r="AA76" s="386"/>
      <c r="AB76" s="386"/>
      <c r="AC76" s="386"/>
      <c r="AD76" s="386"/>
    </row>
    <row r="77" ht="23.25" customHeight="1">
      <c r="A77" s="386"/>
      <c r="B77" s="386"/>
      <c r="C77" s="386"/>
      <c r="D77" s="386"/>
      <c r="E77" s="386"/>
      <c r="F77" s="386"/>
      <c r="G77" s="386"/>
      <c r="H77" s="386"/>
      <c r="I77" s="386"/>
      <c r="J77" s="386"/>
      <c r="K77" s="386"/>
      <c r="L77" s="386"/>
      <c r="M77" s="386"/>
      <c r="N77" s="386"/>
      <c r="O77" s="386"/>
      <c r="P77" s="386"/>
      <c r="Q77" s="386"/>
      <c r="R77" s="386"/>
      <c r="S77" s="386"/>
      <c r="T77" s="386"/>
      <c r="U77" s="386"/>
      <c r="V77" s="386"/>
      <c r="W77" s="386"/>
      <c r="X77" s="386"/>
      <c r="Y77" s="386"/>
      <c r="Z77" s="386"/>
      <c r="AA77" s="386"/>
      <c r="AB77" s="386"/>
      <c r="AC77" s="386"/>
      <c r="AD77" s="386"/>
    </row>
    <row r="78" ht="23.25" customHeight="1">
      <c r="A78" s="386"/>
      <c r="B78" s="386"/>
      <c r="C78" s="386"/>
      <c r="D78" s="386"/>
      <c r="E78" s="386"/>
      <c r="F78" s="386"/>
      <c r="G78" s="386"/>
      <c r="H78" s="386"/>
      <c r="I78" s="386"/>
      <c r="J78" s="386"/>
      <c r="K78" s="386"/>
      <c r="L78" s="386"/>
      <c r="M78" s="386"/>
      <c r="N78" s="386"/>
      <c r="O78" s="386"/>
      <c r="P78" s="386"/>
      <c r="Q78" s="386"/>
      <c r="R78" s="386"/>
      <c r="S78" s="386"/>
      <c r="T78" s="386"/>
      <c r="U78" s="386"/>
      <c r="V78" s="386"/>
      <c r="W78" s="386"/>
      <c r="X78" s="386"/>
      <c r="Y78" s="386"/>
      <c r="Z78" s="386"/>
      <c r="AA78" s="386"/>
      <c r="AB78" s="386"/>
      <c r="AC78" s="386"/>
      <c r="AD78" s="386"/>
    </row>
    <row r="79" ht="23.25" customHeight="1">
      <c r="A79" s="386"/>
      <c r="B79" s="386"/>
      <c r="C79" s="386"/>
      <c r="D79" s="386"/>
      <c r="E79" s="386"/>
      <c r="F79" s="386"/>
      <c r="G79" s="386"/>
      <c r="H79" s="386"/>
      <c r="I79" s="386"/>
      <c r="J79" s="386"/>
      <c r="K79" s="386"/>
      <c r="L79" s="386"/>
      <c r="M79" s="386"/>
      <c r="N79" s="386"/>
      <c r="O79" s="386"/>
      <c r="P79" s="386"/>
      <c r="Q79" s="386"/>
      <c r="R79" s="386"/>
      <c r="S79" s="386"/>
      <c r="T79" s="386"/>
      <c r="U79" s="386"/>
      <c r="V79" s="386"/>
      <c r="W79" s="386"/>
      <c r="X79" s="386"/>
      <c r="Y79" s="386"/>
      <c r="Z79" s="386"/>
      <c r="AA79" s="386"/>
      <c r="AB79" s="386"/>
      <c r="AC79" s="386"/>
      <c r="AD79" s="386"/>
    </row>
    <row r="80" ht="23.25" customHeight="1">
      <c r="A80" s="386"/>
      <c r="B80" s="386"/>
      <c r="C80" s="386"/>
      <c r="D80" s="386"/>
      <c r="E80" s="386"/>
      <c r="F80" s="386"/>
      <c r="G80" s="386"/>
      <c r="H80" s="386"/>
      <c r="I80" s="386"/>
      <c r="J80" s="386"/>
      <c r="K80" s="386"/>
      <c r="L80" s="386"/>
      <c r="M80" s="386"/>
      <c r="N80" s="386"/>
      <c r="O80" s="386"/>
      <c r="P80" s="386"/>
      <c r="Q80" s="386"/>
      <c r="R80" s="386"/>
      <c r="S80" s="386"/>
      <c r="T80" s="386"/>
      <c r="U80" s="386"/>
      <c r="V80" s="386"/>
      <c r="W80" s="386"/>
      <c r="X80" s="386"/>
      <c r="Y80" s="386"/>
      <c r="Z80" s="386"/>
      <c r="AA80" s="386"/>
      <c r="AB80" s="386"/>
      <c r="AC80" s="386"/>
      <c r="AD80" s="386"/>
    </row>
    <row r="81" ht="23.25" customHeight="1">
      <c r="A81" s="386"/>
      <c r="B81" s="386"/>
      <c r="C81" s="386"/>
      <c r="D81" s="386"/>
      <c r="E81" s="386"/>
      <c r="F81" s="386"/>
      <c r="G81" s="386"/>
      <c r="H81" s="386"/>
      <c r="I81" s="386"/>
      <c r="J81" s="386"/>
      <c r="K81" s="386"/>
      <c r="L81" s="386"/>
      <c r="M81" s="386"/>
      <c r="N81" s="386"/>
      <c r="O81" s="386"/>
      <c r="P81" s="386"/>
      <c r="Q81" s="386"/>
      <c r="R81" s="386"/>
      <c r="S81" s="386"/>
      <c r="T81" s="386"/>
      <c r="U81" s="386"/>
      <c r="V81" s="386"/>
      <c r="W81" s="386"/>
      <c r="X81" s="386"/>
      <c r="Y81" s="386"/>
      <c r="Z81" s="386"/>
      <c r="AA81" s="386"/>
      <c r="AB81" s="386"/>
      <c r="AC81" s="386"/>
      <c r="AD81" s="386"/>
    </row>
    <row r="82" ht="23.25" customHeight="1">
      <c r="A82" s="386"/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86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</row>
    <row r="83" ht="23.25" customHeight="1">
      <c r="A83" s="386"/>
      <c r="B83" s="386"/>
      <c r="C83" s="386"/>
      <c r="D83" s="386"/>
      <c r="E83" s="386"/>
      <c r="F83" s="386"/>
      <c r="G83" s="386"/>
      <c r="H83" s="386"/>
      <c r="I83" s="386"/>
      <c r="J83" s="386"/>
      <c r="K83" s="386"/>
      <c r="L83" s="386"/>
      <c r="M83" s="386"/>
      <c r="N83" s="386"/>
      <c r="O83" s="386"/>
      <c r="P83" s="386"/>
      <c r="Q83" s="386"/>
      <c r="R83" s="386"/>
      <c r="S83" s="386"/>
      <c r="T83" s="386"/>
      <c r="U83" s="386"/>
      <c r="V83" s="386"/>
      <c r="W83" s="386"/>
      <c r="X83" s="386"/>
      <c r="Y83" s="386"/>
      <c r="Z83" s="386"/>
      <c r="AA83" s="386"/>
      <c r="AB83" s="386"/>
      <c r="AC83" s="386"/>
      <c r="AD83" s="386"/>
    </row>
    <row r="84" ht="23.25" customHeight="1">
      <c r="A84" s="386"/>
      <c r="B84" s="386"/>
      <c r="C84" s="386"/>
      <c r="D84" s="386"/>
      <c r="E84" s="386"/>
      <c r="F84" s="386"/>
      <c r="G84" s="386"/>
      <c r="H84" s="386"/>
      <c r="I84" s="386"/>
      <c r="J84" s="386"/>
      <c r="K84" s="386"/>
      <c r="L84" s="386"/>
      <c r="M84" s="386"/>
      <c r="N84" s="386"/>
      <c r="O84" s="386"/>
      <c r="P84" s="386"/>
      <c r="Q84" s="386"/>
      <c r="R84" s="386"/>
      <c r="S84" s="386"/>
      <c r="T84" s="386"/>
      <c r="U84" s="386"/>
      <c r="V84" s="386"/>
      <c r="W84" s="386"/>
      <c r="X84" s="386"/>
      <c r="Y84" s="386"/>
      <c r="Z84" s="386"/>
      <c r="AA84" s="386"/>
      <c r="AB84" s="386"/>
      <c r="AC84" s="386"/>
      <c r="AD84" s="386"/>
    </row>
    <row r="85" ht="23.25" customHeight="1">
      <c r="A85" s="386"/>
      <c r="B85" s="386"/>
      <c r="C85" s="386"/>
      <c r="D85" s="386"/>
      <c r="E85" s="386"/>
      <c r="F85" s="386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86"/>
      <c r="R85" s="386"/>
      <c r="S85" s="386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86"/>
    </row>
    <row r="86" ht="23.25" customHeight="1">
      <c r="A86" s="386"/>
      <c r="B86" s="386"/>
      <c r="C86" s="386"/>
      <c r="D86" s="386"/>
      <c r="E86" s="386"/>
      <c r="F86" s="386"/>
      <c r="G86" s="386"/>
      <c r="H86" s="386"/>
      <c r="I86" s="386"/>
      <c r="J86" s="386"/>
      <c r="K86" s="386"/>
      <c r="L86" s="386"/>
      <c r="M86" s="386"/>
      <c r="N86" s="386"/>
      <c r="O86" s="386"/>
      <c r="P86" s="386"/>
      <c r="Q86" s="386"/>
      <c r="R86" s="386"/>
      <c r="S86" s="386"/>
      <c r="T86" s="386"/>
      <c r="U86" s="386"/>
      <c r="V86" s="386"/>
      <c r="W86" s="386"/>
      <c r="X86" s="386"/>
      <c r="Y86" s="386"/>
      <c r="Z86" s="386"/>
      <c r="AA86" s="386"/>
      <c r="AB86" s="386"/>
      <c r="AC86" s="386"/>
      <c r="AD86" s="386"/>
    </row>
    <row r="87" ht="23.25" customHeight="1">
      <c r="A87" s="386"/>
      <c r="B87" s="386"/>
      <c r="C87" s="386"/>
      <c r="D87" s="386"/>
      <c r="E87" s="386"/>
      <c r="F87" s="386"/>
      <c r="G87" s="386"/>
      <c r="H87" s="386"/>
      <c r="I87" s="386"/>
      <c r="J87" s="386"/>
      <c r="K87" s="386"/>
      <c r="L87" s="386"/>
      <c r="M87" s="386"/>
      <c r="N87" s="386"/>
      <c r="O87" s="386"/>
      <c r="P87" s="386"/>
      <c r="Q87" s="386"/>
      <c r="R87" s="386"/>
      <c r="S87" s="386"/>
      <c r="T87" s="386"/>
      <c r="U87" s="386"/>
      <c r="V87" s="386"/>
      <c r="W87" s="386"/>
      <c r="X87" s="386"/>
      <c r="Y87" s="386"/>
      <c r="Z87" s="386"/>
      <c r="AA87" s="386"/>
      <c r="AB87" s="386"/>
      <c r="AC87" s="386"/>
      <c r="AD87" s="386"/>
    </row>
    <row r="88" ht="23.25" customHeight="1">
      <c r="A88" s="386"/>
      <c r="B88" s="386"/>
      <c r="C88" s="386"/>
      <c r="D88" s="386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6"/>
      <c r="T88" s="386"/>
      <c r="U88" s="386"/>
      <c r="V88" s="386"/>
      <c r="W88" s="386"/>
      <c r="X88" s="386"/>
      <c r="Y88" s="386"/>
      <c r="Z88" s="386"/>
      <c r="AA88" s="386"/>
      <c r="AB88" s="386"/>
      <c r="AC88" s="386"/>
      <c r="AD88" s="386"/>
    </row>
    <row r="89" ht="23.25" customHeight="1">
      <c r="A89" s="386"/>
      <c r="B89" s="386"/>
      <c r="C89" s="386"/>
      <c r="D89" s="386"/>
      <c r="E89" s="386"/>
      <c r="F89" s="386"/>
      <c r="G89" s="386"/>
      <c r="H89" s="386"/>
      <c r="I89" s="386"/>
      <c r="J89" s="386"/>
      <c r="K89" s="386"/>
      <c r="L89" s="386"/>
      <c r="M89" s="386"/>
      <c r="N89" s="386"/>
      <c r="O89" s="386"/>
      <c r="P89" s="386"/>
      <c r="Q89" s="386"/>
      <c r="R89" s="386"/>
      <c r="S89" s="386"/>
      <c r="T89" s="386"/>
      <c r="U89" s="386"/>
      <c r="V89" s="386"/>
      <c r="W89" s="386"/>
      <c r="X89" s="386"/>
      <c r="Y89" s="386"/>
      <c r="Z89" s="386"/>
      <c r="AA89" s="386"/>
      <c r="AB89" s="386"/>
      <c r="AC89" s="386"/>
      <c r="AD89" s="386"/>
    </row>
    <row r="90" ht="23.25" customHeight="1">
      <c r="A90" s="386"/>
      <c r="B90" s="386"/>
      <c r="C90" s="386"/>
      <c r="D90" s="386"/>
      <c r="E90" s="386"/>
      <c r="F90" s="386"/>
      <c r="G90" s="386"/>
      <c r="H90" s="386"/>
      <c r="I90" s="386"/>
      <c r="J90" s="386"/>
      <c r="K90" s="386"/>
      <c r="L90" s="386"/>
      <c r="M90" s="386"/>
      <c r="N90" s="386"/>
      <c r="O90" s="386"/>
      <c r="P90" s="386"/>
      <c r="Q90" s="386"/>
      <c r="R90" s="386"/>
      <c r="S90" s="386"/>
      <c r="T90" s="386"/>
      <c r="U90" s="386"/>
      <c r="V90" s="386"/>
      <c r="W90" s="386"/>
      <c r="X90" s="386"/>
      <c r="Y90" s="386"/>
      <c r="Z90" s="386"/>
      <c r="AA90" s="386"/>
      <c r="AB90" s="386"/>
      <c r="AC90" s="386"/>
      <c r="AD90" s="386"/>
    </row>
    <row r="91" ht="23.25" customHeight="1">
      <c r="A91" s="386"/>
      <c r="B91" s="386"/>
      <c r="C91" s="386"/>
      <c r="D91" s="386"/>
      <c r="E91" s="386"/>
      <c r="F91" s="386"/>
      <c r="G91" s="386"/>
      <c r="H91" s="386"/>
      <c r="I91" s="386"/>
      <c r="J91" s="386"/>
      <c r="K91" s="386"/>
      <c r="L91" s="386"/>
      <c r="M91" s="386"/>
      <c r="N91" s="386"/>
      <c r="O91" s="386"/>
      <c r="P91" s="386"/>
      <c r="Q91" s="386"/>
      <c r="R91" s="386"/>
      <c r="S91" s="386"/>
      <c r="T91" s="386"/>
      <c r="U91" s="386"/>
      <c r="V91" s="386"/>
      <c r="W91" s="386"/>
      <c r="X91" s="386"/>
      <c r="Y91" s="386"/>
      <c r="Z91" s="386"/>
      <c r="AA91" s="386"/>
      <c r="AB91" s="386"/>
      <c r="AC91" s="386"/>
      <c r="AD91" s="386"/>
    </row>
    <row r="92" ht="23.25" customHeight="1">
      <c r="A92" s="386"/>
      <c r="B92" s="386"/>
      <c r="C92" s="386"/>
      <c r="D92" s="386"/>
      <c r="E92" s="386"/>
      <c r="F92" s="386"/>
      <c r="G92" s="386"/>
      <c r="H92" s="386"/>
      <c r="I92" s="386"/>
      <c r="J92" s="386"/>
      <c r="K92" s="386"/>
      <c r="L92" s="386"/>
      <c r="M92" s="386"/>
      <c r="N92" s="386"/>
      <c r="O92" s="386"/>
      <c r="P92" s="386"/>
      <c r="Q92" s="386"/>
      <c r="R92" s="386"/>
      <c r="S92" s="386"/>
      <c r="T92" s="386"/>
      <c r="U92" s="386"/>
      <c r="V92" s="386"/>
      <c r="W92" s="386"/>
      <c r="X92" s="386"/>
      <c r="Y92" s="386"/>
      <c r="Z92" s="386"/>
      <c r="AA92" s="386"/>
      <c r="AB92" s="386"/>
      <c r="AC92" s="386"/>
      <c r="AD92" s="386"/>
    </row>
    <row r="93" ht="23.25" customHeight="1">
      <c r="A93" s="386"/>
      <c r="B93" s="386"/>
      <c r="C93" s="386"/>
      <c r="D93" s="386"/>
      <c r="E93" s="386"/>
      <c r="F93" s="386"/>
      <c r="G93" s="386"/>
      <c r="H93" s="386"/>
      <c r="I93" s="386"/>
      <c r="J93" s="386"/>
      <c r="K93" s="386"/>
      <c r="L93" s="386"/>
      <c r="M93" s="386"/>
      <c r="N93" s="386"/>
      <c r="O93" s="386"/>
      <c r="P93" s="386"/>
      <c r="Q93" s="386"/>
      <c r="R93" s="386"/>
      <c r="S93" s="386"/>
      <c r="T93" s="386"/>
      <c r="U93" s="386"/>
      <c r="V93" s="386"/>
      <c r="W93" s="386"/>
      <c r="X93" s="386"/>
      <c r="Y93" s="386"/>
      <c r="Z93" s="386"/>
      <c r="AA93" s="386"/>
      <c r="AB93" s="386"/>
      <c r="AC93" s="386"/>
      <c r="AD93" s="386"/>
    </row>
    <row r="94" ht="23.25" customHeight="1">
      <c r="A94" s="386"/>
      <c r="B94" s="386"/>
      <c r="C94" s="386"/>
      <c r="D94" s="386"/>
      <c r="E94" s="386"/>
      <c r="F94" s="386"/>
      <c r="G94" s="386"/>
      <c r="H94" s="386"/>
      <c r="I94" s="386"/>
      <c r="J94" s="386"/>
      <c r="K94" s="386"/>
      <c r="L94" s="386"/>
      <c r="M94" s="386"/>
      <c r="N94" s="386"/>
      <c r="O94" s="386"/>
      <c r="P94" s="386"/>
      <c r="Q94" s="386"/>
      <c r="R94" s="386"/>
      <c r="S94" s="386"/>
      <c r="T94" s="386"/>
      <c r="U94" s="386"/>
      <c r="V94" s="386"/>
      <c r="W94" s="386"/>
      <c r="X94" s="386"/>
      <c r="Y94" s="386"/>
      <c r="Z94" s="386"/>
      <c r="AA94" s="386"/>
      <c r="AB94" s="386"/>
      <c r="AC94" s="386"/>
      <c r="AD94" s="386"/>
    </row>
    <row r="95" ht="23.25" customHeight="1">
      <c r="A95" s="386"/>
      <c r="B95" s="386"/>
      <c r="C95" s="386"/>
      <c r="D95" s="386"/>
      <c r="E95" s="386"/>
      <c r="F95" s="386"/>
      <c r="G95" s="386"/>
      <c r="H95" s="386"/>
      <c r="I95" s="386"/>
      <c r="J95" s="386"/>
      <c r="K95" s="386"/>
      <c r="L95" s="386"/>
      <c r="M95" s="386"/>
      <c r="N95" s="386"/>
      <c r="O95" s="386"/>
      <c r="P95" s="386"/>
      <c r="Q95" s="386"/>
      <c r="R95" s="386"/>
      <c r="S95" s="386"/>
      <c r="T95" s="386"/>
      <c r="U95" s="386"/>
      <c r="V95" s="386"/>
      <c r="W95" s="386"/>
      <c r="X95" s="386"/>
      <c r="Y95" s="386"/>
      <c r="Z95" s="386"/>
      <c r="AA95" s="386"/>
      <c r="AB95" s="386"/>
      <c r="AC95" s="386"/>
      <c r="AD95" s="386"/>
    </row>
    <row r="96" ht="23.25" customHeight="1">
      <c r="A96" s="386"/>
      <c r="B96" s="386"/>
      <c r="C96" s="386"/>
      <c r="D96" s="386"/>
      <c r="E96" s="386"/>
      <c r="F96" s="386"/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6"/>
      <c r="T96" s="386"/>
      <c r="U96" s="386"/>
      <c r="V96" s="386"/>
      <c r="W96" s="386"/>
      <c r="X96" s="386"/>
      <c r="Y96" s="386"/>
      <c r="Z96" s="386"/>
      <c r="AA96" s="386"/>
      <c r="AB96" s="386"/>
      <c r="AC96" s="386"/>
      <c r="AD96" s="386"/>
    </row>
    <row r="97" ht="23.25" customHeight="1">
      <c r="A97" s="386"/>
      <c r="B97" s="386"/>
      <c r="C97" s="386"/>
      <c r="D97" s="386"/>
      <c r="E97" s="386"/>
      <c r="F97" s="386"/>
      <c r="G97" s="386"/>
      <c r="H97" s="386"/>
      <c r="I97" s="386"/>
      <c r="J97" s="386"/>
      <c r="K97" s="386"/>
      <c r="L97" s="386"/>
      <c r="M97" s="386"/>
      <c r="N97" s="386"/>
      <c r="O97" s="386"/>
      <c r="P97" s="386"/>
      <c r="Q97" s="386"/>
      <c r="R97" s="386"/>
      <c r="S97" s="386"/>
      <c r="T97" s="386"/>
      <c r="U97" s="386"/>
      <c r="V97" s="386"/>
      <c r="W97" s="386"/>
      <c r="X97" s="386"/>
      <c r="Y97" s="386"/>
      <c r="Z97" s="386"/>
      <c r="AA97" s="386"/>
      <c r="AB97" s="386"/>
      <c r="AC97" s="386"/>
      <c r="AD97" s="386"/>
    </row>
    <row r="98" ht="23.25" customHeight="1">
      <c r="A98" s="386"/>
      <c r="B98" s="386"/>
      <c r="C98" s="386"/>
      <c r="D98" s="386"/>
      <c r="E98" s="386"/>
      <c r="F98" s="386"/>
      <c r="G98" s="386"/>
      <c r="H98" s="386"/>
      <c r="I98" s="386"/>
      <c r="J98" s="386"/>
      <c r="K98" s="386"/>
      <c r="L98" s="386"/>
      <c r="M98" s="386"/>
      <c r="N98" s="386"/>
      <c r="O98" s="386"/>
      <c r="P98" s="386"/>
      <c r="Q98" s="386"/>
      <c r="R98" s="386"/>
      <c r="S98" s="386"/>
      <c r="T98" s="386"/>
      <c r="U98" s="386"/>
      <c r="V98" s="386"/>
      <c r="W98" s="386"/>
      <c r="X98" s="386"/>
      <c r="Y98" s="386"/>
      <c r="Z98" s="386"/>
      <c r="AA98" s="386"/>
      <c r="AB98" s="386"/>
      <c r="AC98" s="386"/>
      <c r="AD98" s="386"/>
    </row>
    <row r="99" ht="23.25" customHeight="1">
      <c r="A99" s="386"/>
      <c r="B99" s="386"/>
      <c r="C99" s="386"/>
      <c r="D99" s="386"/>
      <c r="E99" s="386"/>
      <c r="F99" s="386"/>
      <c r="G99" s="386"/>
      <c r="H99" s="386"/>
      <c r="I99" s="386"/>
      <c r="J99" s="386"/>
      <c r="K99" s="386"/>
      <c r="L99" s="386"/>
      <c r="M99" s="386"/>
      <c r="N99" s="386"/>
      <c r="O99" s="386"/>
      <c r="P99" s="386"/>
      <c r="Q99" s="386"/>
      <c r="R99" s="386"/>
      <c r="S99" s="386"/>
      <c r="T99" s="386"/>
      <c r="U99" s="386"/>
      <c r="V99" s="386"/>
      <c r="W99" s="386"/>
      <c r="X99" s="386"/>
      <c r="Y99" s="386"/>
      <c r="Z99" s="386"/>
      <c r="AA99" s="386"/>
      <c r="AB99" s="386"/>
      <c r="AC99" s="386"/>
      <c r="AD99" s="386"/>
    </row>
    <row r="100" ht="23.25" customHeight="1">
      <c r="A100" s="386"/>
      <c r="B100" s="386"/>
      <c r="C100" s="386"/>
      <c r="D100" s="386"/>
      <c r="E100" s="386"/>
      <c r="F100" s="386"/>
      <c r="G100" s="386"/>
      <c r="H100" s="386"/>
      <c r="I100" s="386"/>
      <c r="J100" s="386"/>
      <c r="K100" s="386"/>
      <c r="L100" s="386"/>
      <c r="M100" s="386"/>
      <c r="N100" s="386"/>
      <c r="O100" s="386"/>
      <c r="P100" s="386"/>
      <c r="Q100" s="386"/>
      <c r="R100" s="386"/>
      <c r="S100" s="386"/>
      <c r="T100" s="386"/>
      <c r="U100" s="386"/>
      <c r="V100" s="386"/>
      <c r="W100" s="386"/>
      <c r="X100" s="386"/>
      <c r="Y100" s="386"/>
      <c r="Z100" s="386"/>
      <c r="AA100" s="386"/>
      <c r="AB100" s="386"/>
      <c r="AC100" s="386"/>
      <c r="AD100" s="386"/>
    </row>
    <row r="101" ht="23.25" customHeight="1">
      <c r="A101" s="386"/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386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</row>
    <row r="102" ht="23.25" customHeight="1">
      <c r="A102" s="386"/>
      <c r="B102" s="386"/>
      <c r="C102" s="386"/>
      <c r="D102" s="386"/>
      <c r="E102" s="386"/>
      <c r="F102" s="386"/>
      <c r="G102" s="386"/>
      <c r="H102" s="386"/>
      <c r="I102" s="386"/>
      <c r="J102" s="386"/>
      <c r="K102" s="386"/>
      <c r="L102" s="386"/>
      <c r="M102" s="386"/>
      <c r="N102" s="386"/>
      <c r="O102" s="386"/>
      <c r="P102" s="386"/>
      <c r="Q102" s="386"/>
      <c r="R102" s="386"/>
      <c r="S102" s="386"/>
      <c r="T102" s="386"/>
      <c r="U102" s="386"/>
      <c r="V102" s="386"/>
      <c r="W102" s="386"/>
      <c r="X102" s="386"/>
      <c r="Y102" s="386"/>
      <c r="Z102" s="386"/>
      <c r="AA102" s="386"/>
      <c r="AB102" s="386"/>
      <c r="AC102" s="386"/>
      <c r="AD102" s="386"/>
    </row>
    <row r="103" ht="23.25" customHeight="1">
      <c r="A103" s="386"/>
      <c r="B103" s="386"/>
      <c r="C103" s="386"/>
      <c r="D103" s="386"/>
      <c r="E103" s="386"/>
      <c r="F103" s="386"/>
      <c r="G103" s="386"/>
      <c r="H103" s="386"/>
      <c r="I103" s="386"/>
      <c r="J103" s="386"/>
      <c r="K103" s="386"/>
      <c r="L103" s="386"/>
      <c r="M103" s="386"/>
      <c r="N103" s="386"/>
      <c r="O103" s="386"/>
      <c r="P103" s="386"/>
      <c r="Q103" s="386"/>
      <c r="R103" s="386"/>
      <c r="S103" s="386"/>
      <c r="T103" s="386"/>
      <c r="U103" s="386"/>
      <c r="V103" s="386"/>
      <c r="W103" s="386"/>
      <c r="X103" s="386"/>
      <c r="Y103" s="386"/>
      <c r="Z103" s="386"/>
      <c r="AA103" s="386"/>
      <c r="AB103" s="386"/>
      <c r="AC103" s="386"/>
      <c r="AD103" s="386"/>
    </row>
    <row r="104" ht="23.25" customHeight="1">
      <c r="A104" s="386"/>
      <c r="B104" s="386"/>
      <c r="C104" s="386"/>
      <c r="D104" s="386"/>
      <c r="E104" s="386"/>
      <c r="F104" s="386"/>
      <c r="G104" s="386"/>
      <c r="H104" s="386"/>
      <c r="I104" s="386"/>
      <c r="J104" s="386"/>
      <c r="K104" s="386"/>
      <c r="L104" s="386"/>
      <c r="M104" s="386"/>
      <c r="N104" s="386"/>
      <c r="O104" s="386"/>
      <c r="P104" s="386"/>
      <c r="Q104" s="386"/>
      <c r="R104" s="386"/>
      <c r="S104" s="386"/>
      <c r="T104" s="386"/>
      <c r="U104" s="386"/>
      <c r="V104" s="386"/>
      <c r="W104" s="386"/>
      <c r="X104" s="386"/>
      <c r="Y104" s="386"/>
      <c r="Z104" s="386"/>
      <c r="AA104" s="386"/>
      <c r="AB104" s="386"/>
      <c r="AC104" s="386"/>
      <c r="AD104" s="386"/>
    </row>
    <row r="105" ht="23.25" customHeight="1">
      <c r="A105" s="386"/>
      <c r="B105" s="386"/>
      <c r="C105" s="386"/>
      <c r="D105" s="386"/>
      <c r="E105" s="386"/>
      <c r="F105" s="386"/>
      <c r="G105" s="386"/>
      <c r="H105" s="386"/>
      <c r="I105" s="386"/>
      <c r="J105" s="386"/>
      <c r="K105" s="386"/>
      <c r="L105" s="386"/>
      <c r="M105" s="386"/>
      <c r="N105" s="386"/>
      <c r="O105" s="386"/>
      <c r="P105" s="386"/>
      <c r="Q105" s="386"/>
      <c r="R105" s="386"/>
      <c r="S105" s="386"/>
      <c r="T105" s="386"/>
      <c r="U105" s="386"/>
      <c r="V105" s="386"/>
      <c r="W105" s="386"/>
      <c r="X105" s="386"/>
      <c r="Y105" s="386"/>
      <c r="Z105" s="386"/>
      <c r="AA105" s="386"/>
      <c r="AB105" s="386"/>
      <c r="AC105" s="386"/>
      <c r="AD105" s="386"/>
    </row>
    <row r="106" ht="23.25" customHeight="1">
      <c r="A106" s="386"/>
      <c r="B106" s="386"/>
      <c r="C106" s="386"/>
      <c r="D106" s="386"/>
      <c r="E106" s="386"/>
      <c r="F106" s="386"/>
      <c r="G106" s="386"/>
      <c r="H106" s="386"/>
      <c r="I106" s="386"/>
      <c r="J106" s="386"/>
      <c r="K106" s="386"/>
      <c r="L106" s="386"/>
      <c r="M106" s="386"/>
      <c r="N106" s="386"/>
      <c r="O106" s="386"/>
      <c r="P106" s="386"/>
      <c r="Q106" s="386"/>
      <c r="R106" s="386"/>
      <c r="S106" s="386"/>
      <c r="T106" s="386"/>
      <c r="U106" s="386"/>
      <c r="V106" s="386"/>
      <c r="W106" s="386"/>
      <c r="X106" s="386"/>
      <c r="Y106" s="386"/>
      <c r="Z106" s="386"/>
      <c r="AA106" s="386"/>
      <c r="AB106" s="386"/>
      <c r="AC106" s="386"/>
      <c r="AD106" s="386"/>
    </row>
    <row r="107" ht="23.25" customHeight="1">
      <c r="A107" s="386"/>
      <c r="B107" s="386"/>
      <c r="C107" s="386"/>
      <c r="D107" s="386"/>
      <c r="E107" s="386"/>
      <c r="F107" s="386"/>
      <c r="G107" s="386"/>
      <c r="H107" s="386"/>
      <c r="I107" s="386"/>
      <c r="J107" s="386"/>
      <c r="K107" s="386"/>
      <c r="L107" s="386"/>
      <c r="M107" s="386"/>
      <c r="N107" s="386"/>
      <c r="O107" s="386"/>
      <c r="P107" s="386"/>
      <c r="Q107" s="386"/>
      <c r="R107" s="386"/>
      <c r="S107" s="386"/>
      <c r="T107" s="386"/>
      <c r="U107" s="386"/>
      <c r="V107" s="386"/>
      <c r="W107" s="386"/>
      <c r="X107" s="386"/>
      <c r="Y107" s="386"/>
      <c r="Z107" s="386"/>
      <c r="AA107" s="386"/>
      <c r="AB107" s="386"/>
      <c r="AC107" s="386"/>
      <c r="AD107" s="386"/>
    </row>
    <row r="108" ht="23.25" customHeight="1">
      <c r="A108" s="386"/>
      <c r="B108" s="386"/>
      <c r="C108" s="386"/>
      <c r="D108" s="386"/>
      <c r="E108" s="386"/>
      <c r="F108" s="386"/>
      <c r="G108" s="386"/>
      <c r="H108" s="386"/>
      <c r="I108" s="386"/>
      <c r="J108" s="386"/>
      <c r="K108" s="386"/>
      <c r="L108" s="386"/>
      <c r="M108" s="386"/>
      <c r="N108" s="386"/>
      <c r="O108" s="386"/>
      <c r="P108" s="386"/>
      <c r="Q108" s="386"/>
      <c r="R108" s="386"/>
      <c r="S108" s="386"/>
      <c r="T108" s="386"/>
      <c r="U108" s="386"/>
      <c r="V108" s="386"/>
      <c r="W108" s="386"/>
      <c r="X108" s="386"/>
      <c r="Y108" s="386"/>
      <c r="Z108" s="386"/>
      <c r="AA108" s="386"/>
      <c r="AB108" s="386"/>
      <c r="AC108" s="386"/>
      <c r="AD108" s="386"/>
    </row>
    <row r="109" ht="23.25" customHeight="1">
      <c r="A109" s="386"/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386"/>
      <c r="P109" s="386"/>
      <c r="Q109" s="386"/>
      <c r="R109" s="386"/>
      <c r="S109" s="386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</row>
    <row r="110" ht="23.25" customHeight="1">
      <c r="A110" s="386"/>
      <c r="B110" s="386"/>
      <c r="C110" s="386"/>
      <c r="D110" s="386"/>
      <c r="E110" s="386"/>
      <c r="F110" s="386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86"/>
      <c r="R110" s="386"/>
      <c r="S110" s="386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86"/>
    </row>
    <row r="111" ht="23.25" customHeight="1">
      <c r="A111" s="386"/>
      <c r="B111" s="386"/>
      <c r="C111" s="386"/>
      <c r="D111" s="386"/>
      <c r="E111" s="386"/>
      <c r="F111" s="386"/>
      <c r="G111" s="386"/>
      <c r="H111" s="386"/>
      <c r="I111" s="386"/>
      <c r="J111" s="386"/>
      <c r="K111" s="386"/>
      <c r="L111" s="386"/>
      <c r="M111" s="386"/>
      <c r="N111" s="386"/>
      <c r="O111" s="386"/>
      <c r="P111" s="386"/>
      <c r="Q111" s="386"/>
      <c r="R111" s="386"/>
      <c r="S111" s="386"/>
      <c r="T111" s="386"/>
      <c r="U111" s="386"/>
      <c r="V111" s="386"/>
      <c r="W111" s="386"/>
      <c r="X111" s="386"/>
      <c r="Y111" s="386"/>
      <c r="Z111" s="386"/>
      <c r="AA111" s="386"/>
      <c r="AB111" s="386"/>
      <c r="AC111" s="386"/>
      <c r="AD111" s="386"/>
    </row>
    <row r="112" ht="23.25" customHeight="1">
      <c r="A112" s="386"/>
      <c r="B112" s="386"/>
      <c r="C112" s="386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6"/>
      <c r="T112" s="386"/>
      <c r="U112" s="386"/>
      <c r="V112" s="386"/>
      <c r="W112" s="386"/>
      <c r="X112" s="386"/>
      <c r="Y112" s="386"/>
      <c r="Z112" s="386"/>
      <c r="AA112" s="386"/>
      <c r="AB112" s="386"/>
      <c r="AC112" s="386"/>
      <c r="AD112" s="386"/>
    </row>
    <row r="113" ht="23.25" customHeight="1">
      <c r="A113" s="386"/>
      <c r="B113" s="386"/>
      <c r="C113" s="386"/>
      <c r="D113" s="386"/>
      <c r="E113" s="386"/>
      <c r="F113" s="386"/>
      <c r="G113" s="386"/>
      <c r="H113" s="386"/>
      <c r="I113" s="386"/>
      <c r="J113" s="386"/>
      <c r="K113" s="386"/>
      <c r="L113" s="386"/>
      <c r="M113" s="386"/>
      <c r="N113" s="386"/>
      <c r="O113" s="386"/>
      <c r="P113" s="386"/>
      <c r="Q113" s="386"/>
      <c r="R113" s="386"/>
      <c r="S113" s="386"/>
      <c r="T113" s="386"/>
      <c r="U113" s="386"/>
      <c r="V113" s="386"/>
      <c r="W113" s="386"/>
      <c r="X113" s="386"/>
      <c r="Y113" s="386"/>
      <c r="Z113" s="386"/>
      <c r="AA113" s="386"/>
      <c r="AB113" s="386"/>
      <c r="AC113" s="386"/>
      <c r="AD113" s="386"/>
    </row>
    <row r="114" ht="23.25" customHeight="1">
      <c r="A114" s="386"/>
      <c r="B114" s="386"/>
      <c r="C114" s="386"/>
      <c r="D114" s="386"/>
      <c r="E114" s="386"/>
      <c r="F114" s="386"/>
      <c r="G114" s="386"/>
      <c r="H114" s="386"/>
      <c r="I114" s="386"/>
      <c r="J114" s="386"/>
      <c r="K114" s="386"/>
      <c r="L114" s="386"/>
      <c r="M114" s="386"/>
      <c r="N114" s="386"/>
      <c r="O114" s="386"/>
      <c r="P114" s="386"/>
      <c r="Q114" s="386"/>
      <c r="R114" s="386"/>
      <c r="S114" s="386"/>
      <c r="T114" s="386"/>
      <c r="U114" s="386"/>
      <c r="V114" s="386"/>
      <c r="W114" s="386"/>
      <c r="X114" s="386"/>
      <c r="Y114" s="386"/>
      <c r="Z114" s="386"/>
      <c r="AA114" s="386"/>
      <c r="AB114" s="386"/>
      <c r="AC114" s="386"/>
      <c r="AD114" s="386"/>
    </row>
    <row r="115" ht="23.25" customHeight="1">
      <c r="A115" s="386"/>
      <c r="B115" s="386"/>
      <c r="C115" s="386"/>
      <c r="D115" s="386"/>
      <c r="E115" s="386"/>
      <c r="F115" s="386"/>
      <c r="G115" s="386"/>
      <c r="H115" s="386"/>
      <c r="I115" s="386"/>
      <c r="J115" s="386"/>
      <c r="K115" s="386"/>
      <c r="L115" s="386"/>
      <c r="M115" s="386"/>
      <c r="N115" s="386"/>
      <c r="O115" s="386"/>
      <c r="P115" s="386"/>
      <c r="Q115" s="386"/>
      <c r="R115" s="386"/>
      <c r="S115" s="386"/>
      <c r="T115" s="386"/>
      <c r="U115" s="386"/>
      <c r="V115" s="386"/>
      <c r="W115" s="386"/>
      <c r="X115" s="386"/>
      <c r="Y115" s="386"/>
      <c r="Z115" s="386"/>
      <c r="AA115" s="386"/>
      <c r="AB115" s="386"/>
      <c r="AC115" s="386"/>
      <c r="AD115" s="386"/>
    </row>
    <row r="116" ht="23.25" customHeight="1">
      <c r="A116" s="386"/>
      <c r="B116" s="386"/>
      <c r="C116" s="386"/>
      <c r="D116" s="386"/>
      <c r="E116" s="386"/>
      <c r="F116" s="386"/>
      <c r="G116" s="386"/>
      <c r="H116" s="386"/>
      <c r="I116" s="386"/>
      <c r="J116" s="386"/>
      <c r="K116" s="386"/>
      <c r="L116" s="386"/>
      <c r="M116" s="386"/>
      <c r="N116" s="386"/>
      <c r="O116" s="386"/>
      <c r="P116" s="386"/>
      <c r="Q116" s="386"/>
      <c r="R116" s="386"/>
      <c r="S116" s="386"/>
      <c r="T116" s="386"/>
      <c r="U116" s="386"/>
      <c r="V116" s="386"/>
      <c r="W116" s="386"/>
      <c r="X116" s="386"/>
      <c r="Y116" s="386"/>
      <c r="Z116" s="386"/>
      <c r="AA116" s="386"/>
      <c r="AB116" s="386"/>
      <c r="AC116" s="386"/>
      <c r="AD116" s="386"/>
    </row>
    <row r="117" ht="23.25" customHeight="1">
      <c r="A117" s="386"/>
      <c r="B117" s="386"/>
      <c r="C117" s="386"/>
      <c r="D117" s="386"/>
      <c r="E117" s="386"/>
      <c r="F117" s="386"/>
      <c r="G117" s="386"/>
      <c r="H117" s="386"/>
      <c r="I117" s="386"/>
      <c r="J117" s="386"/>
      <c r="K117" s="386"/>
      <c r="L117" s="386"/>
      <c r="M117" s="386"/>
      <c r="N117" s="386"/>
      <c r="O117" s="386"/>
      <c r="P117" s="386"/>
      <c r="Q117" s="386"/>
      <c r="R117" s="386"/>
      <c r="S117" s="386"/>
      <c r="T117" s="386"/>
      <c r="U117" s="386"/>
      <c r="V117" s="386"/>
      <c r="W117" s="386"/>
      <c r="X117" s="386"/>
      <c r="Y117" s="386"/>
      <c r="Z117" s="386"/>
      <c r="AA117" s="386"/>
      <c r="AB117" s="386"/>
      <c r="AC117" s="386"/>
      <c r="AD117" s="386"/>
    </row>
    <row r="118" ht="23.25" customHeight="1">
      <c r="A118" s="386"/>
      <c r="B118" s="386"/>
      <c r="C118" s="386"/>
      <c r="D118" s="386"/>
      <c r="E118" s="386"/>
      <c r="F118" s="386"/>
      <c r="G118" s="386"/>
      <c r="H118" s="386"/>
      <c r="I118" s="386"/>
      <c r="J118" s="386"/>
      <c r="K118" s="386"/>
      <c r="L118" s="386"/>
      <c r="M118" s="386"/>
      <c r="N118" s="386"/>
      <c r="O118" s="386"/>
      <c r="P118" s="386"/>
      <c r="Q118" s="386"/>
      <c r="R118" s="386"/>
      <c r="S118" s="386"/>
      <c r="T118" s="386"/>
      <c r="U118" s="386"/>
      <c r="V118" s="386"/>
      <c r="W118" s="386"/>
      <c r="X118" s="386"/>
      <c r="Y118" s="386"/>
      <c r="Z118" s="386"/>
      <c r="AA118" s="386"/>
      <c r="AB118" s="386"/>
      <c r="AC118" s="386"/>
      <c r="AD118" s="386"/>
    </row>
    <row r="119" ht="23.25" customHeight="1">
      <c r="A119" s="386"/>
      <c r="B119" s="386"/>
      <c r="C119" s="386"/>
      <c r="D119" s="386"/>
      <c r="E119" s="386"/>
      <c r="F119" s="386"/>
      <c r="G119" s="386"/>
      <c r="H119" s="386"/>
      <c r="I119" s="386"/>
      <c r="J119" s="386"/>
      <c r="K119" s="386"/>
      <c r="L119" s="386"/>
      <c r="M119" s="386"/>
      <c r="N119" s="386"/>
      <c r="O119" s="386"/>
      <c r="P119" s="386"/>
      <c r="Q119" s="386"/>
      <c r="R119" s="386"/>
      <c r="S119" s="386"/>
      <c r="T119" s="386"/>
      <c r="U119" s="386"/>
      <c r="V119" s="386"/>
      <c r="W119" s="386"/>
      <c r="X119" s="386"/>
      <c r="Y119" s="386"/>
      <c r="Z119" s="386"/>
      <c r="AA119" s="386"/>
      <c r="AB119" s="386"/>
      <c r="AC119" s="386"/>
      <c r="AD119" s="386"/>
    </row>
    <row r="120" ht="23.25" customHeight="1">
      <c r="A120" s="386"/>
      <c r="B120" s="386"/>
      <c r="C120" s="386"/>
      <c r="D120" s="386"/>
      <c r="E120" s="386"/>
      <c r="F120" s="386"/>
      <c r="G120" s="386"/>
      <c r="H120" s="386"/>
      <c r="I120" s="386"/>
      <c r="J120" s="386"/>
      <c r="K120" s="386"/>
      <c r="L120" s="386"/>
      <c r="M120" s="386"/>
      <c r="N120" s="386"/>
      <c r="O120" s="386"/>
      <c r="P120" s="386"/>
      <c r="Q120" s="386"/>
      <c r="R120" s="386"/>
      <c r="S120" s="386"/>
      <c r="T120" s="386"/>
      <c r="U120" s="386"/>
      <c r="V120" s="386"/>
      <c r="W120" s="386"/>
      <c r="X120" s="386"/>
      <c r="Y120" s="386"/>
      <c r="Z120" s="386"/>
      <c r="AA120" s="386"/>
      <c r="AB120" s="386"/>
      <c r="AC120" s="386"/>
      <c r="AD120" s="386"/>
    </row>
    <row r="121" ht="23.25" customHeight="1">
      <c r="A121" s="386"/>
      <c r="B121" s="386"/>
      <c r="C121" s="386"/>
      <c r="D121" s="386"/>
      <c r="E121" s="386"/>
      <c r="F121" s="386"/>
      <c r="G121" s="386"/>
      <c r="H121" s="386"/>
      <c r="I121" s="386"/>
      <c r="J121" s="386"/>
      <c r="K121" s="386"/>
      <c r="L121" s="386"/>
      <c r="M121" s="386"/>
      <c r="N121" s="386"/>
      <c r="O121" s="386"/>
      <c r="P121" s="386"/>
      <c r="Q121" s="386"/>
      <c r="R121" s="386"/>
      <c r="S121" s="386"/>
      <c r="T121" s="386"/>
      <c r="U121" s="386"/>
      <c r="V121" s="386"/>
      <c r="W121" s="386"/>
      <c r="X121" s="386"/>
      <c r="Y121" s="386"/>
      <c r="Z121" s="386"/>
      <c r="AA121" s="386"/>
      <c r="AB121" s="386"/>
      <c r="AC121" s="386"/>
      <c r="AD121" s="386"/>
    </row>
    <row r="122" ht="23.25" customHeight="1">
      <c r="A122" s="386"/>
      <c r="B122" s="386"/>
      <c r="C122" s="386"/>
      <c r="D122" s="386"/>
      <c r="E122" s="386"/>
      <c r="F122" s="386"/>
      <c r="G122" s="386"/>
      <c r="H122" s="386"/>
      <c r="I122" s="386"/>
      <c r="J122" s="386"/>
      <c r="K122" s="386"/>
      <c r="L122" s="386"/>
      <c r="M122" s="386"/>
      <c r="N122" s="386"/>
      <c r="O122" s="386"/>
      <c r="P122" s="386"/>
      <c r="Q122" s="386"/>
      <c r="R122" s="386"/>
      <c r="S122" s="386"/>
      <c r="T122" s="386"/>
      <c r="U122" s="386"/>
      <c r="V122" s="386"/>
      <c r="W122" s="386"/>
      <c r="X122" s="386"/>
      <c r="Y122" s="386"/>
      <c r="Z122" s="386"/>
      <c r="AA122" s="386"/>
      <c r="AB122" s="386"/>
      <c r="AC122" s="386"/>
      <c r="AD122" s="386"/>
    </row>
    <row r="123" ht="23.25" customHeight="1">
      <c r="A123" s="386"/>
      <c r="B123" s="386"/>
      <c r="C123" s="386"/>
      <c r="D123" s="386"/>
      <c r="E123" s="386"/>
      <c r="F123" s="386"/>
      <c r="G123" s="386"/>
      <c r="H123" s="386"/>
      <c r="I123" s="386"/>
      <c r="J123" s="386"/>
      <c r="K123" s="386"/>
      <c r="L123" s="386"/>
      <c r="M123" s="386"/>
      <c r="N123" s="386"/>
      <c r="O123" s="386"/>
      <c r="P123" s="386"/>
      <c r="Q123" s="386"/>
      <c r="R123" s="386"/>
      <c r="S123" s="386"/>
      <c r="T123" s="386"/>
      <c r="U123" s="386"/>
      <c r="V123" s="386"/>
      <c r="W123" s="386"/>
      <c r="X123" s="386"/>
      <c r="Y123" s="386"/>
      <c r="Z123" s="386"/>
      <c r="AA123" s="386"/>
      <c r="AB123" s="386"/>
      <c r="AC123" s="386"/>
      <c r="AD123" s="386"/>
    </row>
    <row r="124" ht="23.25" customHeight="1">
      <c r="A124" s="386"/>
      <c r="B124" s="386"/>
      <c r="C124" s="386"/>
      <c r="D124" s="386"/>
      <c r="E124" s="386"/>
      <c r="F124" s="386"/>
      <c r="G124" s="386"/>
      <c r="H124" s="386"/>
      <c r="I124" s="386"/>
      <c r="J124" s="386"/>
      <c r="K124" s="386"/>
      <c r="L124" s="386"/>
      <c r="M124" s="386"/>
      <c r="N124" s="386"/>
      <c r="O124" s="386"/>
      <c r="P124" s="386"/>
      <c r="Q124" s="386"/>
      <c r="R124" s="386"/>
      <c r="S124" s="386"/>
      <c r="T124" s="386"/>
      <c r="U124" s="386"/>
      <c r="V124" s="386"/>
      <c r="W124" s="386"/>
      <c r="X124" s="386"/>
      <c r="Y124" s="386"/>
      <c r="Z124" s="386"/>
      <c r="AA124" s="386"/>
      <c r="AB124" s="386"/>
      <c r="AC124" s="386"/>
      <c r="AD124" s="386"/>
    </row>
    <row r="125" ht="23.25" customHeight="1">
      <c r="A125" s="386"/>
      <c r="B125" s="386"/>
      <c r="C125" s="386"/>
      <c r="D125" s="386"/>
      <c r="E125" s="386"/>
      <c r="F125" s="386"/>
      <c r="G125" s="386"/>
      <c r="H125" s="386"/>
      <c r="I125" s="386"/>
      <c r="J125" s="386"/>
      <c r="K125" s="386"/>
      <c r="L125" s="386"/>
      <c r="M125" s="386"/>
      <c r="N125" s="386"/>
      <c r="O125" s="386"/>
      <c r="P125" s="386"/>
      <c r="Q125" s="386"/>
      <c r="R125" s="386"/>
      <c r="S125" s="386"/>
      <c r="T125" s="386"/>
      <c r="U125" s="386"/>
      <c r="V125" s="386"/>
      <c r="W125" s="386"/>
      <c r="X125" s="386"/>
      <c r="Y125" s="386"/>
      <c r="Z125" s="386"/>
      <c r="AA125" s="386"/>
      <c r="AB125" s="386"/>
      <c r="AC125" s="386"/>
      <c r="AD125" s="386"/>
    </row>
    <row r="126" ht="23.25" customHeight="1">
      <c r="A126" s="386"/>
      <c r="B126" s="386"/>
      <c r="C126" s="386"/>
      <c r="D126" s="386"/>
      <c r="E126" s="386"/>
      <c r="F126" s="386"/>
      <c r="G126" s="386"/>
      <c r="H126" s="386"/>
      <c r="I126" s="386"/>
      <c r="J126" s="386"/>
      <c r="K126" s="386"/>
      <c r="L126" s="386"/>
      <c r="M126" s="386"/>
      <c r="N126" s="386"/>
      <c r="O126" s="386"/>
      <c r="P126" s="386"/>
      <c r="Q126" s="386"/>
      <c r="R126" s="386"/>
      <c r="S126" s="386"/>
      <c r="T126" s="386"/>
      <c r="U126" s="386"/>
      <c r="V126" s="386"/>
      <c r="W126" s="386"/>
      <c r="X126" s="386"/>
      <c r="Y126" s="386"/>
      <c r="Z126" s="386"/>
      <c r="AA126" s="386"/>
      <c r="AB126" s="386"/>
      <c r="AC126" s="386"/>
      <c r="AD126" s="386"/>
    </row>
    <row r="127" ht="23.25" customHeight="1">
      <c r="A127" s="386"/>
      <c r="B127" s="386"/>
      <c r="C127" s="386"/>
      <c r="D127" s="386"/>
      <c r="E127" s="386"/>
      <c r="F127" s="386"/>
      <c r="G127" s="386"/>
      <c r="H127" s="386"/>
      <c r="I127" s="386"/>
      <c r="J127" s="386"/>
      <c r="K127" s="386"/>
      <c r="L127" s="386"/>
      <c r="M127" s="386"/>
      <c r="N127" s="386"/>
      <c r="O127" s="386"/>
      <c r="P127" s="386"/>
      <c r="Q127" s="386"/>
      <c r="R127" s="386"/>
      <c r="S127" s="386"/>
      <c r="T127" s="386"/>
      <c r="U127" s="386"/>
      <c r="V127" s="386"/>
      <c r="W127" s="386"/>
      <c r="X127" s="386"/>
      <c r="Y127" s="386"/>
      <c r="Z127" s="386"/>
      <c r="AA127" s="386"/>
      <c r="AB127" s="386"/>
      <c r="AC127" s="386"/>
      <c r="AD127" s="386"/>
    </row>
    <row r="128" ht="23.25" customHeight="1">
      <c r="A128" s="386"/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6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</row>
    <row r="129" ht="23.25" customHeight="1">
      <c r="A129" s="386"/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86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</row>
    <row r="130" ht="23.25" customHeight="1">
      <c r="A130" s="386"/>
      <c r="B130" s="386"/>
      <c r="C130" s="386"/>
      <c r="D130" s="386"/>
      <c r="E130" s="386"/>
      <c r="F130" s="386"/>
      <c r="G130" s="386"/>
      <c r="H130" s="386"/>
      <c r="I130" s="386"/>
      <c r="J130" s="386"/>
      <c r="K130" s="386"/>
      <c r="L130" s="386"/>
      <c r="M130" s="386"/>
      <c r="N130" s="386"/>
      <c r="O130" s="386"/>
      <c r="P130" s="386"/>
      <c r="Q130" s="386"/>
      <c r="R130" s="386"/>
      <c r="S130" s="386"/>
      <c r="T130" s="386"/>
      <c r="U130" s="386"/>
      <c r="V130" s="386"/>
      <c r="W130" s="386"/>
      <c r="X130" s="386"/>
      <c r="Y130" s="386"/>
      <c r="Z130" s="386"/>
      <c r="AA130" s="386"/>
      <c r="AB130" s="386"/>
      <c r="AC130" s="386"/>
      <c r="AD130" s="386"/>
    </row>
    <row r="131" ht="23.25" customHeight="1">
      <c r="A131" s="386"/>
      <c r="B131" s="386"/>
      <c r="C131" s="386"/>
      <c r="D131" s="386"/>
      <c r="E131" s="386"/>
      <c r="F131" s="386"/>
      <c r="G131" s="386"/>
      <c r="H131" s="386"/>
      <c r="I131" s="386"/>
      <c r="J131" s="386"/>
      <c r="K131" s="386"/>
      <c r="L131" s="386"/>
      <c r="M131" s="386"/>
      <c r="N131" s="386"/>
      <c r="O131" s="386"/>
      <c r="P131" s="386"/>
      <c r="Q131" s="386"/>
      <c r="R131" s="386"/>
      <c r="S131" s="386"/>
      <c r="T131" s="386"/>
      <c r="U131" s="386"/>
      <c r="V131" s="386"/>
      <c r="W131" s="386"/>
      <c r="X131" s="386"/>
      <c r="Y131" s="386"/>
      <c r="Z131" s="386"/>
      <c r="AA131" s="386"/>
      <c r="AB131" s="386"/>
      <c r="AC131" s="386"/>
      <c r="AD131" s="386"/>
    </row>
    <row r="132" ht="23.25" customHeight="1">
      <c r="A132" s="386"/>
      <c r="B132" s="386"/>
      <c r="C132" s="386"/>
      <c r="D132" s="386"/>
      <c r="E132" s="386"/>
      <c r="F132" s="386"/>
      <c r="G132" s="386"/>
      <c r="H132" s="386"/>
      <c r="I132" s="386"/>
      <c r="J132" s="386"/>
      <c r="K132" s="386"/>
      <c r="L132" s="386"/>
      <c r="M132" s="386"/>
      <c r="N132" s="386"/>
      <c r="O132" s="386"/>
      <c r="P132" s="386"/>
      <c r="Q132" s="386"/>
      <c r="R132" s="386"/>
      <c r="S132" s="386"/>
      <c r="T132" s="386"/>
      <c r="U132" s="386"/>
      <c r="V132" s="386"/>
      <c r="W132" s="386"/>
      <c r="X132" s="386"/>
      <c r="Y132" s="386"/>
      <c r="Z132" s="386"/>
      <c r="AA132" s="386"/>
      <c r="AB132" s="386"/>
      <c r="AC132" s="386"/>
      <c r="AD132" s="386"/>
    </row>
    <row r="133" ht="23.25" customHeight="1">
      <c r="A133" s="386"/>
      <c r="B133" s="386"/>
      <c r="C133" s="386"/>
      <c r="D133" s="386"/>
      <c r="E133" s="386"/>
      <c r="F133" s="386"/>
      <c r="G133" s="386"/>
      <c r="H133" s="386"/>
      <c r="I133" s="386"/>
      <c r="J133" s="386"/>
      <c r="K133" s="386"/>
      <c r="L133" s="386"/>
      <c r="M133" s="386"/>
      <c r="N133" s="386"/>
      <c r="O133" s="386"/>
      <c r="P133" s="386"/>
      <c r="Q133" s="386"/>
      <c r="R133" s="386"/>
      <c r="S133" s="386"/>
      <c r="T133" s="386"/>
      <c r="U133" s="386"/>
      <c r="V133" s="386"/>
      <c r="W133" s="386"/>
      <c r="X133" s="386"/>
      <c r="Y133" s="386"/>
      <c r="Z133" s="386"/>
      <c r="AA133" s="386"/>
      <c r="AB133" s="386"/>
      <c r="AC133" s="386"/>
      <c r="AD133" s="386"/>
    </row>
    <row r="134" ht="23.25" customHeight="1">
      <c r="A134" s="386"/>
      <c r="B134" s="386"/>
      <c r="C134" s="386"/>
      <c r="D134" s="386"/>
      <c r="E134" s="386"/>
      <c r="F134" s="386"/>
      <c r="G134" s="386"/>
      <c r="H134" s="386"/>
      <c r="I134" s="386"/>
      <c r="J134" s="386"/>
      <c r="K134" s="386"/>
      <c r="L134" s="386"/>
      <c r="M134" s="386"/>
      <c r="N134" s="386"/>
      <c r="O134" s="386"/>
      <c r="P134" s="386"/>
      <c r="Q134" s="386"/>
      <c r="R134" s="386"/>
      <c r="S134" s="386"/>
      <c r="T134" s="386"/>
      <c r="U134" s="386"/>
      <c r="V134" s="386"/>
      <c r="W134" s="386"/>
      <c r="X134" s="386"/>
      <c r="Y134" s="386"/>
      <c r="Z134" s="386"/>
      <c r="AA134" s="386"/>
      <c r="AB134" s="386"/>
      <c r="AC134" s="386"/>
      <c r="AD134" s="386"/>
    </row>
    <row r="135" ht="23.25" customHeight="1">
      <c r="A135" s="386"/>
      <c r="B135" s="386"/>
      <c r="C135" s="386"/>
      <c r="D135" s="386"/>
      <c r="E135" s="386"/>
      <c r="F135" s="386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86"/>
      <c r="R135" s="386"/>
      <c r="S135" s="386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86"/>
    </row>
    <row r="136" ht="23.25" customHeight="1">
      <c r="A136" s="386"/>
      <c r="B136" s="386"/>
      <c r="C136" s="386"/>
      <c r="D136" s="386"/>
      <c r="E136" s="386"/>
      <c r="F136" s="386"/>
      <c r="G136" s="386"/>
      <c r="H136" s="386"/>
      <c r="I136" s="386"/>
      <c r="J136" s="386"/>
      <c r="K136" s="386"/>
      <c r="L136" s="386"/>
      <c r="M136" s="386"/>
      <c r="N136" s="386"/>
      <c r="O136" s="386"/>
      <c r="P136" s="386"/>
      <c r="Q136" s="386"/>
      <c r="R136" s="386"/>
      <c r="S136" s="386"/>
      <c r="T136" s="386"/>
      <c r="U136" s="386"/>
      <c r="V136" s="386"/>
      <c r="W136" s="386"/>
      <c r="X136" s="386"/>
      <c r="Y136" s="386"/>
      <c r="Z136" s="386"/>
      <c r="AA136" s="386"/>
      <c r="AB136" s="386"/>
      <c r="AC136" s="386"/>
      <c r="AD136" s="386"/>
    </row>
    <row r="137" ht="23.25" customHeight="1">
      <c r="A137" s="386"/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6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</row>
    <row r="138" ht="23.25" customHeight="1">
      <c r="A138" s="386"/>
      <c r="B138" s="386"/>
      <c r="C138" s="386"/>
      <c r="D138" s="386"/>
      <c r="E138" s="386"/>
      <c r="F138" s="386"/>
      <c r="G138" s="386"/>
      <c r="H138" s="386"/>
      <c r="I138" s="386"/>
      <c r="J138" s="386"/>
      <c r="K138" s="386"/>
      <c r="L138" s="386"/>
      <c r="M138" s="386"/>
      <c r="N138" s="386"/>
      <c r="O138" s="386"/>
      <c r="P138" s="386"/>
      <c r="Q138" s="386"/>
      <c r="R138" s="386"/>
      <c r="S138" s="386"/>
      <c r="T138" s="386"/>
      <c r="U138" s="386"/>
      <c r="V138" s="386"/>
      <c r="W138" s="386"/>
      <c r="X138" s="386"/>
      <c r="Y138" s="386"/>
      <c r="Z138" s="386"/>
      <c r="AA138" s="386"/>
      <c r="AB138" s="386"/>
      <c r="AC138" s="386"/>
      <c r="AD138" s="386"/>
    </row>
    <row r="139" ht="23.25" customHeight="1">
      <c r="A139" s="386"/>
      <c r="B139" s="386"/>
      <c r="C139" s="386"/>
      <c r="D139" s="386"/>
      <c r="E139" s="386"/>
      <c r="F139" s="386"/>
      <c r="G139" s="386"/>
      <c r="H139" s="386"/>
      <c r="I139" s="386"/>
      <c r="J139" s="386"/>
      <c r="K139" s="386"/>
      <c r="L139" s="386"/>
      <c r="M139" s="386"/>
      <c r="N139" s="386"/>
      <c r="O139" s="386"/>
      <c r="P139" s="386"/>
      <c r="Q139" s="386"/>
      <c r="R139" s="386"/>
      <c r="S139" s="386"/>
      <c r="T139" s="386"/>
      <c r="U139" s="386"/>
      <c r="V139" s="386"/>
      <c r="W139" s="386"/>
      <c r="X139" s="386"/>
      <c r="Y139" s="386"/>
      <c r="Z139" s="386"/>
      <c r="AA139" s="386"/>
      <c r="AB139" s="386"/>
      <c r="AC139" s="386"/>
      <c r="AD139" s="386"/>
    </row>
    <row r="140" ht="23.25" customHeight="1">
      <c r="A140" s="386"/>
      <c r="B140" s="386"/>
      <c r="C140" s="386"/>
      <c r="D140" s="386"/>
      <c r="E140" s="386"/>
      <c r="F140" s="386"/>
      <c r="G140" s="386"/>
      <c r="H140" s="386"/>
      <c r="I140" s="386"/>
      <c r="J140" s="386"/>
      <c r="K140" s="386"/>
      <c r="L140" s="386"/>
      <c r="M140" s="386"/>
      <c r="N140" s="386"/>
      <c r="O140" s="386"/>
      <c r="P140" s="386"/>
      <c r="Q140" s="386"/>
      <c r="R140" s="386"/>
      <c r="S140" s="386"/>
      <c r="T140" s="386"/>
      <c r="U140" s="386"/>
      <c r="V140" s="386"/>
      <c r="W140" s="386"/>
      <c r="X140" s="386"/>
      <c r="Y140" s="386"/>
      <c r="Z140" s="386"/>
      <c r="AA140" s="386"/>
      <c r="AB140" s="386"/>
      <c r="AC140" s="386"/>
      <c r="AD140" s="386"/>
    </row>
    <row r="141" ht="23.25" customHeight="1">
      <c r="A141" s="386"/>
      <c r="B141" s="386"/>
      <c r="C141" s="386"/>
      <c r="D141" s="386"/>
      <c r="E141" s="386"/>
      <c r="F141" s="386"/>
      <c r="G141" s="386"/>
      <c r="H141" s="386"/>
      <c r="I141" s="386"/>
      <c r="J141" s="386"/>
      <c r="K141" s="386"/>
      <c r="L141" s="386"/>
      <c r="M141" s="386"/>
      <c r="N141" s="386"/>
      <c r="O141" s="386"/>
      <c r="P141" s="386"/>
      <c r="Q141" s="386"/>
      <c r="R141" s="386"/>
      <c r="S141" s="386"/>
      <c r="T141" s="386"/>
      <c r="U141" s="386"/>
      <c r="V141" s="386"/>
      <c r="W141" s="386"/>
      <c r="X141" s="386"/>
      <c r="Y141" s="386"/>
      <c r="Z141" s="386"/>
      <c r="AA141" s="386"/>
      <c r="AB141" s="386"/>
      <c r="AC141" s="386"/>
      <c r="AD141" s="386"/>
    </row>
    <row r="142" ht="23.25" customHeight="1">
      <c r="A142" s="386"/>
      <c r="B142" s="386"/>
      <c r="C142" s="386"/>
      <c r="D142" s="386"/>
      <c r="E142" s="386"/>
      <c r="F142" s="386"/>
      <c r="G142" s="386"/>
      <c r="H142" s="386"/>
      <c r="I142" s="386"/>
      <c r="J142" s="386"/>
      <c r="K142" s="386"/>
      <c r="L142" s="386"/>
      <c r="M142" s="386"/>
      <c r="N142" s="386"/>
      <c r="O142" s="386"/>
      <c r="P142" s="386"/>
      <c r="Q142" s="386"/>
      <c r="R142" s="386"/>
      <c r="S142" s="386"/>
      <c r="T142" s="386"/>
      <c r="U142" s="386"/>
      <c r="V142" s="386"/>
      <c r="W142" s="386"/>
      <c r="X142" s="386"/>
      <c r="Y142" s="386"/>
      <c r="Z142" s="386"/>
      <c r="AA142" s="386"/>
      <c r="AB142" s="386"/>
      <c r="AC142" s="386"/>
      <c r="AD142" s="386"/>
    </row>
    <row r="143" ht="23.25" customHeight="1">
      <c r="A143" s="386"/>
      <c r="B143" s="386"/>
      <c r="C143" s="386"/>
      <c r="D143" s="386"/>
      <c r="E143" s="386"/>
      <c r="F143" s="386"/>
      <c r="G143" s="386"/>
      <c r="H143" s="386"/>
      <c r="I143" s="386"/>
      <c r="J143" s="386"/>
      <c r="K143" s="386"/>
      <c r="L143" s="386"/>
      <c r="M143" s="386"/>
      <c r="N143" s="386"/>
      <c r="O143" s="386"/>
      <c r="P143" s="386"/>
      <c r="Q143" s="386"/>
      <c r="R143" s="386"/>
      <c r="S143" s="386"/>
      <c r="T143" s="386"/>
      <c r="U143" s="386"/>
      <c r="V143" s="386"/>
      <c r="W143" s="386"/>
      <c r="X143" s="386"/>
      <c r="Y143" s="386"/>
      <c r="Z143" s="386"/>
      <c r="AA143" s="386"/>
      <c r="AB143" s="386"/>
      <c r="AC143" s="386"/>
      <c r="AD143" s="386"/>
    </row>
    <row r="144" ht="23.25" customHeight="1">
      <c r="A144" s="386"/>
      <c r="B144" s="386"/>
      <c r="C144" s="386"/>
      <c r="D144" s="386"/>
      <c r="E144" s="386"/>
      <c r="F144" s="386"/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6"/>
      <c r="T144" s="386"/>
      <c r="U144" s="386"/>
      <c r="V144" s="386"/>
      <c r="W144" s="386"/>
      <c r="X144" s="386"/>
      <c r="Y144" s="386"/>
      <c r="Z144" s="386"/>
      <c r="AA144" s="386"/>
      <c r="AB144" s="386"/>
      <c r="AC144" s="386"/>
      <c r="AD144" s="386"/>
    </row>
    <row r="145" ht="23.25" customHeight="1">
      <c r="A145" s="386"/>
      <c r="B145" s="386"/>
      <c r="C145" s="386"/>
      <c r="D145" s="386"/>
      <c r="E145" s="386"/>
      <c r="F145" s="386"/>
      <c r="G145" s="386"/>
      <c r="H145" s="386"/>
      <c r="I145" s="386"/>
      <c r="J145" s="386"/>
      <c r="K145" s="386"/>
      <c r="L145" s="386"/>
      <c r="M145" s="386"/>
      <c r="N145" s="386"/>
      <c r="O145" s="386"/>
      <c r="P145" s="386"/>
      <c r="Q145" s="386"/>
      <c r="R145" s="386"/>
      <c r="S145" s="386"/>
      <c r="T145" s="386"/>
      <c r="U145" s="386"/>
      <c r="V145" s="386"/>
      <c r="W145" s="386"/>
      <c r="X145" s="386"/>
      <c r="Y145" s="386"/>
      <c r="Z145" s="386"/>
      <c r="AA145" s="386"/>
      <c r="AB145" s="386"/>
      <c r="AC145" s="386"/>
      <c r="AD145" s="386"/>
    </row>
    <row r="146" ht="23.25" customHeight="1">
      <c r="A146" s="386"/>
      <c r="B146" s="386"/>
      <c r="C146" s="386"/>
      <c r="D146" s="386"/>
      <c r="E146" s="386"/>
      <c r="F146" s="386"/>
      <c r="G146" s="386"/>
      <c r="H146" s="386"/>
      <c r="I146" s="386"/>
      <c r="J146" s="386"/>
      <c r="K146" s="386"/>
      <c r="L146" s="386"/>
      <c r="M146" s="386"/>
      <c r="N146" s="386"/>
      <c r="O146" s="386"/>
      <c r="P146" s="386"/>
      <c r="Q146" s="386"/>
      <c r="R146" s="386"/>
      <c r="S146" s="386"/>
      <c r="T146" s="386"/>
      <c r="U146" s="386"/>
      <c r="V146" s="386"/>
      <c r="W146" s="386"/>
      <c r="X146" s="386"/>
      <c r="Y146" s="386"/>
      <c r="Z146" s="386"/>
      <c r="AA146" s="386"/>
      <c r="AB146" s="386"/>
      <c r="AC146" s="386"/>
      <c r="AD146" s="386"/>
    </row>
    <row r="147" ht="23.25" customHeight="1">
      <c r="A147" s="386"/>
      <c r="B147" s="386"/>
      <c r="C147" s="386"/>
      <c r="D147" s="386"/>
      <c r="E147" s="386"/>
      <c r="F147" s="386"/>
      <c r="G147" s="386"/>
      <c r="H147" s="386"/>
      <c r="I147" s="386"/>
      <c r="J147" s="386"/>
      <c r="K147" s="386"/>
      <c r="L147" s="386"/>
      <c r="M147" s="386"/>
      <c r="N147" s="386"/>
      <c r="O147" s="386"/>
      <c r="P147" s="386"/>
      <c r="Q147" s="386"/>
      <c r="R147" s="386"/>
      <c r="S147" s="386"/>
      <c r="T147" s="386"/>
      <c r="U147" s="386"/>
      <c r="V147" s="386"/>
      <c r="W147" s="386"/>
      <c r="X147" s="386"/>
      <c r="Y147" s="386"/>
      <c r="Z147" s="386"/>
      <c r="AA147" s="386"/>
      <c r="AB147" s="386"/>
      <c r="AC147" s="386"/>
      <c r="AD147" s="386"/>
    </row>
    <row r="148" ht="23.25" customHeight="1">
      <c r="A148" s="386"/>
      <c r="B148" s="386"/>
      <c r="C148" s="386"/>
      <c r="D148" s="386"/>
      <c r="E148" s="386"/>
      <c r="F148" s="386"/>
      <c r="G148" s="386"/>
      <c r="H148" s="386"/>
      <c r="I148" s="386"/>
      <c r="J148" s="386"/>
      <c r="K148" s="386"/>
      <c r="L148" s="386"/>
      <c r="M148" s="386"/>
      <c r="N148" s="386"/>
      <c r="O148" s="386"/>
      <c r="P148" s="386"/>
      <c r="Q148" s="386"/>
      <c r="R148" s="386"/>
      <c r="S148" s="386"/>
      <c r="T148" s="386"/>
      <c r="U148" s="386"/>
      <c r="V148" s="386"/>
      <c r="W148" s="386"/>
      <c r="X148" s="386"/>
      <c r="Y148" s="386"/>
      <c r="Z148" s="386"/>
      <c r="AA148" s="386"/>
      <c r="AB148" s="386"/>
      <c r="AC148" s="386"/>
      <c r="AD148" s="386"/>
    </row>
    <row r="149" ht="23.25" customHeight="1">
      <c r="A149" s="386"/>
      <c r="B149" s="386"/>
      <c r="C149" s="386"/>
      <c r="D149" s="386"/>
      <c r="E149" s="386"/>
      <c r="F149" s="386"/>
      <c r="G149" s="386"/>
      <c r="H149" s="386"/>
      <c r="I149" s="386"/>
      <c r="J149" s="386"/>
      <c r="K149" s="386"/>
      <c r="L149" s="386"/>
      <c r="M149" s="386"/>
      <c r="N149" s="386"/>
      <c r="O149" s="386"/>
      <c r="P149" s="386"/>
      <c r="Q149" s="386"/>
      <c r="R149" s="386"/>
      <c r="S149" s="386"/>
      <c r="T149" s="386"/>
      <c r="U149" s="386"/>
      <c r="V149" s="386"/>
      <c r="W149" s="386"/>
      <c r="X149" s="386"/>
      <c r="Y149" s="386"/>
      <c r="Z149" s="386"/>
      <c r="AA149" s="386"/>
      <c r="AB149" s="386"/>
      <c r="AC149" s="386"/>
      <c r="AD149" s="386"/>
    </row>
    <row r="150" ht="23.25" customHeight="1">
      <c r="A150" s="386"/>
      <c r="B150" s="386"/>
      <c r="C150" s="386"/>
      <c r="D150" s="386"/>
      <c r="E150" s="386"/>
      <c r="F150" s="386"/>
      <c r="G150" s="386"/>
      <c r="H150" s="386"/>
      <c r="I150" s="386"/>
      <c r="J150" s="386"/>
      <c r="K150" s="386"/>
      <c r="L150" s="386"/>
      <c r="M150" s="386"/>
      <c r="N150" s="386"/>
      <c r="O150" s="386"/>
      <c r="P150" s="386"/>
      <c r="Q150" s="386"/>
      <c r="R150" s="386"/>
      <c r="S150" s="386"/>
      <c r="T150" s="386"/>
      <c r="U150" s="386"/>
      <c r="V150" s="386"/>
      <c r="W150" s="386"/>
      <c r="X150" s="386"/>
      <c r="Y150" s="386"/>
      <c r="Z150" s="386"/>
      <c r="AA150" s="386"/>
      <c r="AB150" s="386"/>
      <c r="AC150" s="386"/>
      <c r="AD150" s="386"/>
    </row>
    <row r="151" ht="23.25" customHeight="1">
      <c r="A151" s="386"/>
      <c r="B151" s="386"/>
      <c r="C151" s="386"/>
      <c r="D151" s="386"/>
      <c r="E151" s="386"/>
      <c r="F151" s="386"/>
      <c r="G151" s="386"/>
      <c r="H151" s="386"/>
      <c r="I151" s="386"/>
      <c r="J151" s="386"/>
      <c r="K151" s="386"/>
      <c r="L151" s="386"/>
      <c r="M151" s="386"/>
      <c r="N151" s="386"/>
      <c r="O151" s="386"/>
      <c r="P151" s="386"/>
      <c r="Q151" s="386"/>
      <c r="R151" s="386"/>
      <c r="S151" s="386"/>
      <c r="T151" s="386"/>
      <c r="U151" s="386"/>
      <c r="V151" s="386"/>
      <c r="W151" s="386"/>
      <c r="X151" s="386"/>
      <c r="Y151" s="386"/>
      <c r="Z151" s="386"/>
      <c r="AA151" s="386"/>
      <c r="AB151" s="386"/>
      <c r="AC151" s="386"/>
      <c r="AD151" s="386"/>
    </row>
    <row r="152" ht="23.25" customHeight="1">
      <c r="A152" s="386"/>
      <c r="B152" s="386"/>
      <c r="C152" s="386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6"/>
      <c r="T152" s="386"/>
      <c r="U152" s="386"/>
      <c r="V152" s="386"/>
      <c r="W152" s="386"/>
      <c r="X152" s="386"/>
      <c r="Y152" s="386"/>
      <c r="Z152" s="386"/>
      <c r="AA152" s="386"/>
      <c r="AB152" s="386"/>
      <c r="AC152" s="386"/>
      <c r="AD152" s="386"/>
    </row>
    <row r="153" ht="23.25" customHeight="1">
      <c r="A153" s="386"/>
      <c r="B153" s="386"/>
      <c r="C153" s="386"/>
      <c r="D153" s="386"/>
      <c r="E153" s="386"/>
      <c r="F153" s="386"/>
      <c r="G153" s="386"/>
      <c r="H153" s="386"/>
      <c r="I153" s="386"/>
      <c r="J153" s="386"/>
      <c r="K153" s="386"/>
      <c r="L153" s="386"/>
      <c r="M153" s="386"/>
      <c r="N153" s="386"/>
      <c r="O153" s="386"/>
      <c r="P153" s="386"/>
      <c r="Q153" s="386"/>
      <c r="R153" s="386"/>
      <c r="S153" s="386"/>
      <c r="T153" s="386"/>
      <c r="U153" s="386"/>
      <c r="V153" s="386"/>
      <c r="W153" s="386"/>
      <c r="X153" s="386"/>
      <c r="Y153" s="386"/>
      <c r="Z153" s="386"/>
      <c r="AA153" s="386"/>
      <c r="AB153" s="386"/>
      <c r="AC153" s="386"/>
      <c r="AD153" s="386"/>
    </row>
    <row r="154" ht="23.25" customHeight="1">
      <c r="A154" s="386"/>
      <c r="B154" s="386"/>
      <c r="C154" s="386"/>
      <c r="D154" s="386"/>
      <c r="E154" s="386"/>
      <c r="F154" s="386"/>
      <c r="G154" s="386"/>
      <c r="H154" s="386"/>
      <c r="I154" s="386"/>
      <c r="J154" s="386"/>
      <c r="K154" s="386"/>
      <c r="L154" s="386"/>
      <c r="M154" s="386"/>
      <c r="N154" s="386"/>
      <c r="O154" s="386"/>
      <c r="P154" s="386"/>
      <c r="Q154" s="386"/>
      <c r="R154" s="386"/>
      <c r="S154" s="386"/>
      <c r="T154" s="386"/>
      <c r="U154" s="386"/>
      <c r="V154" s="386"/>
      <c r="W154" s="386"/>
      <c r="X154" s="386"/>
      <c r="Y154" s="386"/>
      <c r="Z154" s="386"/>
      <c r="AA154" s="386"/>
      <c r="AB154" s="386"/>
      <c r="AC154" s="386"/>
      <c r="AD154" s="386"/>
    </row>
    <row r="155" ht="23.25" customHeight="1">
      <c r="A155" s="386"/>
      <c r="B155" s="386"/>
      <c r="C155" s="386"/>
      <c r="D155" s="386"/>
      <c r="E155" s="386"/>
      <c r="F155" s="386"/>
      <c r="G155" s="386"/>
      <c r="H155" s="386"/>
      <c r="I155" s="386"/>
      <c r="J155" s="386"/>
      <c r="K155" s="386"/>
      <c r="L155" s="386"/>
      <c r="M155" s="386"/>
      <c r="N155" s="386"/>
      <c r="O155" s="386"/>
      <c r="P155" s="386"/>
      <c r="Q155" s="386"/>
      <c r="R155" s="386"/>
      <c r="S155" s="386"/>
      <c r="T155" s="386"/>
      <c r="U155" s="386"/>
      <c r="V155" s="386"/>
      <c r="W155" s="386"/>
      <c r="X155" s="386"/>
      <c r="Y155" s="386"/>
      <c r="Z155" s="386"/>
      <c r="AA155" s="386"/>
      <c r="AB155" s="386"/>
      <c r="AC155" s="386"/>
      <c r="AD155" s="386"/>
    </row>
    <row r="156" ht="23.25" customHeight="1">
      <c r="A156" s="386"/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6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</row>
    <row r="157" ht="23.25" customHeight="1">
      <c r="A157" s="386"/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86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</row>
    <row r="158" ht="23.25" customHeight="1">
      <c r="A158" s="386"/>
      <c r="B158" s="386"/>
      <c r="C158" s="386"/>
      <c r="D158" s="386"/>
      <c r="E158" s="386"/>
      <c r="F158" s="386"/>
      <c r="G158" s="386"/>
      <c r="H158" s="386"/>
      <c r="I158" s="386"/>
      <c r="J158" s="386"/>
      <c r="K158" s="386"/>
      <c r="L158" s="386"/>
      <c r="M158" s="386"/>
      <c r="N158" s="386"/>
      <c r="O158" s="386"/>
      <c r="P158" s="386"/>
      <c r="Q158" s="386"/>
      <c r="R158" s="386"/>
      <c r="S158" s="386"/>
      <c r="T158" s="386"/>
      <c r="U158" s="386"/>
      <c r="V158" s="386"/>
      <c r="W158" s="386"/>
      <c r="X158" s="386"/>
      <c r="Y158" s="386"/>
      <c r="Z158" s="386"/>
      <c r="AA158" s="386"/>
      <c r="AB158" s="386"/>
      <c r="AC158" s="386"/>
      <c r="AD158" s="386"/>
    </row>
    <row r="159" ht="23.25" customHeight="1">
      <c r="A159" s="386"/>
      <c r="B159" s="386"/>
      <c r="C159" s="386"/>
      <c r="D159" s="386"/>
      <c r="E159" s="386"/>
      <c r="F159" s="386"/>
      <c r="G159" s="386"/>
      <c r="H159" s="386"/>
      <c r="I159" s="386"/>
      <c r="J159" s="386"/>
      <c r="K159" s="386"/>
      <c r="L159" s="386"/>
      <c r="M159" s="386"/>
      <c r="N159" s="386"/>
      <c r="O159" s="386"/>
      <c r="P159" s="386"/>
      <c r="Q159" s="386"/>
      <c r="R159" s="386"/>
      <c r="S159" s="386"/>
      <c r="T159" s="386"/>
      <c r="U159" s="386"/>
      <c r="V159" s="386"/>
      <c r="W159" s="386"/>
      <c r="X159" s="386"/>
      <c r="Y159" s="386"/>
      <c r="Z159" s="386"/>
      <c r="AA159" s="386"/>
      <c r="AB159" s="386"/>
      <c r="AC159" s="386"/>
      <c r="AD159" s="386"/>
    </row>
    <row r="160" ht="23.25" customHeight="1">
      <c r="A160" s="386"/>
      <c r="B160" s="386"/>
      <c r="C160" s="386"/>
      <c r="D160" s="386"/>
      <c r="E160" s="386"/>
      <c r="F160" s="386"/>
      <c r="G160" s="386"/>
      <c r="H160" s="386"/>
      <c r="I160" s="386"/>
      <c r="J160" s="386"/>
      <c r="K160" s="386"/>
      <c r="L160" s="386"/>
      <c r="M160" s="386"/>
      <c r="N160" s="386"/>
      <c r="O160" s="386"/>
      <c r="P160" s="386"/>
      <c r="Q160" s="386"/>
      <c r="R160" s="386"/>
      <c r="S160" s="386"/>
      <c r="T160" s="386"/>
      <c r="U160" s="386"/>
      <c r="V160" s="386"/>
      <c r="W160" s="386"/>
      <c r="X160" s="386"/>
      <c r="Y160" s="386"/>
      <c r="Z160" s="386"/>
      <c r="AA160" s="386"/>
      <c r="AB160" s="386"/>
      <c r="AC160" s="386"/>
      <c r="AD160" s="386"/>
    </row>
    <row r="161" ht="23.25" customHeight="1">
      <c r="A161" s="386"/>
      <c r="B161" s="386"/>
      <c r="C161" s="386"/>
      <c r="D161" s="386"/>
      <c r="E161" s="386"/>
      <c r="F161" s="386"/>
      <c r="G161" s="386"/>
      <c r="H161" s="386"/>
      <c r="I161" s="386"/>
      <c r="J161" s="386"/>
      <c r="K161" s="386"/>
      <c r="L161" s="386"/>
      <c r="M161" s="386"/>
      <c r="N161" s="386"/>
      <c r="O161" s="386"/>
      <c r="P161" s="386"/>
      <c r="Q161" s="386"/>
      <c r="R161" s="386"/>
      <c r="S161" s="386"/>
      <c r="T161" s="386"/>
      <c r="U161" s="386"/>
      <c r="V161" s="386"/>
      <c r="W161" s="386"/>
      <c r="X161" s="386"/>
      <c r="Y161" s="386"/>
      <c r="Z161" s="386"/>
      <c r="AA161" s="386"/>
      <c r="AB161" s="386"/>
      <c r="AC161" s="386"/>
      <c r="AD161" s="386"/>
    </row>
    <row r="162" ht="23.25" customHeight="1">
      <c r="A162" s="386"/>
      <c r="B162" s="386"/>
      <c r="C162" s="386"/>
      <c r="D162" s="386"/>
      <c r="E162" s="386"/>
      <c r="F162" s="386"/>
      <c r="G162" s="386"/>
      <c r="H162" s="386"/>
      <c r="I162" s="386"/>
      <c r="J162" s="386"/>
      <c r="K162" s="386"/>
      <c r="L162" s="386"/>
      <c r="M162" s="386"/>
      <c r="N162" s="386"/>
      <c r="O162" s="386"/>
      <c r="P162" s="386"/>
      <c r="Q162" s="386"/>
      <c r="R162" s="386"/>
      <c r="S162" s="386"/>
      <c r="T162" s="386"/>
      <c r="U162" s="386"/>
      <c r="V162" s="386"/>
      <c r="W162" s="386"/>
      <c r="X162" s="386"/>
      <c r="Y162" s="386"/>
      <c r="Z162" s="386"/>
      <c r="AA162" s="386"/>
      <c r="AB162" s="386"/>
      <c r="AC162" s="386"/>
      <c r="AD162" s="386"/>
    </row>
    <row r="163" ht="23.25" customHeight="1">
      <c r="A163" s="386"/>
      <c r="B163" s="386"/>
      <c r="C163" s="386"/>
      <c r="D163" s="386"/>
      <c r="E163" s="386"/>
      <c r="F163" s="386"/>
      <c r="G163" s="386"/>
      <c r="H163" s="386"/>
      <c r="I163" s="386"/>
      <c r="J163" s="386"/>
      <c r="K163" s="386"/>
      <c r="L163" s="386"/>
      <c r="M163" s="386"/>
      <c r="N163" s="386"/>
      <c r="O163" s="386"/>
      <c r="P163" s="386"/>
      <c r="Q163" s="386"/>
      <c r="R163" s="386"/>
      <c r="S163" s="386"/>
      <c r="T163" s="386"/>
      <c r="U163" s="386"/>
      <c r="V163" s="386"/>
      <c r="W163" s="386"/>
      <c r="X163" s="386"/>
      <c r="Y163" s="386"/>
      <c r="Z163" s="386"/>
      <c r="AA163" s="386"/>
      <c r="AB163" s="386"/>
      <c r="AC163" s="386"/>
      <c r="AD163" s="386"/>
    </row>
    <row r="164" ht="23.25" customHeight="1">
      <c r="A164" s="386"/>
      <c r="B164" s="386"/>
      <c r="C164" s="386"/>
      <c r="D164" s="386"/>
      <c r="E164" s="386"/>
      <c r="F164" s="386"/>
      <c r="G164" s="386"/>
      <c r="H164" s="386"/>
      <c r="I164" s="386"/>
      <c r="J164" s="386"/>
      <c r="K164" s="386"/>
      <c r="L164" s="386"/>
      <c r="M164" s="386"/>
      <c r="N164" s="386"/>
      <c r="O164" s="386"/>
      <c r="P164" s="386"/>
      <c r="Q164" s="386"/>
      <c r="R164" s="386"/>
      <c r="S164" s="386"/>
      <c r="T164" s="386"/>
      <c r="U164" s="386"/>
      <c r="V164" s="386"/>
      <c r="W164" s="386"/>
      <c r="X164" s="386"/>
      <c r="Y164" s="386"/>
      <c r="Z164" s="386"/>
      <c r="AA164" s="386"/>
      <c r="AB164" s="386"/>
      <c r="AC164" s="386"/>
      <c r="AD164" s="386"/>
    </row>
    <row r="165" ht="23.25" customHeight="1">
      <c r="A165" s="386"/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6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</row>
    <row r="166" ht="23.25" customHeight="1">
      <c r="A166" s="386"/>
      <c r="B166" s="386"/>
      <c r="C166" s="386"/>
      <c r="D166" s="386"/>
      <c r="E166" s="386"/>
      <c r="F166" s="386"/>
      <c r="G166" s="386"/>
      <c r="H166" s="386"/>
      <c r="I166" s="386"/>
      <c r="J166" s="386"/>
      <c r="K166" s="386"/>
      <c r="L166" s="386"/>
      <c r="M166" s="386"/>
      <c r="N166" s="386"/>
      <c r="O166" s="386"/>
      <c r="P166" s="386"/>
      <c r="Q166" s="386"/>
      <c r="R166" s="386"/>
      <c r="S166" s="386"/>
      <c r="T166" s="386"/>
      <c r="U166" s="386"/>
      <c r="V166" s="386"/>
      <c r="W166" s="386"/>
      <c r="X166" s="386"/>
      <c r="Y166" s="386"/>
      <c r="Z166" s="386"/>
      <c r="AA166" s="386"/>
      <c r="AB166" s="386"/>
      <c r="AC166" s="386"/>
      <c r="AD166" s="386"/>
    </row>
    <row r="167" ht="23.25" customHeight="1">
      <c r="A167" s="386"/>
      <c r="B167" s="386"/>
      <c r="C167" s="386"/>
      <c r="D167" s="386"/>
      <c r="E167" s="386"/>
      <c r="F167" s="386"/>
      <c r="G167" s="386"/>
      <c r="H167" s="386"/>
      <c r="I167" s="386"/>
      <c r="J167" s="386"/>
      <c r="K167" s="386"/>
      <c r="L167" s="386"/>
      <c r="M167" s="386"/>
      <c r="N167" s="386"/>
      <c r="O167" s="386"/>
      <c r="P167" s="386"/>
      <c r="Q167" s="386"/>
      <c r="R167" s="386"/>
      <c r="S167" s="386"/>
      <c r="T167" s="386"/>
      <c r="U167" s="386"/>
      <c r="V167" s="386"/>
      <c r="W167" s="386"/>
      <c r="X167" s="386"/>
      <c r="Y167" s="386"/>
      <c r="Z167" s="386"/>
      <c r="AA167" s="386"/>
      <c r="AB167" s="386"/>
      <c r="AC167" s="386"/>
      <c r="AD167" s="386"/>
    </row>
    <row r="168" ht="23.25" customHeight="1">
      <c r="A168" s="386"/>
      <c r="B168" s="386"/>
      <c r="C168" s="386"/>
      <c r="D168" s="386"/>
      <c r="E168" s="386"/>
      <c r="F168" s="386"/>
      <c r="G168" s="386"/>
      <c r="H168" s="386"/>
      <c r="I168" s="386"/>
      <c r="J168" s="386"/>
      <c r="K168" s="386"/>
      <c r="L168" s="386"/>
      <c r="M168" s="386"/>
      <c r="N168" s="386"/>
      <c r="O168" s="386"/>
      <c r="P168" s="386"/>
      <c r="Q168" s="386"/>
      <c r="R168" s="386"/>
      <c r="S168" s="386"/>
      <c r="T168" s="386"/>
      <c r="U168" s="386"/>
      <c r="V168" s="386"/>
      <c r="W168" s="386"/>
      <c r="X168" s="386"/>
      <c r="Y168" s="386"/>
      <c r="Z168" s="386"/>
      <c r="AA168" s="386"/>
      <c r="AB168" s="386"/>
      <c r="AC168" s="386"/>
      <c r="AD168" s="386"/>
    </row>
    <row r="169" ht="23.25" customHeight="1">
      <c r="A169" s="386"/>
      <c r="B169" s="386"/>
      <c r="C169" s="386"/>
      <c r="D169" s="386"/>
      <c r="E169" s="386"/>
      <c r="F169" s="386"/>
      <c r="G169" s="386"/>
      <c r="H169" s="386"/>
      <c r="I169" s="386"/>
      <c r="J169" s="386"/>
      <c r="K169" s="386"/>
      <c r="L169" s="386"/>
      <c r="M169" s="386"/>
      <c r="N169" s="386"/>
      <c r="O169" s="386"/>
      <c r="P169" s="386"/>
      <c r="Q169" s="386"/>
      <c r="R169" s="386"/>
      <c r="S169" s="386"/>
      <c r="T169" s="386"/>
      <c r="U169" s="386"/>
      <c r="V169" s="386"/>
      <c r="W169" s="386"/>
      <c r="X169" s="386"/>
      <c r="Y169" s="386"/>
      <c r="Z169" s="386"/>
      <c r="AA169" s="386"/>
      <c r="AB169" s="386"/>
      <c r="AC169" s="386"/>
      <c r="AD169" s="386"/>
    </row>
    <row r="170" ht="23.25" customHeight="1">
      <c r="A170" s="386"/>
      <c r="B170" s="386"/>
      <c r="C170" s="386"/>
      <c r="D170" s="386"/>
      <c r="E170" s="386"/>
      <c r="F170" s="386"/>
      <c r="G170" s="386"/>
      <c r="H170" s="386"/>
      <c r="I170" s="386"/>
      <c r="J170" s="386"/>
      <c r="K170" s="386"/>
      <c r="L170" s="386"/>
      <c r="M170" s="386"/>
      <c r="N170" s="386"/>
      <c r="O170" s="386"/>
      <c r="P170" s="386"/>
      <c r="Q170" s="386"/>
      <c r="R170" s="386"/>
      <c r="S170" s="386"/>
      <c r="T170" s="386"/>
      <c r="U170" s="386"/>
      <c r="V170" s="386"/>
      <c r="W170" s="386"/>
      <c r="X170" s="386"/>
      <c r="Y170" s="386"/>
      <c r="Z170" s="386"/>
      <c r="AA170" s="386"/>
      <c r="AB170" s="386"/>
      <c r="AC170" s="386"/>
      <c r="AD170" s="386"/>
    </row>
    <row r="171" ht="23.25" customHeight="1">
      <c r="A171" s="386"/>
      <c r="B171" s="386"/>
      <c r="C171" s="386"/>
      <c r="D171" s="386"/>
      <c r="E171" s="386"/>
      <c r="F171" s="386"/>
      <c r="G171" s="386"/>
      <c r="H171" s="386"/>
      <c r="I171" s="386"/>
      <c r="J171" s="386"/>
      <c r="K171" s="386"/>
      <c r="L171" s="386"/>
      <c r="M171" s="386"/>
      <c r="N171" s="386"/>
      <c r="O171" s="386"/>
      <c r="P171" s="386"/>
      <c r="Q171" s="386"/>
      <c r="R171" s="386"/>
      <c r="S171" s="386"/>
      <c r="T171" s="386"/>
      <c r="U171" s="386"/>
      <c r="V171" s="386"/>
      <c r="W171" s="386"/>
      <c r="X171" s="386"/>
      <c r="Y171" s="386"/>
      <c r="Z171" s="386"/>
      <c r="AA171" s="386"/>
      <c r="AB171" s="386"/>
      <c r="AC171" s="386"/>
      <c r="AD171" s="386"/>
    </row>
    <row r="172" ht="23.25" customHeight="1">
      <c r="A172" s="386"/>
      <c r="B172" s="386"/>
      <c r="C172" s="386"/>
      <c r="D172" s="386"/>
      <c r="E172" s="386"/>
      <c r="F172" s="386"/>
      <c r="G172" s="386"/>
      <c r="H172" s="386"/>
      <c r="I172" s="386"/>
      <c r="J172" s="386"/>
      <c r="K172" s="386"/>
      <c r="L172" s="386"/>
      <c r="M172" s="386"/>
      <c r="N172" s="386"/>
      <c r="O172" s="386"/>
      <c r="P172" s="386"/>
      <c r="Q172" s="386"/>
      <c r="R172" s="386"/>
      <c r="S172" s="386"/>
      <c r="T172" s="386"/>
      <c r="U172" s="386"/>
      <c r="V172" s="386"/>
      <c r="W172" s="386"/>
      <c r="X172" s="386"/>
      <c r="Y172" s="386"/>
      <c r="Z172" s="386"/>
      <c r="AA172" s="386"/>
      <c r="AB172" s="386"/>
      <c r="AC172" s="386"/>
      <c r="AD172" s="386"/>
    </row>
    <row r="173" ht="23.25" customHeight="1">
      <c r="A173" s="386"/>
      <c r="B173" s="386"/>
      <c r="C173" s="386"/>
      <c r="D173" s="386"/>
      <c r="E173" s="386"/>
      <c r="F173" s="386"/>
      <c r="G173" s="386"/>
      <c r="H173" s="386"/>
      <c r="I173" s="386"/>
      <c r="J173" s="386"/>
      <c r="K173" s="386"/>
      <c r="L173" s="386"/>
      <c r="M173" s="386"/>
      <c r="N173" s="386"/>
      <c r="O173" s="386"/>
      <c r="P173" s="386"/>
      <c r="Q173" s="386"/>
      <c r="R173" s="386"/>
      <c r="S173" s="386"/>
      <c r="T173" s="386"/>
      <c r="U173" s="386"/>
      <c r="V173" s="386"/>
      <c r="W173" s="386"/>
      <c r="X173" s="386"/>
      <c r="Y173" s="386"/>
      <c r="Z173" s="386"/>
      <c r="AA173" s="386"/>
      <c r="AB173" s="386"/>
      <c r="AC173" s="386"/>
      <c r="AD173" s="386"/>
    </row>
    <row r="174" ht="23.25" customHeight="1">
      <c r="A174" s="386"/>
      <c r="B174" s="386"/>
      <c r="C174" s="386"/>
      <c r="D174" s="386"/>
      <c r="E174" s="386"/>
      <c r="F174" s="386"/>
      <c r="G174" s="386"/>
      <c r="H174" s="386"/>
      <c r="I174" s="386"/>
      <c r="J174" s="386"/>
      <c r="K174" s="386"/>
      <c r="L174" s="386"/>
      <c r="M174" s="386"/>
      <c r="N174" s="386"/>
      <c r="O174" s="386"/>
      <c r="P174" s="386"/>
      <c r="Q174" s="386"/>
      <c r="R174" s="386"/>
      <c r="S174" s="386"/>
      <c r="T174" s="386"/>
      <c r="U174" s="386"/>
      <c r="V174" s="386"/>
      <c r="W174" s="386"/>
      <c r="X174" s="386"/>
      <c r="Y174" s="386"/>
      <c r="Z174" s="386"/>
      <c r="AA174" s="386"/>
      <c r="AB174" s="386"/>
      <c r="AC174" s="386"/>
      <c r="AD174" s="386"/>
    </row>
    <row r="175" ht="23.25" customHeight="1">
      <c r="A175" s="386"/>
      <c r="B175" s="386"/>
      <c r="C175" s="386"/>
      <c r="D175" s="386"/>
      <c r="E175" s="386"/>
      <c r="F175" s="386"/>
      <c r="G175" s="386"/>
      <c r="H175" s="386"/>
      <c r="I175" s="386"/>
      <c r="J175" s="386"/>
      <c r="K175" s="386"/>
      <c r="L175" s="386"/>
      <c r="M175" s="386"/>
      <c r="N175" s="386"/>
      <c r="O175" s="386"/>
      <c r="P175" s="386"/>
      <c r="Q175" s="386"/>
      <c r="R175" s="386"/>
      <c r="S175" s="386"/>
      <c r="T175" s="386"/>
      <c r="U175" s="386"/>
      <c r="V175" s="386"/>
      <c r="W175" s="386"/>
      <c r="X175" s="386"/>
      <c r="Y175" s="386"/>
      <c r="Z175" s="386"/>
      <c r="AA175" s="386"/>
      <c r="AB175" s="386"/>
      <c r="AC175" s="386"/>
      <c r="AD175" s="386"/>
    </row>
    <row r="176" ht="23.25" customHeight="1">
      <c r="A176" s="386"/>
      <c r="B176" s="386"/>
      <c r="C176" s="386"/>
      <c r="D176" s="386"/>
      <c r="E176" s="386"/>
      <c r="F176" s="386"/>
      <c r="G176" s="386"/>
      <c r="H176" s="386"/>
      <c r="I176" s="386"/>
      <c r="J176" s="386"/>
      <c r="K176" s="386"/>
      <c r="L176" s="386"/>
      <c r="M176" s="386"/>
      <c r="N176" s="386"/>
      <c r="O176" s="386"/>
      <c r="P176" s="386"/>
      <c r="Q176" s="386"/>
      <c r="R176" s="386"/>
      <c r="S176" s="386"/>
      <c r="T176" s="386"/>
      <c r="U176" s="386"/>
      <c r="V176" s="386"/>
      <c r="W176" s="386"/>
      <c r="X176" s="386"/>
      <c r="Y176" s="386"/>
      <c r="Z176" s="386"/>
      <c r="AA176" s="386"/>
      <c r="AB176" s="386"/>
      <c r="AC176" s="386"/>
      <c r="AD176" s="386"/>
    </row>
    <row r="177" ht="23.25" customHeight="1">
      <c r="A177" s="386"/>
      <c r="B177" s="386"/>
      <c r="C177" s="386"/>
      <c r="D177" s="386"/>
      <c r="E177" s="386"/>
      <c r="F177" s="386"/>
      <c r="G177" s="386"/>
      <c r="H177" s="386"/>
      <c r="I177" s="386"/>
      <c r="J177" s="386"/>
      <c r="K177" s="386"/>
      <c r="L177" s="386"/>
      <c r="M177" s="386"/>
      <c r="N177" s="386"/>
      <c r="O177" s="386"/>
      <c r="P177" s="386"/>
      <c r="Q177" s="386"/>
      <c r="R177" s="386"/>
      <c r="S177" s="386"/>
      <c r="T177" s="386"/>
      <c r="U177" s="386"/>
      <c r="V177" s="386"/>
      <c r="W177" s="386"/>
      <c r="X177" s="386"/>
      <c r="Y177" s="386"/>
      <c r="Z177" s="386"/>
      <c r="AA177" s="386"/>
      <c r="AB177" s="386"/>
      <c r="AC177" s="386"/>
      <c r="AD177" s="386"/>
    </row>
    <row r="178" ht="23.25" customHeight="1">
      <c r="A178" s="386"/>
      <c r="B178" s="386"/>
      <c r="C178" s="386"/>
      <c r="D178" s="386"/>
      <c r="E178" s="386"/>
      <c r="F178" s="386"/>
      <c r="G178" s="386"/>
      <c r="H178" s="386"/>
      <c r="I178" s="386"/>
      <c r="J178" s="386"/>
      <c r="K178" s="386"/>
      <c r="L178" s="386"/>
      <c r="M178" s="386"/>
      <c r="N178" s="386"/>
      <c r="O178" s="386"/>
      <c r="P178" s="386"/>
      <c r="Q178" s="386"/>
      <c r="R178" s="386"/>
      <c r="S178" s="386"/>
      <c r="T178" s="386"/>
      <c r="U178" s="386"/>
      <c r="V178" s="386"/>
      <c r="W178" s="386"/>
      <c r="X178" s="386"/>
      <c r="Y178" s="386"/>
      <c r="Z178" s="386"/>
      <c r="AA178" s="386"/>
      <c r="AB178" s="386"/>
      <c r="AC178" s="386"/>
      <c r="AD178" s="386"/>
    </row>
    <row r="179" ht="23.25" customHeight="1">
      <c r="A179" s="386"/>
      <c r="B179" s="386"/>
      <c r="C179" s="386"/>
      <c r="D179" s="386"/>
      <c r="E179" s="386"/>
      <c r="F179" s="386"/>
      <c r="G179" s="386"/>
      <c r="H179" s="386"/>
      <c r="I179" s="386"/>
      <c r="J179" s="386"/>
      <c r="K179" s="386"/>
      <c r="L179" s="386"/>
      <c r="M179" s="386"/>
      <c r="N179" s="386"/>
      <c r="O179" s="386"/>
      <c r="P179" s="386"/>
      <c r="Q179" s="386"/>
      <c r="R179" s="386"/>
      <c r="S179" s="386"/>
      <c r="T179" s="386"/>
      <c r="U179" s="386"/>
      <c r="V179" s="386"/>
      <c r="W179" s="386"/>
      <c r="X179" s="386"/>
      <c r="Y179" s="386"/>
      <c r="Z179" s="386"/>
      <c r="AA179" s="386"/>
      <c r="AB179" s="386"/>
      <c r="AC179" s="386"/>
      <c r="AD179" s="386"/>
    </row>
    <row r="180" ht="23.25" customHeight="1">
      <c r="A180" s="386"/>
      <c r="B180" s="386"/>
      <c r="C180" s="386"/>
      <c r="D180" s="386"/>
      <c r="E180" s="386"/>
      <c r="F180" s="386"/>
      <c r="G180" s="386"/>
      <c r="H180" s="386"/>
      <c r="I180" s="386"/>
      <c r="J180" s="386"/>
      <c r="K180" s="386"/>
      <c r="L180" s="386"/>
      <c r="M180" s="386"/>
      <c r="N180" s="386"/>
      <c r="O180" s="386"/>
      <c r="P180" s="386"/>
      <c r="Q180" s="386"/>
      <c r="R180" s="386"/>
      <c r="S180" s="386"/>
      <c r="T180" s="386"/>
      <c r="U180" s="386"/>
      <c r="V180" s="386"/>
      <c r="W180" s="386"/>
      <c r="X180" s="386"/>
      <c r="Y180" s="386"/>
      <c r="Z180" s="386"/>
      <c r="AA180" s="386"/>
      <c r="AB180" s="386"/>
      <c r="AC180" s="386"/>
      <c r="AD180" s="386"/>
    </row>
    <row r="181" ht="23.25" customHeight="1">
      <c r="A181" s="386"/>
      <c r="B181" s="386"/>
      <c r="C181" s="386"/>
      <c r="D181" s="386"/>
      <c r="E181" s="386"/>
      <c r="F181" s="386"/>
      <c r="G181" s="386"/>
      <c r="H181" s="386"/>
      <c r="I181" s="386"/>
      <c r="J181" s="386"/>
      <c r="K181" s="386"/>
      <c r="L181" s="386"/>
      <c r="M181" s="386"/>
      <c r="N181" s="386"/>
      <c r="O181" s="386"/>
      <c r="P181" s="386"/>
      <c r="Q181" s="386"/>
      <c r="R181" s="386"/>
      <c r="S181" s="386"/>
      <c r="T181" s="386"/>
      <c r="U181" s="386"/>
      <c r="V181" s="386"/>
      <c r="W181" s="386"/>
      <c r="X181" s="386"/>
      <c r="Y181" s="386"/>
      <c r="Z181" s="386"/>
      <c r="AA181" s="386"/>
      <c r="AB181" s="386"/>
      <c r="AC181" s="386"/>
      <c r="AD181" s="386"/>
    </row>
    <row r="182" ht="23.25" customHeight="1">
      <c r="A182" s="386"/>
      <c r="B182" s="386"/>
      <c r="C182" s="386"/>
      <c r="D182" s="386"/>
      <c r="E182" s="386"/>
      <c r="F182" s="386"/>
      <c r="G182" s="386"/>
      <c r="H182" s="386"/>
      <c r="I182" s="386"/>
      <c r="J182" s="386"/>
      <c r="K182" s="386"/>
      <c r="L182" s="386"/>
      <c r="M182" s="386"/>
      <c r="N182" s="386"/>
      <c r="O182" s="386"/>
      <c r="P182" s="386"/>
      <c r="Q182" s="386"/>
      <c r="R182" s="386"/>
      <c r="S182" s="386"/>
      <c r="T182" s="386"/>
      <c r="U182" s="386"/>
      <c r="V182" s="386"/>
      <c r="W182" s="386"/>
      <c r="X182" s="386"/>
      <c r="Y182" s="386"/>
      <c r="Z182" s="386"/>
      <c r="AA182" s="386"/>
      <c r="AB182" s="386"/>
      <c r="AC182" s="386"/>
      <c r="AD182" s="386"/>
    </row>
    <row r="183" ht="23.25" customHeight="1">
      <c r="A183" s="386"/>
      <c r="B183" s="386"/>
      <c r="C183" s="386"/>
      <c r="D183" s="386"/>
      <c r="E183" s="386"/>
      <c r="F183" s="386"/>
      <c r="G183" s="386"/>
      <c r="H183" s="386"/>
      <c r="I183" s="386"/>
      <c r="J183" s="386"/>
      <c r="K183" s="386"/>
      <c r="L183" s="386"/>
      <c r="M183" s="386"/>
      <c r="N183" s="386"/>
      <c r="O183" s="386"/>
      <c r="P183" s="386"/>
      <c r="Q183" s="386"/>
      <c r="R183" s="386"/>
      <c r="S183" s="386"/>
      <c r="T183" s="386"/>
      <c r="U183" s="386"/>
      <c r="V183" s="386"/>
      <c r="W183" s="386"/>
      <c r="X183" s="386"/>
      <c r="Y183" s="386"/>
      <c r="Z183" s="386"/>
      <c r="AA183" s="386"/>
      <c r="AB183" s="386"/>
      <c r="AC183" s="386"/>
      <c r="AD183" s="386"/>
    </row>
    <row r="184" ht="23.25" customHeight="1">
      <c r="A184" s="386"/>
      <c r="B184" s="386"/>
      <c r="C184" s="386"/>
      <c r="D184" s="386"/>
      <c r="E184" s="386"/>
      <c r="F184" s="386"/>
      <c r="G184" s="386"/>
      <c r="H184" s="386"/>
      <c r="I184" s="386"/>
      <c r="J184" s="386"/>
      <c r="K184" s="386"/>
      <c r="L184" s="386"/>
      <c r="M184" s="386"/>
      <c r="N184" s="386"/>
      <c r="O184" s="386"/>
      <c r="P184" s="386"/>
      <c r="Q184" s="386"/>
      <c r="R184" s="386"/>
      <c r="S184" s="386"/>
      <c r="T184" s="386"/>
      <c r="U184" s="386"/>
      <c r="V184" s="386"/>
      <c r="W184" s="386"/>
      <c r="X184" s="386"/>
      <c r="Y184" s="386"/>
      <c r="Z184" s="386"/>
      <c r="AA184" s="386"/>
      <c r="AB184" s="386"/>
      <c r="AC184" s="386"/>
      <c r="AD184" s="386"/>
    </row>
    <row r="185" ht="23.25" customHeight="1">
      <c r="A185" s="386"/>
      <c r="B185" s="386"/>
      <c r="C185" s="386"/>
      <c r="D185" s="386"/>
      <c r="E185" s="386"/>
      <c r="F185" s="386"/>
      <c r="G185" s="386"/>
      <c r="H185" s="386"/>
      <c r="I185" s="386"/>
      <c r="J185" s="386"/>
      <c r="K185" s="386"/>
      <c r="L185" s="386"/>
      <c r="M185" s="386"/>
      <c r="N185" s="386"/>
      <c r="O185" s="386"/>
      <c r="P185" s="386"/>
      <c r="Q185" s="386"/>
      <c r="R185" s="386"/>
      <c r="S185" s="386"/>
      <c r="T185" s="386"/>
      <c r="U185" s="386"/>
      <c r="V185" s="386"/>
      <c r="W185" s="386"/>
      <c r="X185" s="386"/>
      <c r="Y185" s="386"/>
      <c r="Z185" s="386"/>
      <c r="AA185" s="386"/>
      <c r="AB185" s="386"/>
      <c r="AC185" s="386"/>
      <c r="AD185" s="386"/>
    </row>
    <row r="186" ht="23.25" customHeight="1">
      <c r="A186" s="386"/>
      <c r="B186" s="386"/>
      <c r="C186" s="386"/>
      <c r="D186" s="386"/>
      <c r="E186" s="386"/>
      <c r="F186" s="386"/>
      <c r="G186" s="386"/>
      <c r="H186" s="386"/>
      <c r="I186" s="386"/>
      <c r="J186" s="386"/>
      <c r="K186" s="386"/>
      <c r="L186" s="386"/>
      <c r="M186" s="386"/>
      <c r="N186" s="386"/>
      <c r="O186" s="386"/>
      <c r="P186" s="386"/>
      <c r="Q186" s="386"/>
      <c r="R186" s="386"/>
      <c r="S186" s="386"/>
      <c r="T186" s="386"/>
      <c r="U186" s="386"/>
      <c r="V186" s="386"/>
      <c r="W186" s="386"/>
      <c r="X186" s="386"/>
      <c r="Y186" s="386"/>
      <c r="Z186" s="386"/>
      <c r="AA186" s="386"/>
      <c r="AB186" s="386"/>
      <c r="AC186" s="386"/>
      <c r="AD186" s="386"/>
    </row>
    <row r="187" ht="23.25" customHeight="1">
      <c r="A187" s="386"/>
      <c r="B187" s="386"/>
      <c r="C187" s="386"/>
      <c r="D187" s="386"/>
      <c r="E187" s="386"/>
      <c r="F187" s="386"/>
      <c r="G187" s="386"/>
      <c r="H187" s="386"/>
      <c r="I187" s="386"/>
      <c r="J187" s="386"/>
      <c r="K187" s="386"/>
      <c r="L187" s="386"/>
      <c r="M187" s="386"/>
      <c r="N187" s="386"/>
      <c r="O187" s="386"/>
      <c r="P187" s="386"/>
      <c r="Q187" s="386"/>
      <c r="R187" s="386"/>
      <c r="S187" s="386"/>
      <c r="T187" s="386"/>
      <c r="U187" s="386"/>
      <c r="V187" s="386"/>
      <c r="W187" s="386"/>
      <c r="X187" s="386"/>
      <c r="Y187" s="386"/>
      <c r="Z187" s="386"/>
      <c r="AA187" s="386"/>
      <c r="AB187" s="386"/>
      <c r="AC187" s="386"/>
      <c r="AD187" s="386"/>
    </row>
    <row r="188" ht="23.25" customHeight="1">
      <c r="A188" s="386"/>
      <c r="B188" s="386"/>
      <c r="C188" s="386"/>
      <c r="D188" s="386"/>
      <c r="E188" s="386"/>
      <c r="F188" s="386"/>
      <c r="G188" s="386"/>
      <c r="H188" s="386"/>
      <c r="I188" s="386"/>
      <c r="J188" s="386"/>
      <c r="K188" s="386"/>
      <c r="L188" s="386"/>
      <c r="M188" s="386"/>
      <c r="N188" s="386"/>
      <c r="O188" s="386"/>
      <c r="P188" s="386"/>
      <c r="Q188" s="386"/>
      <c r="R188" s="386"/>
      <c r="S188" s="386"/>
      <c r="T188" s="386"/>
      <c r="U188" s="386"/>
      <c r="V188" s="386"/>
      <c r="W188" s="386"/>
      <c r="X188" s="386"/>
      <c r="Y188" s="386"/>
      <c r="Z188" s="386"/>
      <c r="AA188" s="386"/>
      <c r="AB188" s="386"/>
      <c r="AC188" s="386"/>
      <c r="AD188" s="386"/>
    </row>
    <row r="189" ht="23.25" customHeight="1">
      <c r="A189" s="386"/>
      <c r="B189" s="386"/>
      <c r="C189" s="386"/>
      <c r="D189" s="386"/>
      <c r="E189" s="386"/>
      <c r="F189" s="386"/>
      <c r="G189" s="386"/>
      <c r="H189" s="386"/>
      <c r="I189" s="386"/>
      <c r="J189" s="386"/>
      <c r="K189" s="386"/>
      <c r="L189" s="386"/>
      <c r="M189" s="386"/>
      <c r="N189" s="386"/>
      <c r="O189" s="386"/>
      <c r="P189" s="386"/>
      <c r="Q189" s="386"/>
      <c r="R189" s="386"/>
      <c r="S189" s="386"/>
      <c r="T189" s="386"/>
      <c r="U189" s="386"/>
      <c r="V189" s="386"/>
      <c r="W189" s="386"/>
      <c r="X189" s="386"/>
      <c r="Y189" s="386"/>
      <c r="Z189" s="386"/>
      <c r="AA189" s="386"/>
      <c r="AB189" s="386"/>
      <c r="AC189" s="386"/>
      <c r="AD189" s="386"/>
    </row>
    <row r="190" ht="23.25" customHeight="1">
      <c r="A190" s="386"/>
      <c r="B190" s="386"/>
      <c r="C190" s="386"/>
      <c r="D190" s="386"/>
      <c r="E190" s="386"/>
      <c r="F190" s="386"/>
      <c r="G190" s="386"/>
      <c r="H190" s="386"/>
      <c r="I190" s="386"/>
      <c r="J190" s="386"/>
      <c r="K190" s="386"/>
      <c r="L190" s="386"/>
      <c r="M190" s="386"/>
      <c r="N190" s="386"/>
      <c r="O190" s="386"/>
      <c r="P190" s="386"/>
      <c r="Q190" s="386"/>
      <c r="R190" s="386"/>
      <c r="S190" s="386"/>
      <c r="T190" s="386"/>
      <c r="U190" s="386"/>
      <c r="V190" s="386"/>
      <c r="W190" s="386"/>
      <c r="X190" s="386"/>
      <c r="Y190" s="386"/>
      <c r="Z190" s="386"/>
      <c r="AA190" s="386"/>
      <c r="AB190" s="386"/>
      <c r="AC190" s="386"/>
      <c r="AD190" s="386"/>
    </row>
    <row r="191" ht="23.25" customHeight="1">
      <c r="A191" s="386"/>
      <c r="B191" s="386"/>
      <c r="C191" s="386"/>
      <c r="D191" s="386"/>
      <c r="E191" s="386"/>
      <c r="F191" s="386"/>
      <c r="G191" s="386"/>
      <c r="H191" s="386"/>
      <c r="I191" s="386"/>
      <c r="J191" s="386"/>
      <c r="K191" s="386"/>
      <c r="L191" s="386"/>
      <c r="M191" s="386"/>
      <c r="N191" s="386"/>
      <c r="O191" s="386"/>
      <c r="P191" s="386"/>
      <c r="Q191" s="386"/>
      <c r="R191" s="386"/>
      <c r="S191" s="386"/>
      <c r="T191" s="386"/>
      <c r="U191" s="386"/>
      <c r="V191" s="386"/>
      <c r="W191" s="386"/>
      <c r="X191" s="386"/>
      <c r="Y191" s="386"/>
      <c r="Z191" s="386"/>
      <c r="AA191" s="386"/>
      <c r="AB191" s="386"/>
      <c r="AC191" s="386"/>
      <c r="AD191" s="386"/>
    </row>
    <row r="192" ht="23.25" customHeight="1">
      <c r="A192" s="386"/>
      <c r="B192" s="386"/>
      <c r="C192" s="386"/>
      <c r="D192" s="386"/>
      <c r="E192" s="386"/>
      <c r="F192" s="386"/>
      <c r="G192" s="386"/>
      <c r="H192" s="386"/>
      <c r="I192" s="386"/>
      <c r="J192" s="386"/>
      <c r="K192" s="386"/>
      <c r="L192" s="386"/>
      <c r="M192" s="386"/>
      <c r="N192" s="386"/>
      <c r="O192" s="386"/>
      <c r="P192" s="386"/>
      <c r="Q192" s="386"/>
      <c r="R192" s="386"/>
      <c r="S192" s="386"/>
      <c r="T192" s="386"/>
      <c r="U192" s="386"/>
      <c r="V192" s="386"/>
      <c r="W192" s="386"/>
      <c r="X192" s="386"/>
      <c r="Y192" s="386"/>
      <c r="Z192" s="386"/>
      <c r="AA192" s="386"/>
      <c r="AB192" s="386"/>
      <c r="AC192" s="386"/>
      <c r="AD192" s="386"/>
    </row>
    <row r="193" ht="23.25" customHeight="1">
      <c r="A193" s="386"/>
      <c r="B193" s="386"/>
      <c r="C193" s="386"/>
      <c r="D193" s="386"/>
      <c r="E193" s="386"/>
      <c r="F193" s="386"/>
      <c r="G193" s="386"/>
      <c r="H193" s="386"/>
      <c r="I193" s="386"/>
      <c r="J193" s="386"/>
      <c r="K193" s="386"/>
      <c r="L193" s="386"/>
      <c r="M193" s="386"/>
      <c r="N193" s="386"/>
      <c r="O193" s="386"/>
      <c r="P193" s="386"/>
      <c r="Q193" s="386"/>
      <c r="R193" s="386"/>
      <c r="S193" s="386"/>
      <c r="T193" s="386"/>
      <c r="U193" s="386"/>
      <c r="V193" s="386"/>
      <c r="W193" s="386"/>
      <c r="X193" s="386"/>
      <c r="Y193" s="386"/>
      <c r="Z193" s="386"/>
      <c r="AA193" s="386"/>
      <c r="AB193" s="386"/>
      <c r="AC193" s="386"/>
      <c r="AD193" s="386"/>
    </row>
    <row r="194" ht="23.25" customHeight="1">
      <c r="A194" s="386"/>
      <c r="B194" s="386"/>
      <c r="C194" s="386"/>
      <c r="D194" s="386"/>
      <c r="E194" s="386"/>
      <c r="F194" s="386"/>
      <c r="G194" s="386"/>
      <c r="H194" s="386"/>
      <c r="I194" s="386"/>
      <c r="J194" s="386"/>
      <c r="K194" s="386"/>
      <c r="L194" s="386"/>
      <c r="M194" s="386"/>
      <c r="N194" s="386"/>
      <c r="O194" s="386"/>
      <c r="P194" s="386"/>
      <c r="Q194" s="386"/>
      <c r="R194" s="386"/>
      <c r="S194" s="386"/>
      <c r="T194" s="386"/>
      <c r="U194" s="386"/>
      <c r="V194" s="386"/>
      <c r="W194" s="386"/>
      <c r="X194" s="386"/>
      <c r="Y194" s="386"/>
      <c r="Z194" s="386"/>
      <c r="AA194" s="386"/>
      <c r="AB194" s="386"/>
      <c r="AC194" s="386"/>
      <c r="AD194" s="386"/>
    </row>
    <row r="195" ht="23.25" customHeight="1">
      <c r="A195" s="386"/>
      <c r="B195" s="386"/>
      <c r="C195" s="386"/>
      <c r="D195" s="386"/>
      <c r="E195" s="386"/>
      <c r="F195" s="386"/>
      <c r="G195" s="386"/>
      <c r="H195" s="386"/>
      <c r="I195" s="386"/>
      <c r="J195" s="386"/>
      <c r="K195" s="386"/>
      <c r="L195" s="386"/>
      <c r="M195" s="386"/>
      <c r="N195" s="386"/>
      <c r="O195" s="386"/>
      <c r="P195" s="386"/>
      <c r="Q195" s="386"/>
      <c r="R195" s="386"/>
      <c r="S195" s="386"/>
      <c r="T195" s="386"/>
      <c r="U195" s="386"/>
      <c r="V195" s="386"/>
      <c r="W195" s="386"/>
      <c r="X195" s="386"/>
      <c r="Y195" s="386"/>
      <c r="Z195" s="386"/>
      <c r="AA195" s="386"/>
      <c r="AB195" s="386"/>
      <c r="AC195" s="386"/>
      <c r="AD195" s="386"/>
    </row>
    <row r="196" ht="23.25" customHeight="1">
      <c r="A196" s="386"/>
      <c r="B196" s="386"/>
      <c r="C196" s="386"/>
      <c r="D196" s="386"/>
      <c r="E196" s="386"/>
      <c r="F196" s="386"/>
      <c r="G196" s="386"/>
      <c r="H196" s="386"/>
      <c r="I196" s="386"/>
      <c r="J196" s="386"/>
      <c r="K196" s="386"/>
      <c r="L196" s="386"/>
      <c r="M196" s="386"/>
      <c r="N196" s="386"/>
      <c r="O196" s="386"/>
      <c r="P196" s="386"/>
      <c r="Q196" s="386"/>
      <c r="R196" s="386"/>
      <c r="S196" s="386"/>
      <c r="T196" s="386"/>
      <c r="U196" s="386"/>
      <c r="V196" s="386"/>
      <c r="W196" s="386"/>
      <c r="X196" s="386"/>
      <c r="Y196" s="386"/>
      <c r="Z196" s="386"/>
      <c r="AA196" s="386"/>
      <c r="AB196" s="386"/>
      <c r="AC196" s="386"/>
      <c r="AD196" s="386"/>
    </row>
    <row r="197" ht="23.25" customHeight="1">
      <c r="A197" s="386"/>
      <c r="B197" s="386"/>
      <c r="C197" s="386"/>
      <c r="D197" s="386"/>
      <c r="E197" s="386"/>
      <c r="F197" s="386"/>
      <c r="G197" s="386"/>
      <c r="H197" s="386"/>
      <c r="I197" s="386"/>
      <c r="J197" s="386"/>
      <c r="K197" s="386"/>
      <c r="L197" s="386"/>
      <c r="M197" s="386"/>
      <c r="N197" s="386"/>
      <c r="O197" s="386"/>
      <c r="P197" s="386"/>
      <c r="Q197" s="386"/>
      <c r="R197" s="386"/>
      <c r="S197" s="386"/>
      <c r="T197" s="386"/>
      <c r="U197" s="386"/>
      <c r="V197" s="386"/>
      <c r="W197" s="386"/>
      <c r="X197" s="386"/>
      <c r="Y197" s="386"/>
      <c r="Z197" s="386"/>
      <c r="AA197" s="386"/>
      <c r="AB197" s="386"/>
      <c r="AC197" s="386"/>
      <c r="AD197" s="386"/>
    </row>
    <row r="198" ht="23.25" customHeight="1">
      <c r="A198" s="386"/>
      <c r="B198" s="386"/>
      <c r="C198" s="386"/>
      <c r="D198" s="386"/>
      <c r="E198" s="386"/>
      <c r="F198" s="386"/>
      <c r="G198" s="386"/>
      <c r="H198" s="386"/>
      <c r="I198" s="386"/>
      <c r="J198" s="386"/>
      <c r="K198" s="386"/>
      <c r="L198" s="386"/>
      <c r="M198" s="386"/>
      <c r="N198" s="386"/>
      <c r="O198" s="386"/>
      <c r="P198" s="386"/>
      <c r="Q198" s="386"/>
      <c r="R198" s="386"/>
      <c r="S198" s="386"/>
      <c r="T198" s="386"/>
      <c r="U198" s="386"/>
      <c r="V198" s="386"/>
      <c r="W198" s="386"/>
      <c r="X198" s="386"/>
      <c r="Y198" s="386"/>
      <c r="Z198" s="386"/>
      <c r="AA198" s="386"/>
      <c r="AB198" s="386"/>
      <c r="AC198" s="386"/>
      <c r="AD198" s="386"/>
    </row>
    <row r="199" ht="23.25" customHeight="1">
      <c r="A199" s="386"/>
      <c r="B199" s="386"/>
      <c r="C199" s="386"/>
      <c r="D199" s="386"/>
      <c r="E199" s="386"/>
      <c r="F199" s="386"/>
      <c r="G199" s="386"/>
      <c r="H199" s="386"/>
      <c r="I199" s="386"/>
      <c r="J199" s="386"/>
      <c r="K199" s="386"/>
      <c r="L199" s="386"/>
      <c r="M199" s="386"/>
      <c r="N199" s="386"/>
      <c r="O199" s="386"/>
      <c r="P199" s="386"/>
      <c r="Q199" s="386"/>
      <c r="R199" s="386"/>
      <c r="S199" s="386"/>
      <c r="T199" s="386"/>
      <c r="U199" s="386"/>
      <c r="V199" s="386"/>
      <c r="W199" s="386"/>
      <c r="X199" s="386"/>
      <c r="Y199" s="386"/>
      <c r="Z199" s="386"/>
      <c r="AA199" s="386"/>
      <c r="AB199" s="386"/>
      <c r="AC199" s="386"/>
      <c r="AD199" s="386"/>
    </row>
    <row r="200" ht="23.25" customHeight="1">
      <c r="A200" s="386"/>
      <c r="B200" s="386"/>
      <c r="C200" s="386"/>
      <c r="D200" s="386"/>
      <c r="E200" s="386"/>
      <c r="F200" s="386"/>
      <c r="G200" s="386"/>
      <c r="H200" s="386"/>
      <c r="I200" s="386"/>
      <c r="J200" s="386"/>
      <c r="K200" s="386"/>
      <c r="L200" s="386"/>
      <c r="M200" s="386"/>
      <c r="N200" s="386"/>
      <c r="O200" s="386"/>
      <c r="P200" s="386"/>
      <c r="Q200" s="386"/>
      <c r="R200" s="386"/>
      <c r="S200" s="386"/>
      <c r="T200" s="386"/>
      <c r="U200" s="386"/>
      <c r="V200" s="386"/>
      <c r="W200" s="386"/>
      <c r="X200" s="386"/>
      <c r="Y200" s="386"/>
      <c r="Z200" s="386"/>
      <c r="AA200" s="386"/>
      <c r="AB200" s="386"/>
      <c r="AC200" s="386"/>
      <c r="AD200" s="386"/>
    </row>
    <row r="201" ht="23.25" customHeight="1">
      <c r="A201" s="386"/>
      <c r="B201" s="386"/>
      <c r="C201" s="386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386"/>
      <c r="T201" s="386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</row>
    <row r="202" ht="23.25" customHeight="1">
      <c r="A202" s="386"/>
      <c r="B202" s="386"/>
      <c r="C202" s="386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386"/>
      <c r="T202" s="386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</row>
    <row r="203" ht="23.25" customHeight="1">
      <c r="A203" s="386"/>
      <c r="B203" s="386"/>
      <c r="C203" s="386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6"/>
      <c r="T203" s="386"/>
      <c r="U203" s="386"/>
      <c r="V203" s="386"/>
      <c r="W203" s="386"/>
      <c r="X203" s="386"/>
      <c r="Y203" s="386"/>
      <c r="Z203" s="386"/>
      <c r="AA203" s="386"/>
      <c r="AB203" s="386"/>
      <c r="AC203" s="386"/>
      <c r="AD203" s="386"/>
    </row>
    <row r="204" ht="23.25" customHeight="1">
      <c r="A204" s="386"/>
      <c r="B204" s="386"/>
      <c r="C204" s="386"/>
      <c r="D204" s="386"/>
      <c r="E204" s="386"/>
      <c r="F204" s="386"/>
      <c r="G204" s="386"/>
      <c r="H204" s="386"/>
      <c r="I204" s="386"/>
      <c r="J204" s="386"/>
      <c r="K204" s="386"/>
      <c r="L204" s="386"/>
      <c r="M204" s="386"/>
      <c r="N204" s="386"/>
      <c r="O204" s="386"/>
      <c r="P204" s="386"/>
      <c r="Q204" s="386"/>
      <c r="R204" s="386"/>
      <c r="S204" s="386"/>
      <c r="T204" s="386"/>
      <c r="U204" s="386"/>
      <c r="V204" s="386"/>
      <c r="W204" s="386"/>
      <c r="X204" s="386"/>
      <c r="Y204" s="386"/>
      <c r="Z204" s="386"/>
      <c r="AA204" s="386"/>
      <c r="AB204" s="386"/>
      <c r="AC204" s="386"/>
      <c r="AD204" s="386"/>
    </row>
    <row r="205" ht="23.25" customHeight="1">
      <c r="A205" s="386"/>
      <c r="B205" s="386"/>
      <c r="C205" s="386"/>
      <c r="D205" s="386"/>
      <c r="E205" s="386"/>
      <c r="F205" s="386"/>
      <c r="G205" s="386"/>
      <c r="H205" s="386"/>
      <c r="I205" s="386"/>
      <c r="J205" s="386"/>
      <c r="K205" s="386"/>
      <c r="L205" s="386"/>
      <c r="M205" s="386"/>
      <c r="N205" s="386"/>
      <c r="O205" s="386"/>
      <c r="P205" s="386"/>
      <c r="Q205" s="386"/>
      <c r="R205" s="386"/>
      <c r="S205" s="386"/>
      <c r="T205" s="386"/>
      <c r="U205" s="386"/>
      <c r="V205" s="386"/>
      <c r="W205" s="386"/>
      <c r="X205" s="386"/>
      <c r="Y205" s="386"/>
      <c r="Z205" s="386"/>
      <c r="AA205" s="386"/>
      <c r="AB205" s="386"/>
      <c r="AC205" s="386"/>
      <c r="AD205" s="386"/>
    </row>
    <row r="206" ht="23.25" customHeight="1">
      <c r="A206" s="386"/>
      <c r="B206" s="386"/>
      <c r="C206" s="386"/>
      <c r="D206" s="386"/>
      <c r="E206" s="386"/>
      <c r="F206" s="386"/>
      <c r="G206" s="386"/>
      <c r="H206" s="386"/>
      <c r="I206" s="386"/>
      <c r="J206" s="386"/>
      <c r="K206" s="386"/>
      <c r="L206" s="386"/>
      <c r="M206" s="386"/>
      <c r="N206" s="386"/>
      <c r="O206" s="386"/>
      <c r="P206" s="386"/>
      <c r="Q206" s="386"/>
      <c r="R206" s="386"/>
      <c r="S206" s="386"/>
      <c r="T206" s="386"/>
      <c r="U206" s="386"/>
      <c r="V206" s="386"/>
      <c r="W206" s="386"/>
      <c r="X206" s="386"/>
      <c r="Y206" s="386"/>
      <c r="Z206" s="386"/>
      <c r="AA206" s="386"/>
      <c r="AB206" s="386"/>
      <c r="AC206" s="386"/>
      <c r="AD206" s="386"/>
    </row>
    <row r="207" ht="23.25" customHeight="1">
      <c r="A207" s="386"/>
      <c r="B207" s="386"/>
      <c r="C207" s="386"/>
      <c r="D207" s="386"/>
      <c r="E207" s="386"/>
      <c r="F207" s="386"/>
      <c r="G207" s="386"/>
      <c r="H207" s="386"/>
      <c r="I207" s="386"/>
      <c r="J207" s="386"/>
      <c r="K207" s="386"/>
      <c r="L207" s="386"/>
      <c r="M207" s="386"/>
      <c r="N207" s="386"/>
      <c r="O207" s="386"/>
      <c r="P207" s="386"/>
      <c r="Q207" s="386"/>
      <c r="R207" s="386"/>
      <c r="S207" s="386"/>
      <c r="T207" s="386"/>
      <c r="U207" s="386"/>
      <c r="V207" s="386"/>
      <c r="W207" s="386"/>
      <c r="X207" s="386"/>
      <c r="Y207" s="386"/>
      <c r="Z207" s="386"/>
      <c r="AA207" s="386"/>
      <c r="AB207" s="386"/>
      <c r="AC207" s="386"/>
      <c r="AD207" s="386"/>
    </row>
    <row r="208" ht="23.25" customHeight="1">
      <c r="A208" s="386"/>
      <c r="B208" s="386"/>
      <c r="C208" s="386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386"/>
      <c r="T208" s="386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</row>
    <row r="209" ht="23.25" customHeight="1">
      <c r="A209" s="386"/>
      <c r="B209" s="386"/>
      <c r="C209" s="386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386"/>
      <c r="T209" s="386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</row>
    <row r="210" ht="23.25" customHeight="1">
      <c r="A210" s="386"/>
      <c r="B210" s="386"/>
      <c r="C210" s="386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6"/>
      <c r="T210" s="386"/>
      <c r="U210" s="386"/>
      <c r="V210" s="386"/>
      <c r="W210" s="386"/>
      <c r="X210" s="386"/>
      <c r="Y210" s="386"/>
      <c r="Z210" s="386"/>
      <c r="AA210" s="386"/>
      <c r="AB210" s="386"/>
      <c r="AC210" s="386"/>
      <c r="AD210" s="386"/>
    </row>
    <row r="211" ht="23.25" customHeight="1">
      <c r="A211" s="386"/>
      <c r="B211" s="386"/>
      <c r="C211" s="386"/>
      <c r="D211" s="386"/>
      <c r="E211" s="386"/>
      <c r="F211" s="386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86"/>
      <c r="R211" s="386"/>
      <c r="S211" s="386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86"/>
    </row>
    <row r="212" ht="23.25" customHeight="1">
      <c r="A212" s="386"/>
      <c r="B212" s="386"/>
      <c r="C212" s="386"/>
      <c r="D212" s="386"/>
      <c r="E212" s="386"/>
      <c r="F212" s="386"/>
      <c r="G212" s="386"/>
      <c r="H212" s="386"/>
      <c r="I212" s="386"/>
      <c r="J212" s="386"/>
      <c r="K212" s="386"/>
      <c r="L212" s="386"/>
      <c r="M212" s="386"/>
      <c r="N212" s="386"/>
      <c r="O212" s="386"/>
      <c r="P212" s="386"/>
      <c r="Q212" s="386"/>
      <c r="R212" s="386"/>
      <c r="S212" s="386"/>
      <c r="T212" s="386"/>
      <c r="U212" s="386"/>
      <c r="V212" s="386"/>
      <c r="W212" s="386"/>
      <c r="X212" s="386"/>
      <c r="Y212" s="386"/>
      <c r="Z212" s="386"/>
      <c r="AA212" s="386"/>
      <c r="AB212" s="386"/>
      <c r="AC212" s="386"/>
      <c r="AD212" s="386"/>
    </row>
    <row r="213" ht="23.25" customHeight="1">
      <c r="A213" s="386"/>
      <c r="B213" s="386"/>
      <c r="C213" s="386"/>
      <c r="D213" s="386"/>
      <c r="E213" s="386"/>
      <c r="F213" s="386"/>
      <c r="G213" s="386"/>
      <c r="H213" s="386"/>
      <c r="I213" s="386"/>
      <c r="J213" s="386"/>
      <c r="K213" s="386"/>
      <c r="L213" s="386"/>
      <c r="M213" s="386"/>
      <c r="N213" s="386"/>
      <c r="O213" s="386"/>
      <c r="P213" s="386"/>
      <c r="Q213" s="386"/>
      <c r="R213" s="386"/>
      <c r="S213" s="386"/>
      <c r="T213" s="386"/>
      <c r="U213" s="386"/>
      <c r="V213" s="386"/>
      <c r="W213" s="386"/>
      <c r="X213" s="386"/>
      <c r="Y213" s="386"/>
      <c r="Z213" s="386"/>
      <c r="AA213" s="386"/>
      <c r="AB213" s="386"/>
      <c r="AC213" s="386"/>
      <c r="AD213" s="386"/>
    </row>
    <row r="214" ht="23.25" customHeight="1">
      <c r="A214" s="386"/>
      <c r="B214" s="386"/>
      <c r="C214" s="386"/>
      <c r="D214" s="386"/>
      <c r="E214" s="386"/>
      <c r="F214" s="386"/>
      <c r="G214" s="386"/>
      <c r="H214" s="386"/>
      <c r="I214" s="386"/>
      <c r="J214" s="386"/>
      <c r="K214" s="386"/>
      <c r="L214" s="386"/>
      <c r="M214" s="386"/>
      <c r="N214" s="386"/>
      <c r="O214" s="386"/>
      <c r="P214" s="386"/>
      <c r="Q214" s="386"/>
      <c r="R214" s="386"/>
      <c r="S214" s="386"/>
      <c r="T214" s="386"/>
      <c r="U214" s="386"/>
      <c r="V214" s="386"/>
      <c r="W214" s="386"/>
      <c r="X214" s="386"/>
      <c r="Y214" s="386"/>
      <c r="Z214" s="386"/>
      <c r="AA214" s="386"/>
      <c r="AB214" s="386"/>
      <c r="AC214" s="386"/>
      <c r="AD214" s="386"/>
    </row>
    <row r="215" ht="23.25" customHeight="1">
      <c r="A215" s="386"/>
      <c r="B215" s="386"/>
      <c r="C215" s="386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386"/>
      <c r="T215" s="386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</row>
    <row r="216" ht="23.25" customHeight="1">
      <c r="A216" s="386"/>
      <c r="B216" s="386"/>
      <c r="C216" s="386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386"/>
      <c r="T216" s="386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</row>
    <row r="217" ht="23.25" customHeight="1">
      <c r="A217" s="386"/>
      <c r="B217" s="386"/>
      <c r="C217" s="386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6"/>
      <c r="T217" s="386"/>
      <c r="U217" s="386"/>
      <c r="V217" s="386"/>
      <c r="W217" s="386"/>
      <c r="X217" s="386"/>
      <c r="Y217" s="386"/>
      <c r="Z217" s="386"/>
      <c r="AA217" s="386"/>
      <c r="AB217" s="386"/>
      <c r="AC217" s="386"/>
      <c r="AD217" s="386"/>
    </row>
    <row r="218" ht="23.25" customHeight="1">
      <c r="A218" s="386"/>
      <c r="B218" s="386"/>
      <c r="C218" s="386"/>
      <c r="D218" s="386"/>
      <c r="E218" s="386"/>
      <c r="F218" s="386"/>
      <c r="G218" s="386"/>
      <c r="H218" s="386"/>
      <c r="I218" s="386"/>
      <c r="J218" s="386"/>
      <c r="K218" s="386"/>
      <c r="L218" s="386"/>
      <c r="M218" s="386"/>
      <c r="N218" s="386"/>
      <c r="O218" s="386"/>
      <c r="P218" s="386"/>
      <c r="Q218" s="386"/>
      <c r="R218" s="386"/>
      <c r="S218" s="386"/>
      <c r="T218" s="386"/>
      <c r="U218" s="386"/>
      <c r="V218" s="386"/>
      <c r="W218" s="386"/>
      <c r="X218" s="386"/>
      <c r="Y218" s="386"/>
      <c r="Z218" s="386"/>
      <c r="AA218" s="386"/>
      <c r="AB218" s="386"/>
      <c r="AC218" s="386"/>
      <c r="AD218" s="386"/>
    </row>
    <row r="219" ht="23.25" customHeight="1">
      <c r="A219" s="386"/>
      <c r="B219" s="386"/>
      <c r="C219" s="386"/>
      <c r="D219" s="386"/>
      <c r="E219" s="386"/>
      <c r="F219" s="386"/>
      <c r="G219" s="386"/>
      <c r="H219" s="386"/>
      <c r="I219" s="386"/>
      <c r="J219" s="386"/>
      <c r="K219" s="386"/>
      <c r="L219" s="386"/>
      <c r="M219" s="386"/>
      <c r="N219" s="386"/>
      <c r="O219" s="386"/>
      <c r="P219" s="386"/>
      <c r="Q219" s="386"/>
      <c r="R219" s="386"/>
      <c r="S219" s="386"/>
      <c r="T219" s="386"/>
      <c r="U219" s="386"/>
      <c r="V219" s="386"/>
      <c r="W219" s="386"/>
      <c r="X219" s="386"/>
      <c r="Y219" s="386"/>
      <c r="Z219" s="386"/>
      <c r="AA219" s="386"/>
      <c r="AB219" s="386"/>
      <c r="AC219" s="386"/>
      <c r="AD219" s="386"/>
    </row>
    <row r="220" ht="23.25" customHeight="1">
      <c r="A220" s="386"/>
      <c r="B220" s="386"/>
      <c r="C220" s="386"/>
      <c r="D220" s="386"/>
      <c r="E220" s="386"/>
      <c r="F220" s="386"/>
      <c r="G220" s="386"/>
      <c r="H220" s="386"/>
      <c r="I220" s="386"/>
      <c r="J220" s="386"/>
      <c r="K220" s="386"/>
      <c r="L220" s="386"/>
      <c r="M220" s="386"/>
      <c r="N220" s="386"/>
      <c r="O220" s="386"/>
      <c r="P220" s="386"/>
      <c r="Q220" s="386"/>
      <c r="R220" s="386"/>
      <c r="S220" s="386"/>
      <c r="T220" s="386"/>
      <c r="U220" s="386"/>
      <c r="V220" s="386"/>
      <c r="W220" s="386"/>
      <c r="X220" s="386"/>
      <c r="Y220" s="386"/>
      <c r="Z220" s="386"/>
      <c r="AA220" s="386"/>
      <c r="AB220" s="386"/>
      <c r="AC220" s="386"/>
      <c r="AD220" s="386"/>
    </row>
    <row r="221" ht="23.25" customHeight="1">
      <c r="A221" s="386"/>
      <c r="B221" s="386"/>
      <c r="C221" s="386"/>
      <c r="D221" s="386"/>
      <c r="E221" s="386"/>
      <c r="F221" s="386"/>
      <c r="G221" s="386"/>
      <c r="H221" s="386"/>
      <c r="I221" s="386"/>
      <c r="J221" s="386"/>
      <c r="K221" s="386"/>
      <c r="L221" s="386"/>
      <c r="M221" s="386"/>
      <c r="N221" s="386"/>
      <c r="O221" s="386"/>
      <c r="P221" s="386"/>
      <c r="Q221" s="386"/>
      <c r="R221" s="386"/>
      <c r="S221" s="386"/>
      <c r="T221" s="386"/>
      <c r="U221" s="386"/>
      <c r="V221" s="386"/>
      <c r="W221" s="386"/>
      <c r="X221" s="386"/>
      <c r="Y221" s="386"/>
      <c r="Z221" s="386"/>
      <c r="AA221" s="386"/>
      <c r="AB221" s="386"/>
      <c r="AC221" s="386"/>
      <c r="AD221" s="386"/>
    </row>
    <row r="222" ht="23.25" customHeight="1">
      <c r="A222" s="386"/>
      <c r="B222" s="386"/>
      <c r="C222" s="386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386"/>
      <c r="T222" s="386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</row>
    <row r="223" ht="23.25" customHeight="1">
      <c r="A223" s="386"/>
      <c r="B223" s="386"/>
      <c r="C223" s="386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386"/>
      <c r="T223" s="386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</row>
    <row r="224" ht="23.25" customHeight="1">
      <c r="A224" s="386"/>
      <c r="B224" s="386"/>
      <c r="C224" s="386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6"/>
      <c r="T224" s="386"/>
      <c r="U224" s="386"/>
      <c r="V224" s="386"/>
      <c r="W224" s="386"/>
      <c r="X224" s="386"/>
      <c r="Y224" s="386"/>
      <c r="Z224" s="386"/>
      <c r="AA224" s="386"/>
      <c r="AB224" s="386"/>
      <c r="AC224" s="386"/>
      <c r="AD224" s="386"/>
    </row>
    <row r="225" ht="23.25" customHeight="1">
      <c r="A225" s="386"/>
      <c r="B225" s="386"/>
      <c r="C225" s="386"/>
      <c r="D225" s="386"/>
      <c r="E225" s="386"/>
      <c r="F225" s="386"/>
      <c r="G225" s="386"/>
      <c r="H225" s="386"/>
      <c r="I225" s="386"/>
      <c r="J225" s="386"/>
      <c r="K225" s="386"/>
      <c r="L225" s="386"/>
      <c r="M225" s="386"/>
      <c r="N225" s="386"/>
      <c r="O225" s="386"/>
      <c r="P225" s="386"/>
      <c r="Q225" s="386"/>
      <c r="R225" s="386"/>
      <c r="S225" s="386"/>
      <c r="T225" s="386"/>
      <c r="U225" s="386"/>
      <c r="V225" s="386"/>
      <c r="W225" s="386"/>
      <c r="X225" s="386"/>
      <c r="Y225" s="386"/>
      <c r="Z225" s="386"/>
      <c r="AA225" s="386"/>
      <c r="AB225" s="386"/>
      <c r="AC225" s="386"/>
      <c r="AD225" s="386"/>
    </row>
    <row r="226" ht="23.25" customHeight="1">
      <c r="A226" s="386"/>
      <c r="B226" s="386"/>
      <c r="C226" s="386"/>
      <c r="D226" s="386"/>
      <c r="E226" s="386"/>
      <c r="F226" s="386"/>
      <c r="G226" s="386"/>
      <c r="H226" s="386"/>
      <c r="I226" s="386"/>
      <c r="J226" s="386"/>
      <c r="K226" s="386"/>
      <c r="L226" s="386"/>
      <c r="M226" s="386"/>
      <c r="N226" s="386"/>
      <c r="O226" s="386"/>
      <c r="P226" s="386"/>
      <c r="Q226" s="386"/>
      <c r="R226" s="386"/>
      <c r="S226" s="386"/>
      <c r="T226" s="386"/>
      <c r="U226" s="386"/>
      <c r="V226" s="386"/>
      <c r="W226" s="386"/>
      <c r="X226" s="386"/>
      <c r="Y226" s="386"/>
      <c r="Z226" s="386"/>
      <c r="AA226" s="386"/>
      <c r="AB226" s="386"/>
      <c r="AC226" s="386"/>
      <c r="AD226" s="386"/>
    </row>
    <row r="227" ht="23.25" customHeight="1">
      <c r="A227" s="386"/>
      <c r="B227" s="386"/>
      <c r="C227" s="386"/>
      <c r="D227" s="386"/>
      <c r="E227" s="386"/>
      <c r="F227" s="386"/>
      <c r="G227" s="386"/>
      <c r="H227" s="386"/>
      <c r="I227" s="386"/>
      <c r="J227" s="386"/>
      <c r="K227" s="386"/>
      <c r="L227" s="386"/>
      <c r="M227" s="386"/>
      <c r="N227" s="386"/>
      <c r="O227" s="386"/>
      <c r="P227" s="386"/>
      <c r="Q227" s="386"/>
      <c r="R227" s="386"/>
      <c r="S227" s="386"/>
      <c r="T227" s="386"/>
      <c r="U227" s="386"/>
      <c r="V227" s="386"/>
      <c r="W227" s="386"/>
      <c r="X227" s="386"/>
      <c r="Y227" s="386"/>
      <c r="Z227" s="386"/>
      <c r="AA227" s="386"/>
      <c r="AB227" s="386"/>
      <c r="AC227" s="386"/>
      <c r="AD227" s="386"/>
    </row>
    <row r="228" ht="23.25" customHeight="1">
      <c r="A228" s="386"/>
      <c r="B228" s="386"/>
      <c r="C228" s="386"/>
      <c r="D228" s="386"/>
      <c r="E228" s="386"/>
      <c r="F228" s="386"/>
      <c r="G228" s="386"/>
      <c r="H228" s="386"/>
      <c r="I228" s="386"/>
      <c r="J228" s="386"/>
      <c r="K228" s="386"/>
      <c r="L228" s="386"/>
      <c r="M228" s="386"/>
      <c r="N228" s="386"/>
      <c r="O228" s="386"/>
      <c r="P228" s="386"/>
      <c r="Q228" s="386"/>
      <c r="R228" s="386"/>
      <c r="S228" s="386"/>
      <c r="T228" s="386"/>
      <c r="U228" s="386"/>
      <c r="V228" s="386"/>
      <c r="W228" s="386"/>
      <c r="X228" s="386"/>
      <c r="Y228" s="386"/>
      <c r="Z228" s="386"/>
      <c r="AA228" s="386"/>
      <c r="AB228" s="386"/>
      <c r="AC228" s="386"/>
      <c r="AD228" s="386"/>
    </row>
    <row r="229" ht="23.25" customHeight="1">
      <c r="A229" s="386"/>
      <c r="B229" s="386"/>
      <c r="C229" s="386"/>
      <c r="D229" s="386"/>
      <c r="E229" s="386"/>
      <c r="F229" s="386"/>
      <c r="G229" s="386"/>
      <c r="H229" s="386"/>
      <c r="I229" s="386"/>
      <c r="J229" s="386"/>
      <c r="K229" s="386"/>
      <c r="L229" s="386"/>
      <c r="M229" s="386"/>
      <c r="N229" s="386"/>
      <c r="O229" s="386"/>
      <c r="P229" s="386"/>
      <c r="Q229" s="386"/>
      <c r="R229" s="386"/>
      <c r="S229" s="386"/>
      <c r="T229" s="386"/>
      <c r="U229" s="386"/>
      <c r="V229" s="386"/>
      <c r="W229" s="386"/>
      <c r="X229" s="386"/>
      <c r="Y229" s="386"/>
      <c r="Z229" s="386"/>
      <c r="AA229" s="386"/>
      <c r="AB229" s="386"/>
      <c r="AC229" s="386"/>
      <c r="AD229" s="386"/>
    </row>
    <row r="230" ht="23.25" customHeight="1">
      <c r="A230" s="386"/>
      <c r="B230" s="386"/>
      <c r="C230" s="386"/>
      <c r="D230" s="386"/>
      <c r="E230" s="386"/>
      <c r="F230" s="386"/>
      <c r="G230" s="386"/>
      <c r="H230" s="386"/>
      <c r="I230" s="386"/>
      <c r="J230" s="386"/>
      <c r="K230" s="386"/>
      <c r="L230" s="386"/>
      <c r="M230" s="386"/>
      <c r="N230" s="386"/>
      <c r="O230" s="386"/>
      <c r="P230" s="386"/>
      <c r="Q230" s="386"/>
      <c r="R230" s="386"/>
      <c r="S230" s="386"/>
      <c r="T230" s="386"/>
      <c r="U230" s="386"/>
      <c r="V230" s="386"/>
      <c r="W230" s="386"/>
      <c r="X230" s="386"/>
      <c r="Y230" s="386"/>
      <c r="Z230" s="386"/>
      <c r="AA230" s="386"/>
      <c r="AB230" s="386"/>
      <c r="AC230" s="386"/>
      <c r="AD230" s="386"/>
    </row>
    <row r="231" ht="23.25" customHeight="1">
      <c r="A231" s="386"/>
      <c r="B231" s="386"/>
      <c r="C231" s="386"/>
      <c r="D231" s="386"/>
      <c r="E231" s="386"/>
      <c r="F231" s="386"/>
      <c r="G231" s="386"/>
      <c r="H231" s="386"/>
      <c r="I231" s="386"/>
      <c r="J231" s="386"/>
      <c r="K231" s="386"/>
      <c r="L231" s="386"/>
      <c r="M231" s="386"/>
      <c r="N231" s="386"/>
      <c r="O231" s="386"/>
      <c r="P231" s="386"/>
      <c r="Q231" s="386"/>
      <c r="R231" s="386"/>
      <c r="S231" s="386"/>
      <c r="T231" s="386"/>
      <c r="U231" s="386"/>
      <c r="V231" s="386"/>
      <c r="W231" s="386"/>
      <c r="X231" s="386"/>
      <c r="Y231" s="386"/>
      <c r="Z231" s="386"/>
      <c r="AA231" s="386"/>
      <c r="AB231" s="386"/>
      <c r="AC231" s="386"/>
      <c r="AD231" s="386"/>
    </row>
    <row r="232" ht="23.25" customHeight="1">
      <c r="A232" s="386"/>
      <c r="B232" s="386"/>
      <c r="C232" s="386"/>
      <c r="D232" s="386"/>
      <c r="E232" s="386"/>
      <c r="F232" s="386"/>
      <c r="G232" s="386"/>
      <c r="H232" s="386"/>
      <c r="I232" s="386"/>
      <c r="J232" s="386"/>
      <c r="K232" s="386"/>
      <c r="L232" s="386"/>
      <c r="M232" s="386"/>
      <c r="N232" s="386"/>
      <c r="O232" s="386"/>
      <c r="P232" s="386"/>
      <c r="Q232" s="386"/>
      <c r="R232" s="386"/>
      <c r="S232" s="386"/>
      <c r="T232" s="386"/>
      <c r="U232" s="386"/>
      <c r="V232" s="386"/>
      <c r="W232" s="386"/>
      <c r="X232" s="386"/>
      <c r="Y232" s="386"/>
      <c r="Z232" s="386"/>
      <c r="AA232" s="386"/>
      <c r="AB232" s="386"/>
      <c r="AC232" s="386"/>
      <c r="AD232" s="386"/>
    </row>
    <row r="233" ht="23.25" customHeight="1">
      <c r="A233" s="386"/>
      <c r="B233" s="386"/>
      <c r="C233" s="386"/>
      <c r="D233" s="386"/>
      <c r="E233" s="386"/>
      <c r="F233" s="386"/>
      <c r="G233" s="386"/>
      <c r="H233" s="386"/>
      <c r="I233" s="386"/>
      <c r="J233" s="386"/>
      <c r="K233" s="386"/>
      <c r="L233" s="386"/>
      <c r="M233" s="386"/>
      <c r="N233" s="386"/>
      <c r="O233" s="386"/>
      <c r="P233" s="386"/>
      <c r="Q233" s="386"/>
      <c r="R233" s="386"/>
      <c r="S233" s="386"/>
      <c r="T233" s="386"/>
      <c r="U233" s="386"/>
      <c r="V233" s="386"/>
      <c r="W233" s="386"/>
      <c r="X233" s="386"/>
      <c r="Y233" s="386"/>
      <c r="Z233" s="386"/>
      <c r="AA233" s="386"/>
      <c r="AB233" s="386"/>
      <c r="AC233" s="386"/>
      <c r="AD233" s="386"/>
    </row>
    <row r="234" ht="23.25" customHeight="1">
      <c r="A234" s="386"/>
      <c r="B234" s="386"/>
      <c r="C234" s="386"/>
      <c r="D234" s="386"/>
      <c r="E234" s="386"/>
      <c r="F234" s="386"/>
      <c r="G234" s="386"/>
      <c r="H234" s="386"/>
      <c r="I234" s="386"/>
      <c r="J234" s="386"/>
      <c r="K234" s="386"/>
      <c r="L234" s="386"/>
      <c r="M234" s="386"/>
      <c r="N234" s="386"/>
      <c r="O234" s="386"/>
      <c r="P234" s="386"/>
      <c r="Q234" s="386"/>
      <c r="R234" s="386"/>
      <c r="S234" s="386"/>
      <c r="T234" s="386"/>
      <c r="U234" s="386"/>
      <c r="V234" s="386"/>
      <c r="W234" s="386"/>
      <c r="X234" s="386"/>
      <c r="Y234" s="386"/>
      <c r="Z234" s="386"/>
      <c r="AA234" s="386"/>
      <c r="AB234" s="386"/>
      <c r="AC234" s="386"/>
      <c r="AD234" s="386"/>
    </row>
    <row r="235" ht="23.25" customHeight="1">
      <c r="A235" s="386"/>
      <c r="B235" s="386"/>
      <c r="C235" s="386"/>
      <c r="D235" s="386"/>
      <c r="E235" s="386"/>
      <c r="F235" s="386"/>
      <c r="G235" s="386"/>
      <c r="H235" s="386"/>
      <c r="I235" s="386"/>
      <c r="J235" s="386"/>
      <c r="K235" s="386"/>
      <c r="L235" s="386"/>
      <c r="M235" s="386"/>
      <c r="N235" s="386"/>
      <c r="O235" s="386"/>
      <c r="P235" s="386"/>
      <c r="Q235" s="386"/>
      <c r="R235" s="386"/>
      <c r="S235" s="386"/>
      <c r="T235" s="386"/>
      <c r="U235" s="386"/>
      <c r="V235" s="386"/>
      <c r="W235" s="386"/>
      <c r="X235" s="386"/>
      <c r="Y235" s="386"/>
      <c r="Z235" s="386"/>
      <c r="AA235" s="386"/>
      <c r="AB235" s="386"/>
      <c r="AC235" s="386"/>
      <c r="AD235" s="386"/>
    </row>
    <row r="236" ht="23.25" customHeight="1">
      <c r="A236" s="386"/>
      <c r="B236" s="386"/>
      <c r="C236" s="386"/>
      <c r="D236" s="386"/>
      <c r="E236" s="386"/>
      <c r="F236" s="386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86"/>
      <c r="R236" s="386"/>
      <c r="S236" s="386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86"/>
    </row>
    <row r="237" ht="23.25" customHeight="1">
      <c r="A237" s="386"/>
      <c r="B237" s="386"/>
      <c r="C237" s="386"/>
      <c r="D237" s="386"/>
      <c r="E237" s="386"/>
      <c r="F237" s="386"/>
      <c r="G237" s="386"/>
      <c r="H237" s="386"/>
      <c r="I237" s="386"/>
      <c r="J237" s="386"/>
      <c r="K237" s="386"/>
      <c r="L237" s="386"/>
      <c r="M237" s="386"/>
      <c r="N237" s="386"/>
      <c r="O237" s="386"/>
      <c r="P237" s="386"/>
      <c r="Q237" s="386"/>
      <c r="R237" s="386"/>
      <c r="S237" s="386"/>
      <c r="T237" s="386"/>
      <c r="U237" s="386"/>
      <c r="V237" s="386"/>
      <c r="W237" s="386"/>
      <c r="X237" s="386"/>
      <c r="Y237" s="386"/>
      <c r="Z237" s="386"/>
      <c r="AA237" s="386"/>
      <c r="AB237" s="386"/>
      <c r="AC237" s="386"/>
      <c r="AD237" s="386"/>
    </row>
    <row r="238" ht="23.25" customHeight="1">
      <c r="A238" s="386"/>
      <c r="B238" s="386"/>
      <c r="C238" s="386"/>
      <c r="D238" s="386"/>
      <c r="E238" s="386"/>
      <c r="F238" s="386"/>
      <c r="G238" s="386"/>
      <c r="H238" s="386"/>
      <c r="I238" s="386"/>
      <c r="J238" s="386"/>
      <c r="K238" s="386"/>
      <c r="L238" s="386"/>
      <c r="M238" s="386"/>
      <c r="N238" s="386"/>
      <c r="O238" s="386"/>
      <c r="P238" s="386"/>
      <c r="Q238" s="386"/>
      <c r="R238" s="386"/>
      <c r="S238" s="386"/>
      <c r="T238" s="386"/>
      <c r="U238" s="386"/>
      <c r="V238" s="386"/>
      <c r="W238" s="386"/>
      <c r="X238" s="386"/>
      <c r="Y238" s="386"/>
      <c r="Z238" s="386"/>
      <c r="AA238" s="386"/>
      <c r="AB238" s="386"/>
      <c r="AC238" s="386"/>
      <c r="AD238" s="386"/>
    </row>
    <row r="239" ht="23.25" customHeight="1">
      <c r="A239" s="386"/>
      <c r="B239" s="386"/>
      <c r="C239" s="386"/>
      <c r="D239" s="386"/>
      <c r="E239" s="386"/>
      <c r="F239" s="386"/>
      <c r="G239" s="386"/>
      <c r="H239" s="386"/>
      <c r="I239" s="386"/>
      <c r="J239" s="386"/>
      <c r="K239" s="386"/>
      <c r="L239" s="386"/>
      <c r="M239" s="386"/>
      <c r="N239" s="386"/>
      <c r="O239" s="386"/>
      <c r="P239" s="386"/>
      <c r="Q239" s="386"/>
      <c r="R239" s="386"/>
      <c r="S239" s="386"/>
      <c r="T239" s="386"/>
      <c r="U239" s="386"/>
      <c r="V239" s="386"/>
      <c r="W239" s="386"/>
      <c r="X239" s="386"/>
      <c r="Y239" s="386"/>
      <c r="Z239" s="386"/>
      <c r="AA239" s="386"/>
      <c r="AB239" s="386"/>
      <c r="AC239" s="386"/>
      <c r="AD239" s="386"/>
    </row>
    <row r="240" ht="23.25" customHeight="1">
      <c r="A240" s="386"/>
      <c r="B240" s="386"/>
      <c r="C240" s="386"/>
      <c r="D240" s="386"/>
      <c r="E240" s="386"/>
      <c r="F240" s="386"/>
      <c r="G240" s="386"/>
      <c r="H240" s="386"/>
      <c r="I240" s="386"/>
      <c r="J240" s="386"/>
      <c r="K240" s="386"/>
      <c r="L240" s="386"/>
      <c r="M240" s="386"/>
      <c r="N240" s="386"/>
      <c r="O240" s="386"/>
      <c r="P240" s="386"/>
      <c r="Q240" s="386"/>
      <c r="R240" s="386"/>
      <c r="S240" s="386"/>
      <c r="T240" s="386"/>
      <c r="U240" s="386"/>
      <c r="V240" s="386"/>
      <c r="W240" s="386"/>
      <c r="X240" s="386"/>
      <c r="Y240" s="386"/>
      <c r="Z240" s="386"/>
      <c r="AA240" s="386"/>
      <c r="AB240" s="386"/>
      <c r="AC240" s="386"/>
      <c r="AD240" s="386"/>
    </row>
    <row r="241" ht="23.25" customHeight="1">
      <c r="A241" s="386"/>
      <c r="B241" s="386"/>
      <c r="C241" s="386"/>
      <c r="D241" s="386"/>
      <c r="E241" s="386"/>
      <c r="F241" s="386"/>
      <c r="G241" s="386"/>
      <c r="H241" s="386"/>
      <c r="I241" s="386"/>
      <c r="J241" s="386"/>
      <c r="K241" s="386"/>
      <c r="L241" s="386"/>
      <c r="M241" s="386"/>
      <c r="N241" s="386"/>
      <c r="O241" s="386"/>
      <c r="P241" s="386"/>
      <c r="Q241" s="386"/>
      <c r="R241" s="386"/>
      <c r="S241" s="386"/>
      <c r="T241" s="386"/>
      <c r="U241" s="386"/>
      <c r="V241" s="386"/>
      <c r="W241" s="386"/>
      <c r="X241" s="386"/>
      <c r="Y241" s="386"/>
      <c r="Z241" s="386"/>
      <c r="AA241" s="386"/>
      <c r="AB241" s="386"/>
      <c r="AC241" s="386"/>
      <c r="AD241" s="386"/>
    </row>
    <row r="242" ht="23.25" customHeight="1">
      <c r="A242" s="386"/>
      <c r="B242" s="386"/>
      <c r="C242" s="386"/>
      <c r="D242" s="386"/>
      <c r="E242" s="386"/>
      <c r="F242" s="386"/>
      <c r="G242" s="386"/>
      <c r="H242" s="386"/>
      <c r="I242" s="386"/>
      <c r="J242" s="386"/>
      <c r="K242" s="386"/>
      <c r="L242" s="386"/>
      <c r="M242" s="386"/>
      <c r="N242" s="386"/>
      <c r="O242" s="386"/>
      <c r="P242" s="386"/>
      <c r="Q242" s="386"/>
      <c r="R242" s="386"/>
      <c r="S242" s="386"/>
      <c r="T242" s="386"/>
      <c r="U242" s="386"/>
      <c r="V242" s="386"/>
      <c r="W242" s="386"/>
      <c r="X242" s="386"/>
      <c r="Y242" s="386"/>
      <c r="Z242" s="386"/>
      <c r="AA242" s="386"/>
      <c r="AB242" s="386"/>
      <c r="AC242" s="386"/>
      <c r="AD242" s="386"/>
    </row>
    <row r="243" ht="23.25" customHeight="1">
      <c r="A243" s="386"/>
      <c r="B243" s="386"/>
      <c r="C243" s="386"/>
      <c r="D243" s="386"/>
      <c r="E243" s="386"/>
      <c r="F243" s="386"/>
      <c r="G243" s="386"/>
      <c r="H243" s="386"/>
      <c r="I243" s="386"/>
      <c r="J243" s="386"/>
      <c r="K243" s="386"/>
      <c r="L243" s="386"/>
      <c r="M243" s="386"/>
      <c r="N243" s="386"/>
      <c r="O243" s="386"/>
      <c r="P243" s="386"/>
      <c r="Q243" s="386"/>
      <c r="R243" s="386"/>
      <c r="S243" s="386"/>
      <c r="T243" s="386"/>
      <c r="U243" s="386"/>
      <c r="V243" s="386"/>
      <c r="W243" s="386"/>
      <c r="X243" s="386"/>
      <c r="Y243" s="386"/>
      <c r="Z243" s="386"/>
      <c r="AA243" s="386"/>
      <c r="AB243" s="386"/>
      <c r="AC243" s="386"/>
      <c r="AD243" s="386"/>
    </row>
    <row r="244" ht="23.25" customHeight="1">
      <c r="A244" s="386"/>
      <c r="B244" s="386"/>
      <c r="C244" s="386"/>
      <c r="D244" s="386"/>
      <c r="E244" s="386"/>
      <c r="F244" s="386"/>
      <c r="G244" s="386"/>
      <c r="H244" s="386"/>
      <c r="I244" s="386"/>
      <c r="J244" s="386"/>
      <c r="K244" s="386"/>
      <c r="L244" s="386"/>
      <c r="M244" s="386"/>
      <c r="N244" s="386"/>
      <c r="O244" s="386"/>
      <c r="P244" s="386"/>
      <c r="Q244" s="386"/>
      <c r="R244" s="386"/>
      <c r="S244" s="386"/>
      <c r="T244" s="386"/>
      <c r="U244" s="386"/>
      <c r="V244" s="386"/>
      <c r="W244" s="386"/>
      <c r="X244" s="386"/>
      <c r="Y244" s="386"/>
      <c r="Z244" s="386"/>
      <c r="AA244" s="386"/>
      <c r="AB244" s="386"/>
      <c r="AC244" s="386"/>
      <c r="AD244" s="386"/>
    </row>
    <row r="245" ht="23.25" customHeight="1">
      <c r="A245" s="386"/>
      <c r="B245" s="386"/>
      <c r="C245" s="386"/>
      <c r="D245" s="386"/>
      <c r="E245" s="386"/>
      <c r="F245" s="386"/>
      <c r="G245" s="386"/>
      <c r="H245" s="386"/>
      <c r="I245" s="386"/>
      <c r="J245" s="386"/>
      <c r="K245" s="386"/>
      <c r="L245" s="386"/>
      <c r="M245" s="386"/>
      <c r="N245" s="386"/>
      <c r="O245" s="386"/>
      <c r="P245" s="386"/>
      <c r="Q245" s="386"/>
      <c r="R245" s="386"/>
      <c r="S245" s="386"/>
      <c r="T245" s="386"/>
      <c r="U245" s="386"/>
      <c r="V245" s="386"/>
      <c r="W245" s="386"/>
      <c r="X245" s="386"/>
      <c r="Y245" s="386"/>
      <c r="Z245" s="386"/>
      <c r="AA245" s="386"/>
      <c r="AB245" s="386"/>
      <c r="AC245" s="386"/>
      <c r="AD245" s="386"/>
    </row>
    <row r="246" ht="23.25" customHeight="1">
      <c r="A246" s="386"/>
      <c r="B246" s="386"/>
      <c r="C246" s="386"/>
      <c r="D246" s="386"/>
      <c r="E246" s="386"/>
      <c r="F246" s="386"/>
      <c r="G246" s="386"/>
      <c r="H246" s="386"/>
      <c r="I246" s="386"/>
      <c r="J246" s="386"/>
      <c r="K246" s="386"/>
      <c r="L246" s="386"/>
      <c r="M246" s="386"/>
      <c r="N246" s="386"/>
      <c r="O246" s="386"/>
      <c r="P246" s="386"/>
      <c r="Q246" s="386"/>
      <c r="R246" s="386"/>
      <c r="S246" s="386"/>
      <c r="T246" s="386"/>
      <c r="U246" s="386"/>
      <c r="V246" s="386"/>
      <c r="W246" s="386"/>
      <c r="X246" s="386"/>
      <c r="Y246" s="386"/>
      <c r="Z246" s="386"/>
      <c r="AA246" s="386"/>
      <c r="AB246" s="386"/>
      <c r="AC246" s="386"/>
      <c r="AD246" s="386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85" t="s">
        <v>53</v>
      </c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</row>
    <row r="2" ht="23.25" customHeight="1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86"/>
      <c r="W2" s="386"/>
      <c r="X2" s="386"/>
      <c r="Y2" s="386"/>
      <c r="Z2" s="386"/>
      <c r="AA2" s="386"/>
      <c r="AB2" s="386"/>
      <c r="AC2" s="386"/>
      <c r="AD2" s="386"/>
    </row>
    <row r="3" ht="23.25" customHeight="1">
      <c r="A3" s="385" t="s">
        <v>238</v>
      </c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  <c r="AA3" s="386"/>
      <c r="AB3" s="386"/>
      <c r="AC3" s="386"/>
      <c r="AD3" s="386"/>
    </row>
    <row r="4" ht="23.25" customHeight="1">
      <c r="A4" s="385" t="s">
        <v>239</v>
      </c>
      <c r="B4" s="388" t="s">
        <v>260</v>
      </c>
      <c r="C4" s="386"/>
      <c r="D4" s="386"/>
      <c r="E4" s="386"/>
      <c r="F4" s="386"/>
      <c r="G4" s="386"/>
      <c r="H4" s="386"/>
      <c r="I4" s="386"/>
      <c r="J4" s="386"/>
      <c r="K4" s="386"/>
      <c r="L4" s="386"/>
      <c r="M4" s="386"/>
      <c r="N4" s="386"/>
      <c r="O4" s="386"/>
      <c r="P4" s="386"/>
      <c r="Q4" s="386"/>
      <c r="R4" s="386"/>
      <c r="S4" s="386"/>
      <c r="T4" s="386"/>
      <c r="U4" s="386"/>
      <c r="V4" s="386"/>
      <c r="W4" s="386"/>
      <c r="X4" s="386"/>
      <c r="Y4" s="386"/>
      <c r="Z4" s="386"/>
      <c r="AA4" s="386"/>
      <c r="AB4" s="386"/>
      <c r="AC4" s="386"/>
      <c r="AD4" s="386"/>
    </row>
    <row r="5" ht="23.25" customHeight="1">
      <c r="A5" s="385"/>
      <c r="B5" s="429"/>
      <c r="C5" s="386"/>
      <c r="D5" s="386"/>
      <c r="E5" s="386"/>
      <c r="F5" s="386"/>
      <c r="G5" s="386"/>
      <c r="H5" s="386"/>
      <c r="I5" s="386"/>
      <c r="J5" s="386"/>
      <c r="K5" s="386"/>
      <c r="L5" s="386"/>
      <c r="M5" s="386"/>
      <c r="N5" s="386"/>
      <c r="O5" s="386"/>
      <c r="P5" s="386"/>
      <c r="Q5" s="386"/>
      <c r="R5" s="386"/>
      <c r="S5" s="386"/>
      <c r="T5" s="386"/>
      <c r="U5" s="386"/>
      <c r="V5" s="386"/>
      <c r="W5" s="386"/>
      <c r="X5" s="386"/>
      <c r="Y5" s="386"/>
      <c r="Z5" s="386"/>
      <c r="AA5" s="386"/>
      <c r="AB5" s="386"/>
      <c r="AC5" s="386"/>
      <c r="AD5" s="386"/>
    </row>
    <row r="6" ht="24.0" customHeight="1">
      <c r="A6" s="386"/>
      <c r="B6" s="386"/>
      <c r="C6" s="386"/>
      <c r="D6" s="386"/>
      <c r="E6" s="386"/>
      <c r="F6" s="386"/>
      <c r="G6" s="386"/>
      <c r="H6" s="386"/>
      <c r="I6" s="389">
        <v>0.011</v>
      </c>
      <c r="J6" s="386"/>
      <c r="K6" s="386"/>
      <c r="L6" s="386"/>
      <c r="M6" s="386"/>
      <c r="N6" s="386"/>
      <c r="O6" s="386"/>
      <c r="P6" s="386"/>
      <c r="Q6" s="386"/>
      <c r="R6" s="386"/>
      <c r="S6" s="386"/>
      <c r="T6" s="386"/>
      <c r="U6" s="386"/>
      <c r="V6" s="386"/>
      <c r="W6" s="386"/>
      <c r="X6" s="386"/>
      <c r="Y6" s="386"/>
      <c r="Z6" s="386"/>
      <c r="AA6" s="386"/>
      <c r="AB6" s="386"/>
      <c r="AC6" s="386"/>
      <c r="AD6" s="386"/>
    </row>
    <row r="7" ht="68.25" customHeight="1">
      <c r="A7" s="390" t="s">
        <v>241</v>
      </c>
      <c r="B7" s="391" t="s">
        <v>242</v>
      </c>
      <c r="C7" s="392" t="s">
        <v>243</v>
      </c>
      <c r="D7" s="392" t="s">
        <v>244</v>
      </c>
      <c r="E7" s="392" t="s">
        <v>245</v>
      </c>
      <c r="F7" s="392" t="s">
        <v>246</v>
      </c>
      <c r="G7" s="430" t="s">
        <v>247</v>
      </c>
      <c r="H7" s="393" t="s">
        <v>12</v>
      </c>
      <c r="I7" s="431" t="s">
        <v>263</v>
      </c>
      <c r="J7" s="394" t="s">
        <v>262</v>
      </c>
      <c r="K7" s="386"/>
      <c r="L7" s="386"/>
      <c r="M7" s="386"/>
      <c r="N7" s="386"/>
      <c r="O7" s="386"/>
      <c r="P7" s="386"/>
      <c r="Q7" s="386"/>
      <c r="R7" s="386"/>
      <c r="S7" s="386"/>
      <c r="T7" s="386"/>
      <c r="U7" s="386"/>
      <c r="V7" s="386"/>
      <c r="W7" s="386"/>
      <c r="X7" s="386"/>
      <c r="Y7" s="386"/>
      <c r="Z7" s="386"/>
      <c r="AA7" s="386"/>
      <c r="AB7" s="386"/>
      <c r="AC7" s="386"/>
      <c r="AD7" s="386"/>
    </row>
    <row r="8" ht="38.25" customHeight="1">
      <c r="A8" s="432" t="str">
        <f>+SUMMARY!#REF!</f>
        <v>#ERROR!</v>
      </c>
      <c r="B8" s="397" t="str">
        <f>+SUMMARY!#REF!</f>
        <v>#ERROR!</v>
      </c>
      <c r="C8" s="397" t="str">
        <f>+SUMMARY!#REF!</f>
        <v>#ERROR!</v>
      </c>
      <c r="D8" s="397" t="str">
        <f>+SUMMARY!#REF!</f>
        <v>#ERROR!</v>
      </c>
      <c r="E8" s="397" t="str">
        <f>+SUMMARY!#REF!</f>
        <v>#ERROR!</v>
      </c>
      <c r="F8" s="397" t="str">
        <f>+SUMMARY!#REF!</f>
        <v>#ERROR!</v>
      </c>
      <c r="G8" s="397" t="str">
        <f>+SUMMARY!#REF!</f>
        <v>#ERROR!</v>
      </c>
      <c r="H8" s="433" t="str">
        <f>+SUMMARY!#REF!</f>
        <v>#ERROR!</v>
      </c>
      <c r="I8" s="434" t="str">
        <f t="shared" ref="I8:I38" si="1">E8/B8</f>
        <v>#ERROR!</v>
      </c>
      <c r="J8" s="400"/>
      <c r="K8" s="386"/>
      <c r="L8" s="386"/>
      <c r="M8" s="386"/>
      <c r="N8" s="386"/>
      <c r="O8" s="386"/>
      <c r="P8" s="386"/>
      <c r="Q8" s="386"/>
      <c r="R8" s="386"/>
      <c r="S8" s="386"/>
      <c r="T8" s="386"/>
      <c r="U8" s="386"/>
      <c r="V8" s="386"/>
      <c r="W8" s="386"/>
      <c r="X8" s="386"/>
      <c r="Y8" s="386"/>
      <c r="Z8" s="386"/>
      <c r="AA8" s="386"/>
      <c r="AB8" s="386"/>
      <c r="AC8" s="386"/>
      <c r="AD8" s="386"/>
    </row>
    <row r="9" ht="38.25" customHeight="1">
      <c r="A9" s="432">
        <f>+SUMMARY!A7</f>
        <v>44347</v>
      </c>
      <c r="B9" s="397">
        <f>+SUMMARY!B7</f>
        <v>35101.17942</v>
      </c>
      <c r="C9" s="397">
        <f>+SUMMARY!C7</f>
        <v>30871.37738</v>
      </c>
      <c r="D9" s="397">
        <f>+SUMMARY!D7</f>
        <v>0</v>
      </c>
      <c r="E9" s="397">
        <f>+SUMMARY!E7</f>
        <v>386.4</v>
      </c>
      <c r="F9" s="397">
        <f>+SUMMARY!F7</f>
        <v>978.8658672</v>
      </c>
      <c r="G9" s="397">
        <f>+SUMMARY!G7</f>
        <v>2864.536171</v>
      </c>
      <c r="H9" s="433" t="str">
        <f>+SUMMARY!H7</f>
        <v/>
      </c>
      <c r="I9" s="434">
        <f t="shared" si="1"/>
        <v>0.01100817711</v>
      </c>
      <c r="J9" s="400"/>
      <c r="K9" s="386"/>
      <c r="L9" s="386"/>
      <c r="M9" s="386"/>
      <c r="N9" s="386"/>
      <c r="O9" s="386"/>
      <c r="P9" s="386"/>
      <c r="Q9" s="386"/>
      <c r="R9" s="386"/>
      <c r="S9" s="386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86"/>
    </row>
    <row r="10" ht="38.25" customHeight="1">
      <c r="A10" s="432">
        <f>+SUMMARY!A8</f>
        <v>44348</v>
      </c>
      <c r="B10" s="397">
        <f>+SUMMARY!B8</f>
        <v>38490.38187</v>
      </c>
      <c r="C10" s="397">
        <f>+SUMMARY!C8</f>
        <v>33457.34203</v>
      </c>
      <c r="D10" s="397">
        <f>+SUMMARY!D8</f>
        <v>0</v>
      </c>
      <c r="E10" s="397">
        <f>+SUMMARY!E8</f>
        <v>262.2</v>
      </c>
      <c r="F10" s="397">
        <f>+SUMMARY!F8</f>
        <v>1602.669801</v>
      </c>
      <c r="G10" s="397">
        <f>+SUMMARY!G8</f>
        <v>3168.170037</v>
      </c>
      <c r="H10" s="433" t="str">
        <f>+SUMMARY!H8</f>
        <v/>
      </c>
      <c r="I10" s="434">
        <f t="shared" si="1"/>
        <v>0.006812091418</v>
      </c>
      <c r="J10" s="400"/>
      <c r="K10" s="386"/>
      <c r="L10" s="386"/>
      <c r="M10" s="386"/>
      <c r="N10" s="386"/>
      <c r="O10" s="386"/>
      <c r="P10" s="386"/>
      <c r="Q10" s="386"/>
      <c r="R10" s="386"/>
      <c r="S10" s="386"/>
      <c r="T10" s="386"/>
      <c r="U10" s="386"/>
      <c r="V10" s="386"/>
      <c r="W10" s="386"/>
      <c r="X10" s="386"/>
      <c r="Y10" s="386"/>
      <c r="Z10" s="386"/>
      <c r="AA10" s="386"/>
      <c r="AB10" s="386"/>
      <c r="AC10" s="386"/>
      <c r="AD10" s="386"/>
    </row>
    <row r="11" ht="38.25" customHeight="1">
      <c r="A11" s="432">
        <f>+SUMMARY!A9</f>
        <v>44349</v>
      </c>
      <c r="B11" s="397">
        <f>+SUMMARY!B9</f>
        <v>30280.04234</v>
      </c>
      <c r="C11" s="397">
        <f>+SUMMARY!C9</f>
        <v>25828.82484</v>
      </c>
      <c r="D11" s="397">
        <f>+SUMMARY!D9</f>
        <v>0</v>
      </c>
      <c r="E11" s="397">
        <f>+SUMMARY!E9</f>
        <v>439.8</v>
      </c>
      <c r="F11" s="397">
        <f>+SUMMARY!F9</f>
        <v>1600.438909</v>
      </c>
      <c r="G11" s="397">
        <f>+SUMMARY!G9</f>
        <v>2410.978593</v>
      </c>
      <c r="H11" s="433" t="str">
        <f>+SUMMARY!H9</f>
        <v/>
      </c>
      <c r="I11" s="434">
        <f t="shared" si="1"/>
        <v>0.01452441827</v>
      </c>
      <c r="J11" s="400"/>
      <c r="K11" s="386"/>
      <c r="L11" s="386"/>
      <c r="M11" s="386"/>
      <c r="N11" s="386"/>
      <c r="O11" s="386"/>
      <c r="P11" s="386"/>
      <c r="Q11" s="386"/>
      <c r="R11" s="386"/>
      <c r="S11" s="386"/>
      <c r="T11" s="386"/>
      <c r="U11" s="386"/>
      <c r="V11" s="386"/>
      <c r="W11" s="386"/>
      <c r="X11" s="386"/>
      <c r="Y11" s="386"/>
      <c r="Z11" s="386"/>
      <c r="AA11" s="386"/>
      <c r="AB11" s="386"/>
      <c r="AC11" s="386"/>
      <c r="AD11" s="386"/>
    </row>
    <row r="12" ht="38.25" customHeight="1">
      <c r="A12" s="432">
        <f>+SUMMARY!A10</f>
        <v>44350</v>
      </c>
      <c r="B12" s="397">
        <f>+SUMMARY!B10</f>
        <v>29841.9022</v>
      </c>
      <c r="C12" s="397">
        <f>+SUMMARY!C10</f>
        <v>25638.02627</v>
      </c>
      <c r="D12" s="397">
        <f>+SUMMARY!D10</f>
        <v>0</v>
      </c>
      <c r="E12" s="397">
        <f>+SUMMARY!E10</f>
        <v>263.4</v>
      </c>
      <c r="F12" s="397">
        <f>+SUMMARY!F10</f>
        <v>1458.972407</v>
      </c>
      <c r="G12" s="397">
        <f>+SUMMARY!G10</f>
        <v>2481.50352</v>
      </c>
      <c r="H12" s="433" t="str">
        <f>+SUMMARY!H10</f>
        <v/>
      </c>
      <c r="I12" s="434">
        <f t="shared" si="1"/>
        <v>0.008826515089</v>
      </c>
      <c r="J12" s="400"/>
      <c r="K12" s="386"/>
      <c r="L12" s="386"/>
      <c r="M12" s="386"/>
      <c r="N12" s="386"/>
      <c r="O12" s="386"/>
      <c r="P12" s="386"/>
      <c r="Q12" s="386"/>
      <c r="R12" s="386"/>
      <c r="S12" s="386"/>
      <c r="T12" s="386"/>
      <c r="U12" s="386"/>
      <c r="V12" s="386"/>
      <c r="W12" s="386"/>
      <c r="X12" s="386"/>
      <c r="Y12" s="386"/>
      <c r="Z12" s="386"/>
      <c r="AA12" s="386"/>
      <c r="AB12" s="386"/>
      <c r="AC12" s="386"/>
      <c r="AD12" s="386"/>
    </row>
    <row r="13" ht="38.25" customHeight="1">
      <c r="A13" s="432">
        <f>+SUMMARY!A11</f>
        <v>44351</v>
      </c>
      <c r="B13" s="397">
        <f>+SUMMARY!B11</f>
        <v>39240.68417</v>
      </c>
      <c r="C13" s="397">
        <f>+SUMMARY!C11</f>
        <v>34617.7333</v>
      </c>
      <c r="D13" s="397">
        <f>+SUMMARY!D11</f>
        <v>0</v>
      </c>
      <c r="E13" s="397">
        <f>+SUMMARY!E11</f>
        <v>244.2</v>
      </c>
      <c r="F13" s="397">
        <f>+SUMMARY!F11</f>
        <v>1036.614712</v>
      </c>
      <c r="G13" s="397">
        <f>+SUMMARY!G11</f>
        <v>3342.136162</v>
      </c>
      <c r="H13" s="433" t="str">
        <f>+SUMMARY!H11</f>
        <v/>
      </c>
      <c r="I13" s="434">
        <f t="shared" si="1"/>
        <v>0.006223133086</v>
      </c>
      <c r="J13" s="400"/>
      <c r="K13" s="386"/>
      <c r="L13" s="386"/>
      <c r="M13" s="386"/>
      <c r="N13" s="386"/>
      <c r="O13" s="386"/>
      <c r="P13" s="386"/>
      <c r="Q13" s="386"/>
      <c r="R13" s="386"/>
      <c r="S13" s="386"/>
      <c r="T13" s="386"/>
      <c r="U13" s="386"/>
      <c r="V13" s="386"/>
      <c r="W13" s="386"/>
      <c r="X13" s="386"/>
      <c r="Y13" s="386"/>
      <c r="Z13" s="386"/>
      <c r="AA13" s="386"/>
      <c r="AB13" s="386"/>
      <c r="AC13" s="386"/>
      <c r="AD13" s="386"/>
    </row>
    <row r="14" ht="38.25" customHeight="1">
      <c r="A14" s="432">
        <f>+SUMMARY!A12</f>
        <v>44352</v>
      </c>
      <c r="B14" s="397">
        <f>+SUMMARY!B12</f>
        <v>27833.71302</v>
      </c>
      <c r="C14" s="397">
        <f>+SUMMARY!C12</f>
        <v>24459.03206</v>
      </c>
      <c r="D14" s="397">
        <f>+SUMMARY!D12</f>
        <v>0</v>
      </c>
      <c r="E14" s="397">
        <f>+SUMMARY!E12</f>
        <v>203.4</v>
      </c>
      <c r="F14" s="397">
        <f>+SUMMARY!F12</f>
        <v>719.0384146</v>
      </c>
      <c r="G14" s="397">
        <f>+SUMMARY!G12</f>
        <v>2452.242544</v>
      </c>
      <c r="H14" s="433" t="str">
        <f>+SUMMARY!H12</f>
        <v/>
      </c>
      <c r="I14" s="434">
        <f t="shared" si="1"/>
        <v>0.007307684744</v>
      </c>
      <c r="J14" s="435"/>
      <c r="K14" s="436"/>
      <c r="L14" s="436"/>
      <c r="M14" s="436"/>
      <c r="N14" s="436"/>
      <c r="O14" s="436"/>
      <c r="P14" s="436"/>
      <c r="Q14" s="436"/>
      <c r="R14" s="436"/>
      <c r="S14" s="436"/>
      <c r="T14" s="436"/>
      <c r="U14" s="436"/>
      <c r="V14" s="436"/>
      <c r="W14" s="436"/>
      <c r="X14" s="436"/>
      <c r="Y14" s="436"/>
      <c r="Z14" s="436"/>
      <c r="AA14" s="436"/>
      <c r="AB14" s="436"/>
      <c r="AC14" s="436"/>
      <c r="AD14" s="436"/>
    </row>
    <row r="15" ht="38.25" customHeight="1">
      <c r="A15" s="432">
        <f>+SUMMARY!A13</f>
        <v>44354</v>
      </c>
      <c r="B15" s="397">
        <f>+SUMMARY!B13</f>
        <v>18590.1386</v>
      </c>
      <c r="C15" s="397">
        <f>+SUMMARY!C13</f>
        <v>16757.86863</v>
      </c>
      <c r="D15" s="397">
        <f>+SUMMARY!D13</f>
        <v>0</v>
      </c>
      <c r="E15" s="397">
        <f>+SUMMARY!E13</f>
        <v>162.6</v>
      </c>
      <c r="F15" s="397">
        <f>+SUMMARY!F13</f>
        <v>274.2402776</v>
      </c>
      <c r="G15" s="397">
        <f>+SUMMARY!G13</f>
        <v>1395.429697</v>
      </c>
      <c r="H15" s="433" t="str">
        <f>+SUMMARY!H13</f>
        <v>#REF!</v>
      </c>
      <c r="I15" s="434">
        <f t="shared" si="1"/>
        <v>0.008746572766</v>
      </c>
      <c r="J15" s="400"/>
      <c r="K15" s="386"/>
      <c r="L15" s="386"/>
      <c r="M15" s="386"/>
      <c r="N15" s="386"/>
      <c r="O15" s="386"/>
      <c r="P15" s="386"/>
      <c r="Q15" s="386"/>
      <c r="R15" s="386"/>
      <c r="S15" s="386"/>
      <c r="T15" s="386"/>
      <c r="U15" s="386"/>
      <c r="V15" s="386"/>
      <c r="W15" s="386"/>
      <c r="X15" s="386"/>
      <c r="Y15" s="386"/>
      <c r="Z15" s="386"/>
      <c r="AA15" s="386"/>
      <c r="AB15" s="386"/>
      <c r="AC15" s="386"/>
      <c r="AD15" s="386"/>
    </row>
    <row r="16" ht="38.25" customHeight="1">
      <c r="A16" s="432">
        <f>+SUMMARY!A14</f>
        <v>44355</v>
      </c>
      <c r="B16" s="397">
        <f>+SUMMARY!B14</f>
        <v>26302.63816</v>
      </c>
      <c r="C16" s="397">
        <f>+SUMMARY!C14</f>
        <v>22499.51073</v>
      </c>
      <c r="D16" s="397">
        <f>+SUMMARY!D14</f>
        <v>0</v>
      </c>
      <c r="E16" s="397">
        <f>+SUMMARY!E14</f>
        <v>328.8</v>
      </c>
      <c r="F16" s="397">
        <f>+SUMMARY!F14</f>
        <v>985.5691144</v>
      </c>
      <c r="G16" s="397">
        <f>+SUMMARY!G14</f>
        <v>2488.758319</v>
      </c>
      <c r="H16" s="433" t="str">
        <f>+SUMMARY!H14</f>
        <v/>
      </c>
      <c r="I16" s="434">
        <f t="shared" si="1"/>
        <v>0.0125006472</v>
      </c>
      <c r="J16" s="400"/>
      <c r="K16" s="386"/>
      <c r="L16" s="386"/>
      <c r="M16" s="386"/>
      <c r="N16" s="386"/>
      <c r="O16" s="386"/>
      <c r="P16" s="386"/>
      <c r="Q16" s="386"/>
      <c r="R16" s="386"/>
      <c r="S16" s="386"/>
      <c r="T16" s="386"/>
      <c r="U16" s="386"/>
      <c r="V16" s="386"/>
      <c r="W16" s="386"/>
      <c r="X16" s="386"/>
      <c r="Y16" s="386"/>
      <c r="Z16" s="386"/>
      <c r="AA16" s="386"/>
      <c r="AB16" s="386"/>
      <c r="AC16" s="386"/>
      <c r="AD16" s="386"/>
    </row>
    <row r="17" ht="38.25" customHeight="1">
      <c r="A17" s="432">
        <f>+SUMMARY!A15</f>
        <v>44356</v>
      </c>
      <c r="B17" s="397">
        <f>+SUMMARY!B15</f>
        <v>26364.55411</v>
      </c>
      <c r="C17" s="397">
        <f>+SUMMARY!C15</f>
        <v>23918.85103</v>
      </c>
      <c r="D17" s="397">
        <f>+SUMMARY!D15</f>
        <v>0</v>
      </c>
      <c r="E17" s="397">
        <f>+SUMMARY!E15</f>
        <v>152.4</v>
      </c>
      <c r="F17" s="397">
        <f>+SUMMARY!F15</f>
        <v>837.3042642</v>
      </c>
      <c r="G17" s="397">
        <f>+SUMMARY!G15</f>
        <v>1455.998822</v>
      </c>
      <c r="H17" s="433" t="str">
        <f>+SUMMARY!H15</f>
        <v/>
      </c>
      <c r="I17" s="434">
        <f t="shared" si="1"/>
        <v>0.00578048843</v>
      </c>
      <c r="J17" s="400"/>
      <c r="K17" s="386"/>
      <c r="L17" s="386"/>
      <c r="M17" s="386"/>
      <c r="N17" s="386"/>
      <c r="O17" s="386"/>
      <c r="P17" s="386"/>
      <c r="Q17" s="386"/>
      <c r="R17" s="386"/>
      <c r="S17" s="386"/>
      <c r="T17" s="386"/>
      <c r="U17" s="386"/>
      <c r="V17" s="386"/>
      <c r="W17" s="386"/>
      <c r="X17" s="386"/>
      <c r="Y17" s="386"/>
      <c r="Z17" s="386"/>
      <c r="AA17" s="386"/>
      <c r="AB17" s="386"/>
      <c r="AC17" s="386"/>
      <c r="AD17" s="386"/>
    </row>
    <row r="18" ht="38.25" customHeight="1">
      <c r="A18" s="432">
        <f>+SUMMARY!A16</f>
        <v>44357</v>
      </c>
      <c r="B18" s="397">
        <f>+SUMMARY!B16</f>
        <v>33020.12586</v>
      </c>
      <c r="C18" s="397">
        <f>+SUMMARY!C16</f>
        <v>28880.98186</v>
      </c>
      <c r="D18" s="397">
        <f>+SUMMARY!D16</f>
        <v>0</v>
      </c>
      <c r="E18" s="397">
        <f>+SUMMARY!E16</f>
        <v>238.2</v>
      </c>
      <c r="F18" s="397">
        <f>+SUMMARY!F16</f>
        <v>1208.084291</v>
      </c>
      <c r="G18" s="397">
        <f>+SUMMARY!G16</f>
        <v>2692.859711</v>
      </c>
      <c r="H18" s="433" t="str">
        <f>+SUMMARY!H16</f>
        <v/>
      </c>
      <c r="I18" s="434">
        <f t="shared" si="1"/>
        <v>0.007213782316</v>
      </c>
      <c r="J18" s="400"/>
      <c r="K18" s="386"/>
      <c r="L18" s="386"/>
      <c r="M18" s="386"/>
      <c r="N18" s="386"/>
      <c r="O18" s="386"/>
      <c r="P18" s="386"/>
      <c r="Q18" s="386"/>
      <c r="R18" s="386"/>
      <c r="S18" s="386"/>
      <c r="T18" s="386"/>
      <c r="U18" s="386"/>
      <c r="V18" s="386"/>
      <c r="W18" s="386"/>
      <c r="X18" s="386"/>
      <c r="Y18" s="386"/>
      <c r="Z18" s="386"/>
      <c r="AA18" s="386"/>
      <c r="AB18" s="386"/>
      <c r="AC18" s="386"/>
      <c r="AD18" s="386"/>
    </row>
    <row r="19" ht="38.25" customHeight="1">
      <c r="A19" s="432">
        <f>+SUMMARY!A17</f>
        <v>44358</v>
      </c>
      <c r="B19" s="397">
        <f>+SUMMARY!B17</f>
        <v>14859.99189</v>
      </c>
      <c r="C19" s="397">
        <f>+SUMMARY!C17</f>
        <v>12707.00091</v>
      </c>
      <c r="D19" s="397">
        <f>+SUMMARY!D17</f>
        <v>0</v>
      </c>
      <c r="E19" s="397">
        <f>+SUMMARY!E17</f>
        <v>138.6</v>
      </c>
      <c r="F19" s="397">
        <f>+SUMMARY!F17</f>
        <v>786.2242803</v>
      </c>
      <c r="G19" s="397">
        <f>+SUMMARY!G17</f>
        <v>1228.166692</v>
      </c>
      <c r="H19" s="433" t="str">
        <f>+SUMMARY!H17</f>
        <v/>
      </c>
      <c r="I19" s="434">
        <f t="shared" si="1"/>
        <v>0.009327057583</v>
      </c>
      <c r="J19" s="400"/>
      <c r="K19" s="386"/>
      <c r="L19" s="386"/>
      <c r="M19" s="386"/>
      <c r="N19" s="386"/>
      <c r="O19" s="386"/>
      <c r="P19" s="386"/>
      <c r="Q19" s="386"/>
      <c r="R19" s="386"/>
      <c r="S19" s="386"/>
      <c r="T19" s="386"/>
      <c r="U19" s="386"/>
      <c r="V19" s="386"/>
      <c r="W19" s="386"/>
      <c r="X19" s="386"/>
      <c r="Y19" s="386"/>
      <c r="Z19" s="386"/>
      <c r="AA19" s="386"/>
      <c r="AB19" s="386"/>
      <c r="AC19" s="386"/>
      <c r="AD19" s="386"/>
    </row>
    <row r="20" ht="38.25" customHeight="1">
      <c r="A20" s="432">
        <f>+SUMMARY!A18</f>
        <v>44359</v>
      </c>
      <c r="B20" s="397">
        <f>+SUMMARY!B18</f>
        <v>18324.71731</v>
      </c>
      <c r="C20" s="397">
        <f>+SUMMARY!C18</f>
        <v>15995.98773</v>
      </c>
      <c r="D20" s="397">
        <f>+SUMMARY!D18</f>
        <v>0</v>
      </c>
      <c r="E20" s="397">
        <f>+SUMMARY!E18</f>
        <v>203.4</v>
      </c>
      <c r="F20" s="397">
        <f>+SUMMARY!F18</f>
        <v>558.7497036</v>
      </c>
      <c r="G20" s="397">
        <f>+SUMMARY!G18</f>
        <v>1566.57988</v>
      </c>
      <c r="H20" s="433" t="str">
        <f>+SUMMARY!H18</f>
        <v/>
      </c>
      <c r="I20" s="434">
        <f t="shared" si="1"/>
        <v>0.01109976195</v>
      </c>
      <c r="J20" s="400"/>
      <c r="K20" s="386"/>
      <c r="L20" s="386"/>
      <c r="M20" s="386"/>
      <c r="N20" s="386"/>
      <c r="O20" s="386"/>
      <c r="P20" s="386"/>
      <c r="Q20" s="386"/>
      <c r="R20" s="386"/>
      <c r="S20" s="386"/>
      <c r="T20" s="386"/>
      <c r="U20" s="386"/>
      <c r="V20" s="386"/>
      <c r="W20" s="386"/>
      <c r="X20" s="386"/>
      <c r="Y20" s="386"/>
      <c r="Z20" s="386"/>
      <c r="AA20" s="386"/>
      <c r="AB20" s="386"/>
      <c r="AC20" s="386"/>
      <c r="AD20" s="386"/>
    </row>
    <row r="21" ht="38.25" customHeight="1">
      <c r="A21" s="432">
        <f>+SUMMARY!A19</f>
        <v>44361</v>
      </c>
      <c r="B21" s="397">
        <f>+SUMMARY!B19</f>
        <v>23482.246</v>
      </c>
      <c r="C21" s="397">
        <f>+SUMMARY!C19</f>
        <v>22008.36222</v>
      </c>
      <c r="D21" s="397">
        <f>+SUMMARY!D19</f>
        <v>0</v>
      </c>
      <c r="E21" s="397">
        <f>+SUMMARY!E19</f>
        <v>88.8</v>
      </c>
      <c r="F21" s="397">
        <f>+SUMMARY!F19</f>
        <v>566.4113804</v>
      </c>
      <c r="G21" s="397">
        <f>+SUMMARY!G19</f>
        <v>818.6724032</v>
      </c>
      <c r="H21" s="433" t="str">
        <f>+SUMMARY!H19</f>
        <v/>
      </c>
      <c r="I21" s="434">
        <f t="shared" si="1"/>
        <v>0.003781580348</v>
      </c>
      <c r="J21" s="400"/>
      <c r="K21" s="386"/>
      <c r="L21" s="386"/>
      <c r="M21" s="386"/>
      <c r="N21" s="386"/>
      <c r="O21" s="386"/>
      <c r="P21" s="386"/>
      <c r="Q21" s="386"/>
      <c r="R21" s="386"/>
      <c r="S21" s="386"/>
      <c r="T21" s="386"/>
      <c r="U21" s="386"/>
      <c r="V21" s="386"/>
      <c r="W21" s="386"/>
      <c r="X21" s="386"/>
      <c r="Y21" s="386"/>
      <c r="Z21" s="386"/>
      <c r="AA21" s="386"/>
      <c r="AB21" s="386"/>
      <c r="AC21" s="386"/>
      <c r="AD21" s="386"/>
    </row>
    <row r="22" ht="38.25" customHeight="1">
      <c r="A22" s="432">
        <f>+SUMMARY!A20</f>
        <v>44362</v>
      </c>
      <c r="B22" s="397">
        <f>+SUMMARY!B20</f>
        <v>16499.764</v>
      </c>
      <c r="C22" s="397">
        <f>+SUMMARY!C20</f>
        <v>14104.97092</v>
      </c>
      <c r="D22" s="397">
        <f>+SUMMARY!D20</f>
        <v>551.43441</v>
      </c>
      <c r="E22" s="397">
        <f>+SUMMARY!E20</f>
        <v>175.2</v>
      </c>
      <c r="F22" s="397">
        <f>+SUMMARY!F20</f>
        <v>809.7384969</v>
      </c>
      <c r="G22" s="397">
        <f>+SUMMARY!G20</f>
        <v>858.4201691</v>
      </c>
      <c r="H22" s="433" t="str">
        <f>+SUMMARY!H20</f>
        <v/>
      </c>
      <c r="I22" s="434">
        <f t="shared" si="1"/>
        <v>0.01061833369</v>
      </c>
      <c r="J22" s="400"/>
      <c r="K22" s="386"/>
      <c r="L22" s="386"/>
      <c r="M22" s="386"/>
      <c r="N22" s="386"/>
      <c r="O22" s="386"/>
      <c r="P22" s="386"/>
      <c r="Q22" s="386"/>
      <c r="R22" s="386"/>
      <c r="S22" s="386"/>
      <c r="T22" s="386"/>
      <c r="U22" s="386"/>
      <c r="V22" s="386"/>
      <c r="W22" s="386"/>
      <c r="X22" s="386"/>
      <c r="Y22" s="386"/>
      <c r="Z22" s="386"/>
      <c r="AA22" s="386"/>
      <c r="AB22" s="386"/>
      <c r="AC22" s="386"/>
      <c r="AD22" s="386"/>
    </row>
    <row r="23" ht="38.25" customHeight="1">
      <c r="A23" s="432">
        <f>+SUMMARY!A21</f>
        <v>44363</v>
      </c>
      <c r="B23" s="397">
        <f>+SUMMARY!B21</f>
        <v>31925.2777</v>
      </c>
      <c r="C23" s="397">
        <f>+SUMMARY!C21</f>
        <v>28252.88352</v>
      </c>
      <c r="D23" s="397">
        <f>+SUMMARY!D21</f>
        <v>0</v>
      </c>
      <c r="E23" s="397">
        <f>+SUMMARY!E21</f>
        <v>223.2</v>
      </c>
      <c r="F23" s="397">
        <f>+SUMMARY!F21</f>
        <v>1256.161311</v>
      </c>
      <c r="G23" s="397">
        <f>+SUMMARY!G21</f>
        <v>2193.032869</v>
      </c>
      <c r="H23" s="433" t="str">
        <f>+SUMMARY!H21</f>
        <v/>
      </c>
      <c r="I23" s="434">
        <f t="shared" si="1"/>
        <v>0.006991325247</v>
      </c>
      <c r="J23" s="400"/>
      <c r="K23" s="386"/>
      <c r="L23" s="386"/>
      <c r="M23" s="386"/>
      <c r="N23" s="386"/>
      <c r="O23" s="386"/>
      <c r="P23" s="386"/>
      <c r="Q23" s="386"/>
      <c r="R23" s="386"/>
      <c r="S23" s="386"/>
      <c r="T23" s="386"/>
      <c r="U23" s="386"/>
      <c r="V23" s="386"/>
      <c r="W23" s="386"/>
      <c r="X23" s="386"/>
      <c r="Y23" s="386"/>
      <c r="Z23" s="386"/>
      <c r="AA23" s="386"/>
      <c r="AB23" s="386"/>
      <c r="AC23" s="386"/>
      <c r="AD23" s="386"/>
    </row>
    <row r="24" ht="38.25" customHeight="1">
      <c r="A24" s="432">
        <f>+SUMMARY!A22</f>
        <v>44364</v>
      </c>
      <c r="B24" s="397">
        <f>+SUMMARY!B22</f>
        <v>37706.20397</v>
      </c>
      <c r="C24" s="397">
        <f>+SUMMARY!C22</f>
        <v>33490.41397</v>
      </c>
      <c r="D24" s="397">
        <f>+SUMMARY!D22</f>
        <v>781.470781</v>
      </c>
      <c r="E24" s="397">
        <f>+SUMMARY!E22</f>
        <v>342.6</v>
      </c>
      <c r="F24" s="397">
        <f>+SUMMARY!F22</f>
        <v>1539.788898</v>
      </c>
      <c r="G24" s="397">
        <f>+SUMMARY!G22</f>
        <v>1551.930324</v>
      </c>
      <c r="H24" s="433" t="str">
        <f>+SUMMARY!H22</f>
        <v/>
      </c>
      <c r="I24" s="434">
        <f t="shared" si="1"/>
        <v>0.009086037943</v>
      </c>
      <c r="J24" s="400"/>
      <c r="K24" s="386"/>
      <c r="L24" s="386"/>
      <c r="M24" s="386"/>
      <c r="N24" s="386"/>
      <c r="O24" s="386"/>
      <c r="P24" s="386"/>
      <c r="Q24" s="386"/>
      <c r="R24" s="386"/>
      <c r="S24" s="386"/>
      <c r="T24" s="386"/>
      <c r="U24" s="386"/>
      <c r="V24" s="386"/>
      <c r="W24" s="386"/>
      <c r="X24" s="386"/>
      <c r="Y24" s="386"/>
      <c r="Z24" s="386"/>
      <c r="AA24" s="386"/>
      <c r="AB24" s="386"/>
      <c r="AC24" s="386"/>
      <c r="AD24" s="386"/>
    </row>
    <row r="25" ht="38.25" customHeight="1">
      <c r="A25" s="432">
        <f>+SUMMARY!A23</f>
        <v>44365</v>
      </c>
      <c r="B25" s="397">
        <f>+SUMMARY!B23</f>
        <v>42274.116</v>
      </c>
      <c r="C25" s="397">
        <f>+SUMMARY!C23</f>
        <v>36351.48707</v>
      </c>
      <c r="D25" s="397">
        <f>+SUMMARY!D23</f>
        <v>0</v>
      </c>
      <c r="E25" s="397">
        <f>+SUMMARY!E23</f>
        <v>357</v>
      </c>
      <c r="F25" s="397">
        <f>+SUMMARY!F23</f>
        <v>1695.6464</v>
      </c>
      <c r="G25" s="397">
        <f>+SUMMARY!G23</f>
        <v>3869.982534</v>
      </c>
      <c r="H25" s="433" t="str">
        <f>+SUMMARY!H23</f>
        <v/>
      </c>
      <c r="I25" s="434">
        <f t="shared" si="1"/>
        <v>0.008444883862</v>
      </c>
      <c r="J25" s="435"/>
      <c r="K25" s="436"/>
      <c r="L25" s="436"/>
      <c r="M25" s="436"/>
      <c r="N25" s="436"/>
      <c r="O25" s="436"/>
      <c r="P25" s="436"/>
      <c r="Q25" s="436"/>
      <c r="R25" s="436"/>
      <c r="S25" s="436"/>
      <c r="T25" s="436"/>
      <c r="U25" s="436"/>
      <c r="V25" s="436"/>
      <c r="W25" s="436"/>
      <c r="X25" s="436"/>
      <c r="Y25" s="436"/>
      <c r="Z25" s="436"/>
      <c r="AA25" s="436"/>
      <c r="AB25" s="436"/>
      <c r="AC25" s="436"/>
      <c r="AD25" s="436"/>
    </row>
    <row r="26" ht="38.25" customHeight="1">
      <c r="A26" s="432">
        <f>+SUMMARY!A24</f>
        <v>44366</v>
      </c>
      <c r="B26" s="397">
        <f>+SUMMARY!B24</f>
        <v>22591.0677</v>
      </c>
      <c r="C26" s="397">
        <f>+SUMMARY!C24</f>
        <v>6390.470613</v>
      </c>
      <c r="D26" s="397">
        <f>+SUMMARY!D24</f>
        <v>0</v>
      </c>
      <c r="E26" s="397">
        <f>+SUMMARY!E24</f>
        <v>234</v>
      </c>
      <c r="F26" s="397">
        <f>+SUMMARY!F24</f>
        <v>697.749892</v>
      </c>
      <c r="G26" s="397">
        <f>+SUMMARY!G24</f>
        <v>15268.8472</v>
      </c>
      <c r="H26" s="433" t="str">
        <f>+SUMMARY!H24</f>
        <v/>
      </c>
      <c r="I26" s="434">
        <f t="shared" si="1"/>
        <v>0.01035807617</v>
      </c>
      <c r="J26" s="400"/>
      <c r="K26" s="386"/>
      <c r="L26" s="386"/>
      <c r="M26" s="386"/>
      <c r="N26" s="386"/>
      <c r="O26" s="386"/>
      <c r="P26" s="386"/>
      <c r="Q26" s="386"/>
      <c r="R26" s="386"/>
      <c r="S26" s="386"/>
      <c r="T26" s="386"/>
      <c r="U26" s="386"/>
      <c r="V26" s="386"/>
      <c r="W26" s="386"/>
      <c r="X26" s="386"/>
      <c r="Y26" s="386"/>
      <c r="Z26" s="386"/>
      <c r="AA26" s="386"/>
      <c r="AB26" s="386"/>
      <c r="AC26" s="386"/>
      <c r="AD26" s="386"/>
    </row>
    <row r="27" ht="38.25" customHeight="1">
      <c r="A27" s="432">
        <f>+SUMMARY!A25</f>
        <v>44368</v>
      </c>
      <c r="B27" s="397">
        <f>+SUMMARY!B25</f>
        <v>30427.09305</v>
      </c>
      <c r="C27" s="397">
        <f>+SUMMARY!C25</f>
        <v>27468.27035</v>
      </c>
      <c r="D27" s="397">
        <f>+SUMMARY!D25</f>
        <v>0</v>
      </c>
      <c r="E27" s="397">
        <f>+SUMMARY!E25</f>
        <v>444</v>
      </c>
      <c r="F27" s="397">
        <f>+SUMMARY!F25</f>
        <v>568.828196</v>
      </c>
      <c r="G27" s="397">
        <f>+SUMMARY!G25</f>
        <v>1945.994504</v>
      </c>
      <c r="H27" s="433" t="str">
        <f>+SUMMARY!H25</f>
        <v/>
      </c>
      <c r="I27" s="434">
        <f t="shared" si="1"/>
        <v>0.01459225826</v>
      </c>
      <c r="J27" s="400"/>
      <c r="K27" s="386"/>
      <c r="L27" s="386"/>
      <c r="M27" s="386"/>
      <c r="N27" s="386"/>
      <c r="O27" s="386"/>
      <c r="P27" s="386"/>
      <c r="Q27" s="386"/>
      <c r="R27" s="386"/>
      <c r="S27" s="386"/>
      <c r="T27" s="386"/>
      <c r="U27" s="386"/>
      <c r="V27" s="386"/>
      <c r="W27" s="386"/>
      <c r="X27" s="386"/>
      <c r="Y27" s="386"/>
      <c r="Z27" s="386"/>
      <c r="AA27" s="386"/>
      <c r="AB27" s="386"/>
      <c r="AC27" s="386"/>
      <c r="AD27" s="386"/>
    </row>
    <row r="28" ht="38.25" customHeight="1">
      <c r="A28" s="432">
        <f>+SUMMARY!A26</f>
        <v>44369</v>
      </c>
      <c r="B28" s="397">
        <f>+SUMMARY!B26</f>
        <v>38694.12</v>
      </c>
      <c r="C28" s="397">
        <f>+SUMMARY!C26</f>
        <v>35214.0553</v>
      </c>
      <c r="D28" s="397">
        <f>+SUMMARY!D26</f>
        <v>0</v>
      </c>
      <c r="E28" s="397">
        <f>+SUMMARY!E26</f>
        <v>223.8</v>
      </c>
      <c r="F28" s="397">
        <f>+SUMMARY!F26</f>
        <v>831.647566</v>
      </c>
      <c r="G28" s="397">
        <f>+SUMMARY!G26</f>
        <v>2424.617131</v>
      </c>
      <c r="H28" s="433" t="str">
        <f>+SUMMARY!H26</f>
        <v/>
      </c>
      <c r="I28" s="434">
        <f t="shared" si="1"/>
        <v>0.005783824519</v>
      </c>
      <c r="J28" s="400"/>
      <c r="K28" s="386"/>
      <c r="L28" s="386"/>
      <c r="M28" s="386"/>
      <c r="N28" s="386"/>
      <c r="O28" s="386"/>
      <c r="P28" s="386"/>
      <c r="Q28" s="386"/>
      <c r="R28" s="386"/>
      <c r="S28" s="386"/>
      <c r="T28" s="386"/>
      <c r="U28" s="386"/>
      <c r="V28" s="386"/>
      <c r="W28" s="386"/>
      <c r="X28" s="386"/>
      <c r="Y28" s="386"/>
      <c r="Z28" s="386"/>
      <c r="AA28" s="386"/>
      <c r="AB28" s="386"/>
      <c r="AC28" s="386"/>
      <c r="AD28" s="386"/>
    </row>
    <row r="29" ht="38.25" customHeight="1">
      <c r="A29" s="432">
        <f>+SUMMARY!A27</f>
        <v>44370</v>
      </c>
      <c r="B29" s="397">
        <f>+SUMMARY!B27</f>
        <v>34623.82602</v>
      </c>
      <c r="C29" s="397">
        <f>+SUMMARY!C27</f>
        <v>31836.99565</v>
      </c>
      <c r="D29" s="397">
        <f>+SUMMARY!D27</f>
        <v>0</v>
      </c>
      <c r="E29" s="397">
        <f>+SUMMARY!E27</f>
        <v>218.4</v>
      </c>
      <c r="F29" s="397">
        <f>+SUMMARY!F27</f>
        <v>576.0543282</v>
      </c>
      <c r="G29" s="397">
        <f>+SUMMARY!G27</f>
        <v>1992.376037</v>
      </c>
      <c r="H29" s="433" t="str">
        <f>+SUMMARY!H27</f>
        <v/>
      </c>
      <c r="I29" s="434">
        <f t="shared" si="1"/>
        <v>0.006307795097</v>
      </c>
      <c r="J29" s="400"/>
      <c r="K29" s="386"/>
      <c r="L29" s="386"/>
      <c r="M29" s="386"/>
      <c r="N29" s="386"/>
      <c r="O29" s="386"/>
      <c r="P29" s="386"/>
      <c r="Q29" s="386"/>
      <c r="R29" s="386"/>
      <c r="S29" s="386"/>
      <c r="T29" s="386"/>
      <c r="U29" s="386"/>
      <c r="V29" s="386"/>
      <c r="W29" s="386"/>
      <c r="X29" s="386"/>
      <c r="Y29" s="386"/>
      <c r="Z29" s="386"/>
      <c r="AA29" s="386"/>
      <c r="AB29" s="386"/>
      <c r="AC29" s="386"/>
      <c r="AD29" s="386"/>
    </row>
    <row r="30" ht="38.25" customHeight="1">
      <c r="A30" s="432" t="str">
        <f>+SUMMARY!A28</f>
        <v>24/06/2021</v>
      </c>
      <c r="B30" s="397">
        <f>+SUMMARY!B28</f>
        <v>44741.03968</v>
      </c>
      <c r="C30" s="397">
        <f>+SUMMARY!C28</f>
        <v>40035.448</v>
      </c>
      <c r="D30" s="397">
        <f>+SUMMARY!D28</f>
        <v>0</v>
      </c>
      <c r="E30" s="397">
        <f>+SUMMARY!E28</f>
        <v>205.8</v>
      </c>
      <c r="F30" s="397">
        <f>+SUMMARY!F28</f>
        <v>925.5324121</v>
      </c>
      <c r="G30" s="397">
        <f>+SUMMARY!G28</f>
        <v>3574.25927</v>
      </c>
      <c r="H30" s="433" t="str">
        <f>+SUMMARY!H28</f>
        <v/>
      </c>
      <c r="I30" s="434">
        <f t="shared" si="1"/>
        <v>0.004599803703</v>
      </c>
      <c r="J30" s="400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6"/>
      <c r="AC30" s="386"/>
      <c r="AD30" s="386"/>
    </row>
    <row r="31" ht="38.25" customHeight="1">
      <c r="A31" s="432">
        <f>+SUMMARY!A29</f>
        <v>44372</v>
      </c>
      <c r="B31" s="397">
        <f>+SUMMARY!B29</f>
        <v>34273.486</v>
      </c>
      <c r="C31" s="397">
        <f>+SUMMARY!C29</f>
        <v>30120.62113</v>
      </c>
      <c r="D31" s="397">
        <f>+SUMMARY!D29</f>
        <v>0</v>
      </c>
      <c r="E31" s="397">
        <f>+SUMMARY!E29</f>
        <v>120.6</v>
      </c>
      <c r="F31" s="397">
        <f>+SUMMARY!F29</f>
        <v>608.9615812</v>
      </c>
      <c r="G31" s="397">
        <f>+SUMMARY!G29</f>
        <v>3423.303287</v>
      </c>
      <c r="H31" s="433" t="str">
        <f>+SUMMARY!H29</f>
        <v/>
      </c>
      <c r="I31" s="434">
        <f t="shared" si="1"/>
        <v>0.003518754993</v>
      </c>
      <c r="J31" s="400"/>
      <c r="K31" s="386"/>
      <c r="L31" s="386"/>
      <c r="M31" s="386"/>
      <c r="N31" s="386"/>
      <c r="O31" s="386"/>
      <c r="P31" s="386"/>
      <c r="Q31" s="386"/>
      <c r="R31" s="386"/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/>
    </row>
    <row r="32" ht="38.25" customHeight="1">
      <c r="A32" s="432">
        <f>+SUMMARY!A30</f>
        <v>44373</v>
      </c>
      <c r="B32" s="397">
        <f>+SUMMARY!B30</f>
        <v>37386.8361</v>
      </c>
      <c r="C32" s="397">
        <f>+SUMMARY!C30</f>
        <v>33137.66063</v>
      </c>
      <c r="D32" s="397">
        <f>+SUMMARY!D30</f>
        <v>0</v>
      </c>
      <c r="E32" s="397">
        <f>+SUMMARY!E30</f>
        <v>251.4</v>
      </c>
      <c r="F32" s="397">
        <f>+SUMMARY!F30</f>
        <v>616.5467821</v>
      </c>
      <c r="G32" s="397">
        <f>+SUMMARY!G30</f>
        <v>3381.228687</v>
      </c>
      <c r="H32" s="433" t="str">
        <f>+SUMMARY!H30</f>
        <v/>
      </c>
      <c r="I32" s="434">
        <f t="shared" si="1"/>
        <v>0.006724291923</v>
      </c>
      <c r="J32" s="400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</row>
    <row r="33" ht="38.25" customHeight="1">
      <c r="A33" s="432">
        <f>+SUMMARY!A31</f>
        <v>44375</v>
      </c>
      <c r="B33" s="397">
        <f>+SUMMARY!B31</f>
        <v>8552.19</v>
      </c>
      <c r="C33" s="397">
        <f>+SUMMARY!C31</f>
        <v>6108.28509</v>
      </c>
      <c r="D33" s="397">
        <f>+SUMMARY!D31</f>
        <v>0</v>
      </c>
      <c r="E33" s="397">
        <f>+SUMMARY!E31</f>
        <v>28.8</v>
      </c>
      <c r="F33" s="397">
        <f>+SUMMARY!F31</f>
        <v>928.767834</v>
      </c>
      <c r="G33" s="397">
        <f>+SUMMARY!G31</f>
        <v>1486.337076</v>
      </c>
      <c r="H33" s="433" t="str">
        <f>+SUMMARY!H31</f>
        <v/>
      </c>
      <c r="I33" s="434">
        <f t="shared" si="1"/>
        <v>0.003367558485</v>
      </c>
      <c r="J33" s="400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86"/>
      <c r="X33" s="386"/>
      <c r="Y33" s="386"/>
      <c r="Z33" s="386"/>
      <c r="AA33" s="386"/>
      <c r="AB33" s="386"/>
      <c r="AC33" s="386"/>
      <c r="AD33" s="386"/>
    </row>
    <row r="34" ht="38.25" customHeight="1">
      <c r="A34" s="432">
        <f>+SUMMARY!A32</f>
        <v>44376</v>
      </c>
      <c r="B34" s="397">
        <f>+SUMMARY!B32</f>
        <v>11417.0055</v>
      </c>
      <c r="C34" s="397">
        <f>+SUMMARY!C32</f>
        <v>10106.20354</v>
      </c>
      <c r="D34" s="397">
        <f>+SUMMARY!D32</f>
        <v>50.456974</v>
      </c>
      <c r="E34" s="397">
        <f>+SUMMARY!E32</f>
        <v>130.2</v>
      </c>
      <c r="F34" s="397">
        <f>+SUMMARY!F32</f>
        <v>445.7031318</v>
      </c>
      <c r="G34" s="397">
        <f>+SUMMARY!G32</f>
        <v>684.4418502</v>
      </c>
      <c r="H34" s="433" t="str">
        <f>+SUMMARY!H32</f>
        <v/>
      </c>
      <c r="I34" s="434">
        <f t="shared" si="1"/>
        <v>0.0114040411</v>
      </c>
      <c r="J34" s="400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6"/>
      <c r="AA34" s="386"/>
      <c r="AB34" s="386"/>
      <c r="AC34" s="386"/>
      <c r="AD34" s="386"/>
    </row>
    <row r="35" ht="38.25" customHeight="1">
      <c r="A35" s="432" t="str">
        <f>+SUMMARY!A33</f>
        <v/>
      </c>
      <c r="B35" s="397" t="str">
        <f>+SUMMARY!B33</f>
        <v/>
      </c>
      <c r="C35" s="397" t="str">
        <f>+SUMMARY!C33</f>
        <v/>
      </c>
      <c r="D35" s="397" t="str">
        <f>+SUMMARY!D33</f>
        <v/>
      </c>
      <c r="E35" s="397" t="str">
        <f>+SUMMARY!E33</f>
        <v/>
      </c>
      <c r="F35" s="397" t="str">
        <f>+SUMMARY!F33</f>
        <v/>
      </c>
      <c r="G35" s="397" t="str">
        <f>+SUMMARY!G33</f>
        <v/>
      </c>
      <c r="H35" s="433" t="str">
        <f>+SUMMARY!H33</f>
        <v/>
      </c>
      <c r="I35" s="434" t="str">
        <f t="shared" si="1"/>
        <v>#DIV/0!</v>
      </c>
      <c r="J35" s="400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6"/>
      <c r="AA35" s="386"/>
      <c r="AB35" s="386"/>
      <c r="AC35" s="386"/>
      <c r="AD35" s="386"/>
    </row>
    <row r="36" ht="38.25" customHeight="1">
      <c r="A36" s="432" t="str">
        <f>+SUMMARY!A34</f>
        <v/>
      </c>
      <c r="B36" s="397" t="str">
        <f>+SUMMARY!B34</f>
        <v/>
      </c>
      <c r="C36" s="397" t="str">
        <f>+SUMMARY!C34</f>
        <v/>
      </c>
      <c r="D36" s="397" t="str">
        <f>+SUMMARY!D34</f>
        <v/>
      </c>
      <c r="E36" s="397" t="str">
        <f>+SUMMARY!E34</f>
        <v/>
      </c>
      <c r="F36" s="397" t="str">
        <f>+SUMMARY!F34</f>
        <v/>
      </c>
      <c r="G36" s="397" t="str">
        <f>+SUMMARY!G34</f>
        <v/>
      </c>
      <c r="H36" s="433" t="str">
        <f>+SUMMARY!H34</f>
        <v/>
      </c>
      <c r="I36" s="434" t="str">
        <f t="shared" si="1"/>
        <v>#DIV/0!</v>
      </c>
      <c r="J36" s="400"/>
      <c r="K36" s="386"/>
      <c r="L36" s="386"/>
      <c r="M36" s="386"/>
      <c r="N36" s="386"/>
      <c r="O36" s="386"/>
      <c r="P36" s="386"/>
      <c r="Q36" s="386"/>
      <c r="R36" s="386"/>
      <c r="S36" s="386"/>
      <c r="T36" s="386"/>
      <c r="U36" s="386"/>
      <c r="V36" s="386"/>
      <c r="W36" s="386"/>
      <c r="X36" s="386"/>
      <c r="Y36" s="386"/>
      <c r="Z36" s="386"/>
      <c r="AA36" s="386"/>
      <c r="AB36" s="386"/>
      <c r="AC36" s="386"/>
      <c r="AD36" s="386"/>
    </row>
    <row r="37" ht="38.25" customHeight="1">
      <c r="A37" s="432" t="str">
        <f>+SUMMARY!A35</f>
        <v/>
      </c>
      <c r="B37" s="397" t="str">
        <f>+SUMMARY!B35</f>
        <v/>
      </c>
      <c r="C37" s="397" t="str">
        <f>+SUMMARY!C35</f>
        <v/>
      </c>
      <c r="D37" s="397" t="str">
        <f>+SUMMARY!D35</f>
        <v/>
      </c>
      <c r="E37" s="397" t="str">
        <f>+SUMMARY!E35</f>
        <v/>
      </c>
      <c r="F37" s="397" t="str">
        <f>+SUMMARY!F35</f>
        <v/>
      </c>
      <c r="G37" s="397" t="str">
        <f>+SUMMARY!G35</f>
        <v/>
      </c>
      <c r="H37" s="433" t="str">
        <f>+SUMMARY!H35</f>
        <v/>
      </c>
      <c r="I37" s="434" t="str">
        <f t="shared" si="1"/>
        <v>#DIV/0!</v>
      </c>
      <c r="J37" s="400"/>
      <c r="K37" s="386"/>
      <c r="L37" s="386"/>
      <c r="M37" s="386"/>
      <c r="N37" s="386"/>
      <c r="O37" s="386"/>
      <c r="P37" s="386"/>
      <c r="Q37" s="386"/>
      <c r="R37" s="386"/>
      <c r="S37" s="386"/>
      <c r="T37" s="386"/>
      <c r="U37" s="386"/>
      <c r="V37" s="386"/>
      <c r="W37" s="386"/>
      <c r="X37" s="386"/>
      <c r="Y37" s="386"/>
      <c r="Z37" s="386"/>
      <c r="AA37" s="386"/>
      <c r="AB37" s="386"/>
      <c r="AC37" s="386"/>
      <c r="AD37" s="386"/>
    </row>
    <row r="38" ht="30.0" customHeight="1">
      <c r="A38" s="402" t="s">
        <v>250</v>
      </c>
      <c r="B38" s="437" t="str">
        <f t="shared" ref="B38:G38" si="2">SUM(B8:B37)</f>
        <v>#ERROR!</v>
      </c>
      <c r="C38" s="437" t="str">
        <f t="shared" si="2"/>
        <v>#ERROR!</v>
      </c>
      <c r="D38" s="437" t="str">
        <f t="shared" si="2"/>
        <v>#ERROR!</v>
      </c>
      <c r="E38" s="437" t="str">
        <f t="shared" si="2"/>
        <v>#ERROR!</v>
      </c>
      <c r="F38" s="437" t="str">
        <f t="shared" si="2"/>
        <v>#ERROR!</v>
      </c>
      <c r="G38" s="437" t="str">
        <f t="shared" si="2"/>
        <v>#ERROR!</v>
      </c>
      <c r="H38" s="438" t="str">
        <f>+SUMMARY!H36</f>
        <v/>
      </c>
      <c r="I38" s="439" t="str">
        <f t="shared" si="1"/>
        <v>#ERROR!</v>
      </c>
      <c r="J38" s="406"/>
      <c r="K38" s="386"/>
      <c r="L38" s="386"/>
      <c r="M38" s="386"/>
      <c r="N38" s="386"/>
      <c r="O38" s="386"/>
      <c r="P38" s="386"/>
      <c r="Q38" s="386"/>
      <c r="R38" s="386"/>
      <c r="S38" s="386"/>
      <c r="T38" s="386"/>
      <c r="U38" s="386"/>
      <c r="V38" s="386"/>
      <c r="W38" s="386"/>
      <c r="X38" s="386"/>
      <c r="Y38" s="386"/>
      <c r="Z38" s="386"/>
      <c r="AA38" s="386"/>
      <c r="AB38" s="386"/>
      <c r="AC38" s="386"/>
      <c r="AD38" s="386"/>
    </row>
    <row r="39" ht="30.0" customHeight="1">
      <c r="A39" s="440" t="s">
        <v>49</v>
      </c>
      <c r="B39" s="441"/>
      <c r="C39" s="442" t="str">
        <f>+C38/B38</f>
        <v>#ERROR!</v>
      </c>
      <c r="D39" s="442" t="str">
        <f>+D38/B38</f>
        <v>#ERROR!</v>
      </c>
      <c r="E39" s="443" t="str">
        <f>+E38/B38</f>
        <v>#ERROR!</v>
      </c>
      <c r="F39" s="409" t="str">
        <f>+F38/B38</f>
        <v>#ERROR!</v>
      </c>
      <c r="G39" s="409" t="str">
        <f>+G38/B38</f>
        <v>#ERROR!</v>
      </c>
      <c r="H39" s="444" t="str">
        <f>+SUMMARY!H37</f>
        <v/>
      </c>
      <c r="I39" s="425"/>
      <c r="J39" s="413"/>
      <c r="K39" s="386"/>
      <c r="L39" s="386"/>
      <c r="M39" s="386"/>
      <c r="N39" s="386"/>
      <c r="O39" s="386"/>
      <c r="P39" s="386"/>
      <c r="Q39" s="386"/>
      <c r="R39" s="386"/>
      <c r="S39" s="386"/>
      <c r="T39" s="386"/>
      <c r="U39" s="386"/>
      <c r="V39" s="386"/>
      <c r="W39" s="386"/>
      <c r="X39" s="386"/>
      <c r="Y39" s="386"/>
      <c r="Z39" s="386"/>
      <c r="AA39" s="386"/>
      <c r="AB39" s="386"/>
      <c r="AC39" s="386"/>
      <c r="AD39" s="386"/>
    </row>
    <row r="40" ht="33.75" customHeight="1">
      <c r="A40" s="445" t="s">
        <v>251</v>
      </c>
      <c r="B40" s="446"/>
      <c r="C40" s="447"/>
      <c r="D40" s="447">
        <v>0.0053</v>
      </c>
      <c r="E40" s="447">
        <v>0.0084</v>
      </c>
      <c r="F40" s="447"/>
      <c r="G40" s="448">
        <v>0.0061</v>
      </c>
      <c r="H40" s="449"/>
      <c r="I40" s="386"/>
      <c r="J40" s="386"/>
      <c r="K40" s="386"/>
      <c r="L40" s="386"/>
      <c r="M40" s="386"/>
      <c r="N40" s="386"/>
      <c r="O40" s="386"/>
      <c r="P40" s="386"/>
      <c r="Q40" s="386"/>
      <c r="R40" s="386"/>
      <c r="S40" s="386"/>
      <c r="T40" s="386"/>
      <c r="U40" s="386"/>
      <c r="V40" s="386"/>
      <c r="W40" s="386"/>
      <c r="X40" s="386"/>
      <c r="Y40" s="386"/>
      <c r="Z40" s="386"/>
      <c r="AA40" s="386"/>
      <c r="AB40" s="386"/>
      <c r="AC40" s="386"/>
      <c r="AD40" s="386"/>
    </row>
    <row r="41" ht="40.5" customHeight="1">
      <c r="A41" s="419"/>
      <c r="B41" s="386"/>
      <c r="C41" s="386"/>
      <c r="D41" s="386" t="s">
        <v>252</v>
      </c>
      <c r="E41" s="386"/>
      <c r="F41" s="420" t="str">
        <f>+D38+E38+F38+G38</f>
        <v>#ERROR!</v>
      </c>
      <c r="G41" s="386"/>
      <c r="H41" s="421"/>
      <c r="I41" s="386"/>
      <c r="J41" s="386"/>
      <c r="K41" s="386"/>
      <c r="L41" s="386"/>
      <c r="M41" s="386"/>
      <c r="N41" s="386"/>
      <c r="O41" s="386"/>
      <c r="P41" s="386"/>
      <c r="Q41" s="386"/>
      <c r="R41" s="386"/>
      <c r="S41" s="386"/>
      <c r="T41" s="386"/>
      <c r="U41" s="386"/>
      <c r="V41" s="386"/>
      <c r="W41" s="386"/>
      <c r="X41" s="386"/>
      <c r="Y41" s="386"/>
      <c r="Z41" s="386"/>
      <c r="AA41" s="386"/>
      <c r="AB41" s="386"/>
      <c r="AC41" s="386"/>
      <c r="AD41" s="386"/>
    </row>
    <row r="42" ht="23.25" customHeight="1">
      <c r="A42" s="419"/>
      <c r="B42" s="386"/>
      <c r="C42" s="386"/>
      <c r="D42" s="386" t="s">
        <v>253</v>
      </c>
      <c r="E42" s="386"/>
      <c r="F42" s="422" t="str">
        <f>+F41/B38</f>
        <v>#ERROR!</v>
      </c>
      <c r="G42" s="386"/>
      <c r="H42" s="421"/>
      <c r="I42" s="386"/>
      <c r="J42" s="386"/>
      <c r="K42" s="386"/>
      <c r="L42" s="386"/>
      <c r="M42" s="386"/>
      <c r="N42" s="386"/>
      <c r="O42" s="386"/>
      <c r="P42" s="386"/>
      <c r="Q42" s="386"/>
      <c r="R42" s="386"/>
      <c r="S42" s="386"/>
      <c r="T42" s="386"/>
      <c r="U42" s="386"/>
      <c r="V42" s="386"/>
      <c r="W42" s="386"/>
      <c r="X42" s="386"/>
      <c r="Y42" s="386"/>
      <c r="Z42" s="386"/>
      <c r="AA42" s="386"/>
      <c r="AB42" s="386"/>
      <c r="AC42" s="386"/>
      <c r="AD42" s="386"/>
    </row>
    <row r="43" ht="23.25" customHeight="1">
      <c r="A43" s="419"/>
      <c r="B43" s="386"/>
      <c r="C43" s="386"/>
      <c r="D43" s="386" t="s">
        <v>254</v>
      </c>
      <c r="E43" s="386"/>
      <c r="F43" s="422" t="str">
        <f t="shared" ref="F43:F44" si="3">+D39+E39+G39</f>
        <v>#ERROR!</v>
      </c>
      <c r="G43" s="386"/>
      <c r="H43" s="421"/>
      <c r="I43" s="386"/>
      <c r="J43" s="386"/>
      <c r="K43" s="386"/>
      <c r="L43" s="386"/>
      <c r="M43" s="386"/>
      <c r="N43" s="386"/>
      <c r="O43" s="386"/>
      <c r="P43" s="386"/>
      <c r="Q43" s="386"/>
      <c r="R43" s="386"/>
      <c r="S43" s="386"/>
      <c r="T43" s="386"/>
      <c r="U43" s="386"/>
      <c r="V43" s="386"/>
      <c r="W43" s="386"/>
      <c r="X43" s="386"/>
      <c r="Y43" s="386"/>
      <c r="Z43" s="386"/>
      <c r="AA43" s="386"/>
      <c r="AB43" s="386"/>
      <c r="AC43" s="386"/>
      <c r="AD43" s="386"/>
    </row>
    <row r="44" ht="23.25" customHeight="1">
      <c r="A44" s="419"/>
      <c r="B44" s="386"/>
      <c r="C44" s="385" t="s">
        <v>255</v>
      </c>
      <c r="D44" s="385"/>
      <c r="E44" s="385"/>
      <c r="F44" s="389">
        <f t="shared" si="3"/>
        <v>0.0198</v>
      </c>
      <c r="G44" s="386"/>
      <c r="H44" s="421"/>
      <c r="I44" s="386"/>
      <c r="J44" s="386"/>
      <c r="K44" s="386"/>
      <c r="L44" s="386"/>
      <c r="M44" s="386"/>
      <c r="N44" s="386"/>
      <c r="O44" s="386"/>
      <c r="P44" s="386"/>
      <c r="Q44" s="386"/>
      <c r="R44" s="386"/>
      <c r="S44" s="386"/>
      <c r="T44" s="386"/>
      <c r="U44" s="386"/>
      <c r="V44" s="386"/>
      <c r="W44" s="386"/>
      <c r="X44" s="386"/>
      <c r="Y44" s="386"/>
      <c r="Z44" s="386"/>
      <c r="AA44" s="386"/>
      <c r="AB44" s="386"/>
      <c r="AC44" s="386"/>
      <c r="AD44" s="386"/>
    </row>
    <row r="45" ht="23.25" customHeight="1">
      <c r="A45" s="419" t="s">
        <v>256</v>
      </c>
      <c r="B45" s="386"/>
      <c r="C45" s="386"/>
      <c r="D45" s="423">
        <v>9.0</v>
      </c>
      <c r="E45" s="386"/>
      <c r="F45" s="386"/>
      <c r="G45" s="386"/>
      <c r="H45" s="421"/>
      <c r="I45" s="386"/>
      <c r="J45" s="386"/>
      <c r="K45" s="386"/>
      <c r="L45" s="386"/>
      <c r="M45" s="386"/>
      <c r="N45" s="386"/>
      <c r="O45" s="386"/>
      <c r="P45" s="386"/>
      <c r="Q45" s="386"/>
      <c r="R45" s="386"/>
      <c r="S45" s="386"/>
      <c r="T45" s="386"/>
      <c r="U45" s="386"/>
      <c r="V45" s="386"/>
      <c r="W45" s="386"/>
      <c r="X45" s="386"/>
      <c r="Y45" s="386"/>
      <c r="Z45" s="386"/>
      <c r="AA45" s="386"/>
      <c r="AB45" s="386"/>
      <c r="AC45" s="386"/>
      <c r="AD45" s="386"/>
    </row>
    <row r="46" ht="23.25" customHeight="1">
      <c r="A46" s="419"/>
      <c r="B46" s="386"/>
      <c r="C46" s="386" t="s">
        <v>257</v>
      </c>
      <c r="D46" s="424" t="str">
        <f t="shared" ref="D46:E46" si="4">+$D$45*D38</f>
        <v>#ERROR!</v>
      </c>
      <c r="E46" s="424" t="str">
        <f t="shared" si="4"/>
        <v>#ERROR!</v>
      </c>
      <c r="F46" s="424"/>
      <c r="G46" s="424" t="str">
        <f>+$D$45*G38</f>
        <v>#ERROR!</v>
      </c>
      <c r="H46" s="421"/>
      <c r="I46" s="386"/>
      <c r="J46" s="386"/>
      <c r="K46" s="386"/>
      <c r="L46" s="386"/>
      <c r="M46" s="386"/>
      <c r="N46" s="386"/>
      <c r="O46" s="386"/>
      <c r="P46" s="386"/>
      <c r="Q46" s="386"/>
      <c r="R46" s="386"/>
      <c r="S46" s="386"/>
      <c r="T46" s="386"/>
      <c r="U46" s="386"/>
      <c r="V46" s="386"/>
      <c r="W46" s="386"/>
      <c r="X46" s="386"/>
      <c r="Y46" s="386"/>
      <c r="Z46" s="386"/>
      <c r="AA46" s="386"/>
      <c r="AB46" s="386"/>
      <c r="AC46" s="386"/>
      <c r="AD46" s="386"/>
    </row>
    <row r="47" ht="24.0" customHeight="1">
      <c r="A47" s="425"/>
      <c r="B47" s="426"/>
      <c r="C47" s="426"/>
      <c r="D47" s="426"/>
      <c r="E47" s="426"/>
      <c r="F47" s="426"/>
      <c r="G47" s="426"/>
      <c r="H47" s="427"/>
      <c r="I47" s="386"/>
      <c r="J47" s="386"/>
      <c r="K47" s="386"/>
      <c r="L47" s="386"/>
      <c r="M47" s="386"/>
      <c r="N47" s="386"/>
      <c r="O47" s="386"/>
      <c r="P47" s="386"/>
      <c r="Q47" s="386"/>
      <c r="R47" s="386"/>
      <c r="S47" s="386"/>
      <c r="T47" s="386"/>
      <c r="U47" s="386"/>
      <c r="V47" s="386"/>
      <c r="W47" s="386"/>
      <c r="X47" s="386"/>
      <c r="Y47" s="386"/>
      <c r="Z47" s="386"/>
      <c r="AA47" s="386"/>
      <c r="AB47" s="386"/>
      <c r="AC47" s="386"/>
      <c r="AD47" s="386"/>
    </row>
    <row r="48" ht="23.25" customHeight="1">
      <c r="A48" s="386"/>
      <c r="B48" s="386"/>
      <c r="C48" s="386"/>
      <c r="D48" s="386"/>
      <c r="E48" s="386"/>
      <c r="F48" s="386"/>
      <c r="G48" s="386"/>
      <c r="H48" s="386"/>
      <c r="I48" s="386"/>
      <c r="J48" s="386"/>
      <c r="K48" s="386"/>
      <c r="L48" s="386"/>
      <c r="M48" s="386"/>
      <c r="N48" s="386"/>
      <c r="O48" s="386"/>
      <c r="P48" s="386"/>
      <c r="Q48" s="386"/>
      <c r="R48" s="386"/>
      <c r="S48" s="386"/>
      <c r="T48" s="386"/>
      <c r="U48" s="386"/>
      <c r="V48" s="386"/>
      <c r="W48" s="386"/>
      <c r="X48" s="386"/>
      <c r="Y48" s="386"/>
      <c r="Z48" s="386"/>
      <c r="AA48" s="386"/>
      <c r="AB48" s="386"/>
      <c r="AC48" s="386"/>
      <c r="AD48" s="386"/>
    </row>
    <row r="49" ht="23.25" customHeight="1">
      <c r="A49" s="386"/>
      <c r="B49" s="386"/>
      <c r="C49" s="386"/>
      <c r="D49" s="386"/>
      <c r="E49" s="386"/>
      <c r="F49" s="428"/>
      <c r="G49" s="386"/>
      <c r="H49" s="386"/>
      <c r="I49" s="386"/>
      <c r="J49" s="386"/>
      <c r="K49" s="386"/>
      <c r="L49" s="386"/>
      <c r="M49" s="386"/>
      <c r="N49" s="386"/>
      <c r="O49" s="386"/>
      <c r="P49" s="386"/>
      <c r="Q49" s="386"/>
      <c r="R49" s="386"/>
      <c r="S49" s="386"/>
      <c r="T49" s="386"/>
      <c r="U49" s="386"/>
      <c r="V49" s="386"/>
      <c r="W49" s="386"/>
      <c r="X49" s="386"/>
      <c r="Y49" s="386"/>
      <c r="Z49" s="386"/>
      <c r="AA49" s="386"/>
      <c r="AB49" s="386"/>
      <c r="AC49" s="386"/>
      <c r="AD49" s="386"/>
    </row>
    <row r="50" ht="23.25" customHeight="1">
      <c r="A50" s="386"/>
      <c r="B50" s="386"/>
      <c r="C50" s="386"/>
      <c r="D50" s="386"/>
      <c r="E50" s="428"/>
      <c r="F50" s="386"/>
      <c r="G50" s="386"/>
      <c r="H50" s="386"/>
      <c r="I50" s="386"/>
      <c r="J50" s="386"/>
      <c r="K50" s="386"/>
      <c r="L50" s="386"/>
      <c r="M50" s="386"/>
      <c r="N50" s="386"/>
      <c r="O50" s="386"/>
      <c r="P50" s="386"/>
      <c r="Q50" s="386"/>
      <c r="R50" s="386"/>
      <c r="S50" s="386"/>
      <c r="T50" s="386"/>
      <c r="U50" s="386"/>
      <c r="V50" s="386"/>
      <c r="W50" s="386"/>
      <c r="X50" s="386"/>
      <c r="Y50" s="386"/>
      <c r="Z50" s="386"/>
      <c r="AA50" s="386"/>
      <c r="AB50" s="386"/>
      <c r="AC50" s="386"/>
      <c r="AD50" s="386"/>
    </row>
    <row r="51" ht="23.25" customHeight="1">
      <c r="A51" s="386"/>
      <c r="B51" s="386"/>
      <c r="C51" s="386"/>
      <c r="D51" s="386"/>
      <c r="E51" s="386"/>
      <c r="F51" s="386"/>
      <c r="G51" s="386"/>
      <c r="H51" s="386"/>
      <c r="I51" s="386"/>
      <c r="J51" s="386"/>
      <c r="K51" s="386"/>
      <c r="L51" s="386"/>
      <c r="M51" s="386"/>
      <c r="N51" s="386"/>
      <c r="O51" s="386"/>
      <c r="P51" s="386"/>
      <c r="Q51" s="386"/>
      <c r="R51" s="386"/>
      <c r="S51" s="386"/>
      <c r="T51" s="386"/>
      <c r="U51" s="386"/>
      <c r="V51" s="386"/>
      <c r="W51" s="386"/>
      <c r="X51" s="386"/>
      <c r="Y51" s="386"/>
      <c r="Z51" s="386"/>
      <c r="AA51" s="386"/>
      <c r="AB51" s="386"/>
      <c r="AC51" s="386"/>
      <c r="AD51" s="386"/>
    </row>
    <row r="52" ht="23.25" customHeight="1">
      <c r="A52" s="386"/>
      <c r="B52" s="386"/>
      <c r="C52" s="386"/>
      <c r="D52" s="386"/>
      <c r="E52" s="386"/>
      <c r="F52" s="386"/>
      <c r="G52" s="386"/>
      <c r="H52" s="386"/>
      <c r="I52" s="386"/>
      <c r="J52" s="386"/>
      <c r="K52" s="386"/>
      <c r="L52" s="386"/>
      <c r="M52" s="386"/>
      <c r="N52" s="386"/>
      <c r="O52" s="386"/>
      <c r="P52" s="386"/>
      <c r="Q52" s="386"/>
      <c r="R52" s="386"/>
      <c r="S52" s="386"/>
      <c r="T52" s="386"/>
      <c r="U52" s="386"/>
      <c r="V52" s="386"/>
      <c r="W52" s="386"/>
      <c r="X52" s="386"/>
      <c r="Y52" s="386"/>
      <c r="Z52" s="386"/>
      <c r="AA52" s="386"/>
      <c r="AB52" s="386"/>
      <c r="AC52" s="386"/>
      <c r="AD52" s="386"/>
    </row>
    <row r="53" ht="23.25" customHeight="1">
      <c r="A53" s="386"/>
      <c r="B53" s="386"/>
      <c r="C53" s="386"/>
      <c r="D53" s="386"/>
      <c r="E53" s="386"/>
      <c r="F53" s="386"/>
      <c r="G53" s="386"/>
      <c r="H53" s="386"/>
      <c r="I53" s="386"/>
      <c r="J53" s="386"/>
      <c r="K53" s="386"/>
      <c r="L53" s="386"/>
      <c r="M53" s="386"/>
      <c r="N53" s="386"/>
      <c r="O53" s="386"/>
      <c r="P53" s="386"/>
      <c r="Q53" s="386"/>
      <c r="R53" s="386"/>
      <c r="S53" s="386"/>
      <c r="T53" s="386"/>
      <c r="U53" s="386"/>
      <c r="V53" s="386"/>
      <c r="W53" s="386"/>
      <c r="X53" s="386"/>
      <c r="Y53" s="386"/>
      <c r="Z53" s="386"/>
      <c r="AA53" s="386"/>
      <c r="AB53" s="386"/>
      <c r="AC53" s="386"/>
      <c r="AD53" s="386"/>
    </row>
    <row r="54" ht="23.25" customHeight="1">
      <c r="A54" s="386"/>
      <c r="B54" s="386"/>
      <c r="C54" s="386"/>
      <c r="D54" s="386"/>
      <c r="E54" s="386"/>
      <c r="F54" s="386"/>
      <c r="G54" s="386"/>
      <c r="H54" s="386"/>
      <c r="I54" s="386"/>
      <c r="J54" s="386"/>
      <c r="K54" s="386"/>
      <c r="L54" s="386"/>
      <c r="M54" s="386"/>
      <c r="N54" s="386"/>
      <c r="O54" s="386"/>
      <c r="P54" s="386"/>
      <c r="Q54" s="386"/>
      <c r="R54" s="386"/>
      <c r="S54" s="386"/>
      <c r="T54" s="386"/>
      <c r="U54" s="386"/>
      <c r="V54" s="386"/>
      <c r="W54" s="386"/>
      <c r="X54" s="386"/>
      <c r="Y54" s="386"/>
      <c r="Z54" s="386"/>
      <c r="AA54" s="386"/>
      <c r="AB54" s="386"/>
      <c r="AC54" s="386"/>
      <c r="AD54" s="386"/>
    </row>
    <row r="55" ht="23.25" customHeight="1">
      <c r="A55" s="386"/>
      <c r="B55" s="386"/>
      <c r="C55" s="386"/>
      <c r="D55" s="386"/>
      <c r="E55" s="386"/>
      <c r="F55" s="386"/>
      <c r="G55" s="386"/>
      <c r="H55" s="386"/>
      <c r="I55" s="386"/>
      <c r="J55" s="386"/>
      <c r="K55" s="386"/>
      <c r="L55" s="386"/>
      <c r="M55" s="386"/>
      <c r="N55" s="386"/>
      <c r="O55" s="386"/>
      <c r="P55" s="386"/>
      <c r="Q55" s="386"/>
      <c r="R55" s="386"/>
      <c r="S55" s="386"/>
      <c r="T55" s="386"/>
      <c r="U55" s="386"/>
      <c r="V55" s="386"/>
      <c r="W55" s="386"/>
      <c r="X55" s="386"/>
      <c r="Y55" s="386"/>
      <c r="Z55" s="386"/>
      <c r="AA55" s="386"/>
      <c r="AB55" s="386"/>
      <c r="AC55" s="386"/>
      <c r="AD55" s="386"/>
    </row>
    <row r="56" ht="23.25" customHeight="1">
      <c r="A56" s="386"/>
      <c r="B56" s="386"/>
      <c r="C56" s="386"/>
      <c r="D56" s="386"/>
      <c r="E56" s="386"/>
      <c r="F56" s="386"/>
      <c r="G56" s="386"/>
      <c r="H56" s="386"/>
      <c r="I56" s="386"/>
      <c r="J56" s="386"/>
      <c r="K56" s="386"/>
      <c r="L56" s="386"/>
      <c r="M56" s="386"/>
      <c r="N56" s="386"/>
      <c r="O56" s="386"/>
      <c r="P56" s="386"/>
      <c r="Q56" s="386"/>
      <c r="R56" s="386"/>
      <c r="S56" s="386"/>
      <c r="T56" s="386"/>
      <c r="U56" s="386"/>
      <c r="V56" s="386"/>
      <c r="W56" s="386"/>
      <c r="X56" s="386"/>
      <c r="Y56" s="386"/>
      <c r="Z56" s="386"/>
      <c r="AA56" s="386"/>
      <c r="AB56" s="386"/>
      <c r="AC56" s="386"/>
      <c r="AD56" s="386"/>
    </row>
    <row r="57" ht="23.25" customHeight="1">
      <c r="A57" s="386"/>
      <c r="B57" s="386"/>
      <c r="C57" s="386"/>
      <c r="D57" s="386"/>
      <c r="E57" s="386"/>
      <c r="F57" s="386"/>
      <c r="G57" s="386"/>
      <c r="H57" s="386"/>
      <c r="I57" s="386"/>
      <c r="J57" s="386"/>
      <c r="K57" s="386"/>
      <c r="L57" s="386"/>
      <c r="M57" s="386"/>
      <c r="N57" s="386"/>
      <c r="O57" s="386"/>
      <c r="P57" s="386"/>
      <c r="Q57" s="386"/>
      <c r="R57" s="386"/>
      <c r="S57" s="386"/>
      <c r="T57" s="386"/>
      <c r="U57" s="386"/>
      <c r="V57" s="386"/>
      <c r="W57" s="386"/>
      <c r="X57" s="386"/>
      <c r="Y57" s="386"/>
      <c r="Z57" s="386"/>
      <c r="AA57" s="386"/>
      <c r="AB57" s="386"/>
      <c r="AC57" s="386"/>
      <c r="AD57" s="386"/>
    </row>
    <row r="58" ht="23.25" customHeight="1">
      <c r="A58" s="386"/>
      <c r="B58" s="386"/>
      <c r="C58" s="386"/>
      <c r="D58" s="386"/>
      <c r="E58" s="386"/>
      <c r="F58" s="386"/>
      <c r="G58" s="386"/>
      <c r="H58" s="386"/>
      <c r="I58" s="386"/>
      <c r="J58" s="386"/>
      <c r="K58" s="386"/>
      <c r="L58" s="386"/>
      <c r="M58" s="386"/>
      <c r="N58" s="386"/>
      <c r="O58" s="386"/>
      <c r="P58" s="386"/>
      <c r="Q58" s="386"/>
      <c r="R58" s="386"/>
      <c r="S58" s="386"/>
      <c r="T58" s="386"/>
      <c r="U58" s="386"/>
      <c r="V58" s="386"/>
      <c r="W58" s="386"/>
      <c r="X58" s="386"/>
      <c r="Y58" s="386"/>
      <c r="Z58" s="386"/>
      <c r="AA58" s="386"/>
      <c r="AB58" s="386"/>
      <c r="AC58" s="386"/>
      <c r="AD58" s="386"/>
    </row>
    <row r="59" ht="23.25" customHeight="1">
      <c r="A59" s="386"/>
      <c r="B59" s="386"/>
      <c r="C59" s="386"/>
      <c r="D59" s="386"/>
      <c r="E59" s="386"/>
      <c r="F59" s="386"/>
      <c r="G59" s="386"/>
      <c r="H59" s="386"/>
      <c r="I59" s="386"/>
      <c r="J59" s="386"/>
      <c r="K59" s="386"/>
      <c r="L59" s="386"/>
      <c r="M59" s="386"/>
      <c r="N59" s="386"/>
      <c r="O59" s="386"/>
      <c r="P59" s="386"/>
      <c r="Q59" s="386"/>
      <c r="R59" s="386"/>
      <c r="S59" s="386"/>
      <c r="T59" s="386"/>
      <c r="U59" s="386"/>
      <c r="V59" s="386"/>
      <c r="W59" s="386"/>
      <c r="X59" s="386"/>
      <c r="Y59" s="386"/>
      <c r="Z59" s="386"/>
      <c r="AA59" s="386"/>
      <c r="AB59" s="386"/>
      <c r="AC59" s="386"/>
      <c r="AD59" s="386"/>
    </row>
    <row r="60" ht="23.25" customHeight="1">
      <c r="A60" s="386"/>
      <c r="B60" s="386"/>
      <c r="C60" s="386"/>
      <c r="D60" s="386"/>
      <c r="E60" s="386"/>
      <c r="F60" s="386"/>
      <c r="G60" s="386"/>
      <c r="H60" s="386"/>
      <c r="I60" s="386"/>
      <c r="J60" s="386"/>
      <c r="K60" s="386"/>
      <c r="L60" s="386"/>
      <c r="M60" s="386"/>
      <c r="N60" s="386"/>
      <c r="O60" s="386"/>
      <c r="P60" s="386"/>
      <c r="Q60" s="386"/>
      <c r="R60" s="386"/>
      <c r="S60" s="386"/>
      <c r="T60" s="386"/>
      <c r="U60" s="386"/>
      <c r="V60" s="386"/>
      <c r="W60" s="386"/>
      <c r="X60" s="386"/>
      <c r="Y60" s="386"/>
      <c r="Z60" s="386"/>
      <c r="AA60" s="386"/>
      <c r="AB60" s="386"/>
      <c r="AC60" s="386"/>
      <c r="AD60" s="386"/>
    </row>
    <row r="61" ht="23.25" customHeight="1">
      <c r="A61" s="386"/>
      <c r="B61" s="386"/>
      <c r="C61" s="386"/>
      <c r="D61" s="386"/>
      <c r="E61" s="386"/>
      <c r="F61" s="386"/>
      <c r="G61" s="386"/>
      <c r="H61" s="386"/>
      <c r="I61" s="386"/>
      <c r="J61" s="386"/>
      <c r="K61" s="386"/>
      <c r="L61" s="386"/>
      <c r="M61" s="386"/>
      <c r="N61" s="386"/>
      <c r="O61" s="386"/>
      <c r="P61" s="386"/>
      <c r="Q61" s="386"/>
      <c r="R61" s="386"/>
      <c r="S61" s="386"/>
      <c r="T61" s="386"/>
      <c r="U61" s="386"/>
      <c r="V61" s="386"/>
      <c r="W61" s="386"/>
      <c r="X61" s="386"/>
      <c r="Y61" s="386"/>
      <c r="Z61" s="386"/>
      <c r="AA61" s="386"/>
      <c r="AB61" s="386"/>
      <c r="AC61" s="386"/>
      <c r="AD61" s="386"/>
    </row>
    <row r="62" ht="23.25" customHeight="1">
      <c r="A62" s="386"/>
      <c r="B62" s="386"/>
      <c r="C62" s="386"/>
      <c r="D62" s="386"/>
      <c r="E62" s="386"/>
      <c r="F62" s="386"/>
      <c r="G62" s="386"/>
      <c r="H62" s="386"/>
      <c r="I62" s="386"/>
      <c r="J62" s="386"/>
      <c r="K62" s="386"/>
      <c r="L62" s="386"/>
      <c r="M62" s="386"/>
      <c r="N62" s="386"/>
      <c r="O62" s="386"/>
      <c r="P62" s="386"/>
      <c r="Q62" s="386"/>
      <c r="R62" s="386"/>
      <c r="S62" s="386"/>
      <c r="T62" s="386"/>
      <c r="U62" s="386"/>
      <c r="V62" s="386"/>
      <c r="W62" s="386"/>
      <c r="X62" s="386"/>
      <c r="Y62" s="386"/>
      <c r="Z62" s="386"/>
      <c r="AA62" s="386"/>
      <c r="AB62" s="386"/>
      <c r="AC62" s="386"/>
      <c r="AD62" s="386"/>
    </row>
    <row r="63" ht="23.25" customHeight="1">
      <c r="A63" s="386"/>
      <c r="B63" s="386"/>
      <c r="C63" s="386"/>
      <c r="D63" s="386"/>
      <c r="E63" s="386"/>
      <c r="F63" s="386"/>
      <c r="G63" s="386"/>
      <c r="H63" s="386"/>
      <c r="I63" s="386"/>
      <c r="J63" s="386"/>
      <c r="K63" s="386"/>
      <c r="L63" s="386"/>
      <c r="M63" s="386"/>
      <c r="N63" s="386"/>
      <c r="O63" s="386"/>
      <c r="P63" s="386"/>
      <c r="Q63" s="386"/>
      <c r="R63" s="386"/>
      <c r="S63" s="386"/>
      <c r="T63" s="386"/>
      <c r="U63" s="386"/>
      <c r="V63" s="386"/>
      <c r="W63" s="386"/>
      <c r="X63" s="386"/>
      <c r="Y63" s="386"/>
      <c r="Z63" s="386"/>
      <c r="AA63" s="386"/>
      <c r="AB63" s="386"/>
      <c r="AC63" s="386"/>
      <c r="AD63" s="386"/>
    </row>
    <row r="64" ht="23.25" customHeight="1">
      <c r="A64" s="386"/>
      <c r="B64" s="386"/>
      <c r="C64" s="386"/>
      <c r="D64" s="386"/>
      <c r="E64" s="386"/>
      <c r="F64" s="386"/>
      <c r="G64" s="386"/>
      <c r="H64" s="386"/>
      <c r="I64" s="386"/>
      <c r="J64" s="386"/>
      <c r="K64" s="386"/>
      <c r="L64" s="386"/>
      <c r="M64" s="386"/>
      <c r="N64" s="386"/>
      <c r="O64" s="386"/>
      <c r="P64" s="386"/>
      <c r="Q64" s="386"/>
      <c r="R64" s="386"/>
      <c r="S64" s="386"/>
      <c r="T64" s="386"/>
      <c r="U64" s="386"/>
      <c r="V64" s="386"/>
      <c r="W64" s="386"/>
      <c r="X64" s="386"/>
      <c r="Y64" s="386"/>
      <c r="Z64" s="386"/>
      <c r="AA64" s="386"/>
      <c r="AB64" s="386"/>
      <c r="AC64" s="386"/>
      <c r="AD64" s="386"/>
    </row>
    <row r="65" ht="23.25" customHeight="1">
      <c r="A65" s="386"/>
      <c r="B65" s="386"/>
      <c r="C65" s="386"/>
      <c r="D65" s="386"/>
      <c r="E65" s="386"/>
      <c r="F65" s="386"/>
      <c r="G65" s="386"/>
      <c r="H65" s="386"/>
      <c r="I65" s="386"/>
      <c r="J65" s="386"/>
      <c r="K65" s="386"/>
      <c r="L65" s="386"/>
      <c r="M65" s="386"/>
      <c r="N65" s="386"/>
      <c r="O65" s="386"/>
      <c r="P65" s="386"/>
      <c r="Q65" s="386"/>
      <c r="R65" s="386"/>
      <c r="S65" s="386"/>
      <c r="T65" s="386"/>
      <c r="U65" s="386"/>
      <c r="V65" s="386"/>
      <c r="W65" s="386"/>
      <c r="X65" s="386"/>
      <c r="Y65" s="386"/>
      <c r="Z65" s="386"/>
      <c r="AA65" s="386"/>
      <c r="AB65" s="386"/>
      <c r="AC65" s="386"/>
      <c r="AD65" s="386"/>
    </row>
    <row r="66" ht="23.25" customHeight="1">
      <c r="A66" s="386"/>
      <c r="B66" s="386"/>
      <c r="C66" s="386"/>
      <c r="D66" s="386"/>
      <c r="E66" s="386"/>
      <c r="F66" s="386"/>
      <c r="G66" s="386"/>
      <c r="H66" s="386"/>
      <c r="I66" s="386"/>
      <c r="J66" s="386"/>
      <c r="K66" s="386"/>
      <c r="L66" s="386"/>
      <c r="M66" s="386"/>
      <c r="N66" s="386"/>
      <c r="O66" s="386"/>
      <c r="P66" s="386"/>
      <c r="Q66" s="386"/>
      <c r="R66" s="386"/>
      <c r="S66" s="386"/>
      <c r="T66" s="386"/>
      <c r="U66" s="386"/>
      <c r="V66" s="386"/>
      <c r="W66" s="386"/>
      <c r="X66" s="386"/>
      <c r="Y66" s="386"/>
      <c r="Z66" s="386"/>
      <c r="AA66" s="386"/>
      <c r="AB66" s="386"/>
      <c r="AC66" s="386"/>
      <c r="AD66" s="386"/>
    </row>
    <row r="67" ht="23.25" customHeight="1">
      <c r="A67" s="386"/>
      <c r="B67" s="386"/>
      <c r="C67" s="386"/>
      <c r="D67" s="386"/>
      <c r="E67" s="386"/>
      <c r="F67" s="386"/>
      <c r="G67" s="386"/>
      <c r="H67" s="386"/>
      <c r="I67" s="386"/>
      <c r="J67" s="386"/>
      <c r="K67" s="386"/>
      <c r="L67" s="386"/>
      <c r="M67" s="386"/>
      <c r="N67" s="386"/>
      <c r="O67" s="386"/>
      <c r="P67" s="386"/>
      <c r="Q67" s="386"/>
      <c r="R67" s="386"/>
      <c r="S67" s="386"/>
      <c r="T67" s="386"/>
      <c r="U67" s="386"/>
      <c r="V67" s="386"/>
      <c r="W67" s="386"/>
      <c r="X67" s="386"/>
      <c r="Y67" s="386"/>
      <c r="Z67" s="386"/>
      <c r="AA67" s="386"/>
      <c r="AB67" s="386"/>
      <c r="AC67" s="386"/>
      <c r="AD67" s="386"/>
    </row>
    <row r="68" ht="23.25" customHeight="1">
      <c r="A68" s="386"/>
      <c r="B68" s="386"/>
      <c r="C68" s="386"/>
      <c r="D68" s="386"/>
      <c r="E68" s="386"/>
      <c r="F68" s="386"/>
      <c r="G68" s="386"/>
      <c r="H68" s="386"/>
      <c r="I68" s="386"/>
      <c r="J68" s="386"/>
      <c r="K68" s="386"/>
      <c r="L68" s="386"/>
      <c r="M68" s="386"/>
      <c r="N68" s="386"/>
      <c r="O68" s="386"/>
      <c r="P68" s="386"/>
      <c r="Q68" s="386"/>
      <c r="R68" s="386"/>
      <c r="S68" s="386"/>
      <c r="T68" s="386"/>
      <c r="U68" s="386"/>
      <c r="V68" s="386"/>
      <c r="W68" s="386"/>
      <c r="X68" s="386"/>
      <c r="Y68" s="386"/>
      <c r="Z68" s="386"/>
      <c r="AA68" s="386"/>
      <c r="AB68" s="386"/>
      <c r="AC68" s="386"/>
      <c r="AD68" s="386"/>
    </row>
    <row r="69" ht="23.25" customHeight="1">
      <c r="A69" s="386"/>
      <c r="B69" s="386"/>
      <c r="C69" s="386"/>
      <c r="D69" s="386"/>
      <c r="E69" s="386"/>
      <c r="F69" s="386"/>
      <c r="G69" s="386"/>
      <c r="H69" s="386"/>
      <c r="I69" s="386"/>
      <c r="J69" s="386"/>
      <c r="K69" s="386"/>
      <c r="L69" s="386"/>
      <c r="M69" s="386"/>
      <c r="N69" s="386"/>
      <c r="O69" s="386"/>
      <c r="P69" s="386"/>
      <c r="Q69" s="386"/>
      <c r="R69" s="386"/>
      <c r="S69" s="386"/>
      <c r="T69" s="386"/>
      <c r="U69" s="386"/>
      <c r="V69" s="386"/>
      <c r="W69" s="386"/>
      <c r="X69" s="386"/>
      <c r="Y69" s="386"/>
      <c r="Z69" s="386"/>
      <c r="AA69" s="386"/>
      <c r="AB69" s="386"/>
      <c r="AC69" s="386"/>
      <c r="AD69" s="386"/>
    </row>
    <row r="70" ht="23.25" customHeight="1">
      <c r="A70" s="386"/>
      <c r="B70" s="386"/>
      <c r="C70" s="386"/>
      <c r="D70" s="386"/>
      <c r="E70" s="386"/>
      <c r="F70" s="386"/>
      <c r="G70" s="386"/>
      <c r="H70" s="386"/>
      <c r="I70" s="386"/>
      <c r="J70" s="386"/>
      <c r="K70" s="386"/>
      <c r="L70" s="386"/>
      <c r="M70" s="386"/>
      <c r="N70" s="386"/>
      <c r="O70" s="386"/>
      <c r="P70" s="386"/>
      <c r="Q70" s="386"/>
      <c r="R70" s="386"/>
      <c r="S70" s="386"/>
      <c r="T70" s="386"/>
      <c r="U70" s="386"/>
      <c r="V70" s="386"/>
      <c r="W70" s="386"/>
      <c r="X70" s="386"/>
      <c r="Y70" s="386"/>
      <c r="Z70" s="386"/>
      <c r="AA70" s="386"/>
      <c r="AB70" s="386"/>
      <c r="AC70" s="386"/>
      <c r="AD70" s="386"/>
    </row>
    <row r="71" ht="23.25" customHeight="1">
      <c r="A71" s="386"/>
      <c r="B71" s="386"/>
      <c r="C71" s="386"/>
      <c r="D71" s="386"/>
      <c r="E71" s="386"/>
      <c r="F71" s="386"/>
      <c r="G71" s="386"/>
      <c r="H71" s="386"/>
      <c r="I71" s="386"/>
      <c r="J71" s="386"/>
      <c r="K71" s="386"/>
      <c r="L71" s="386"/>
      <c r="M71" s="386"/>
      <c r="N71" s="386"/>
      <c r="O71" s="386"/>
      <c r="P71" s="386"/>
      <c r="Q71" s="386"/>
      <c r="R71" s="386"/>
      <c r="S71" s="386"/>
      <c r="T71" s="386"/>
      <c r="U71" s="386"/>
      <c r="V71" s="386"/>
      <c r="W71" s="386"/>
      <c r="X71" s="386"/>
      <c r="Y71" s="386"/>
      <c r="Z71" s="386"/>
      <c r="AA71" s="386"/>
      <c r="AB71" s="386"/>
      <c r="AC71" s="386"/>
      <c r="AD71" s="386"/>
    </row>
    <row r="72" ht="23.25" customHeight="1">
      <c r="A72" s="386"/>
      <c r="B72" s="386"/>
      <c r="C72" s="386"/>
      <c r="D72" s="386"/>
      <c r="E72" s="386"/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6"/>
      <c r="T72" s="386"/>
      <c r="U72" s="386"/>
      <c r="V72" s="386"/>
      <c r="W72" s="386"/>
      <c r="X72" s="386"/>
      <c r="Y72" s="386"/>
      <c r="Z72" s="386"/>
      <c r="AA72" s="386"/>
      <c r="AB72" s="386"/>
      <c r="AC72" s="386"/>
      <c r="AD72" s="386"/>
    </row>
    <row r="73" ht="23.25" customHeight="1">
      <c r="A73" s="386"/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6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</row>
    <row r="74" ht="23.25" customHeight="1">
      <c r="A74" s="386"/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6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</row>
    <row r="75" ht="23.25" customHeight="1">
      <c r="A75" s="386"/>
      <c r="B75" s="386"/>
      <c r="C75" s="386"/>
      <c r="D75" s="386"/>
      <c r="E75" s="386"/>
      <c r="F75" s="386"/>
      <c r="G75" s="386"/>
      <c r="H75" s="386"/>
      <c r="I75" s="386"/>
      <c r="J75" s="386"/>
      <c r="K75" s="386"/>
      <c r="L75" s="386"/>
      <c r="M75" s="386"/>
      <c r="N75" s="386"/>
      <c r="O75" s="386"/>
      <c r="P75" s="386"/>
      <c r="Q75" s="386"/>
      <c r="R75" s="386"/>
      <c r="S75" s="386"/>
      <c r="T75" s="386"/>
      <c r="U75" s="386"/>
      <c r="V75" s="386"/>
      <c r="W75" s="386"/>
      <c r="X75" s="386"/>
      <c r="Y75" s="386"/>
      <c r="Z75" s="386"/>
      <c r="AA75" s="386"/>
      <c r="AB75" s="386"/>
      <c r="AC75" s="386"/>
      <c r="AD75" s="386"/>
    </row>
    <row r="76" ht="23.25" customHeight="1">
      <c r="A76" s="386"/>
      <c r="B76" s="386"/>
      <c r="C76" s="386"/>
      <c r="D76" s="386"/>
      <c r="E76" s="386"/>
      <c r="F76" s="386"/>
      <c r="G76" s="386"/>
      <c r="H76" s="386"/>
      <c r="I76" s="386"/>
      <c r="J76" s="386"/>
      <c r="K76" s="386"/>
      <c r="L76" s="386"/>
      <c r="M76" s="386"/>
      <c r="N76" s="386"/>
      <c r="O76" s="386"/>
      <c r="P76" s="386"/>
      <c r="Q76" s="386"/>
      <c r="R76" s="386"/>
      <c r="S76" s="386"/>
      <c r="T76" s="386"/>
      <c r="U76" s="386"/>
      <c r="V76" s="386"/>
      <c r="W76" s="386"/>
      <c r="X76" s="386"/>
      <c r="Y76" s="386"/>
      <c r="Z76" s="386"/>
      <c r="AA76" s="386"/>
      <c r="AB76" s="386"/>
      <c r="AC76" s="386"/>
      <c r="AD76" s="386"/>
    </row>
    <row r="77" ht="23.25" customHeight="1">
      <c r="A77" s="386"/>
      <c r="B77" s="386"/>
      <c r="C77" s="386"/>
      <c r="D77" s="386"/>
      <c r="E77" s="386"/>
      <c r="F77" s="386"/>
      <c r="G77" s="386"/>
      <c r="H77" s="386"/>
      <c r="I77" s="386"/>
      <c r="J77" s="386"/>
      <c r="K77" s="386"/>
      <c r="L77" s="386"/>
      <c r="M77" s="386"/>
      <c r="N77" s="386"/>
      <c r="O77" s="386"/>
      <c r="P77" s="386"/>
      <c r="Q77" s="386"/>
      <c r="R77" s="386"/>
      <c r="S77" s="386"/>
      <c r="T77" s="386"/>
      <c r="U77" s="386"/>
      <c r="V77" s="386"/>
      <c r="W77" s="386"/>
      <c r="X77" s="386"/>
      <c r="Y77" s="386"/>
      <c r="Z77" s="386"/>
      <c r="AA77" s="386"/>
      <c r="AB77" s="386"/>
      <c r="AC77" s="386"/>
      <c r="AD77" s="386"/>
    </row>
    <row r="78" ht="23.25" customHeight="1">
      <c r="A78" s="386"/>
      <c r="B78" s="386"/>
      <c r="C78" s="386"/>
      <c r="D78" s="386"/>
      <c r="E78" s="386"/>
      <c r="F78" s="386"/>
      <c r="G78" s="386"/>
      <c r="H78" s="386"/>
      <c r="I78" s="386"/>
      <c r="J78" s="386"/>
      <c r="K78" s="386"/>
      <c r="L78" s="386"/>
      <c r="M78" s="386"/>
      <c r="N78" s="386"/>
      <c r="O78" s="386"/>
      <c r="P78" s="386"/>
      <c r="Q78" s="386"/>
      <c r="R78" s="386"/>
      <c r="S78" s="386"/>
      <c r="T78" s="386"/>
      <c r="U78" s="386"/>
      <c r="V78" s="386"/>
      <c r="W78" s="386"/>
      <c r="X78" s="386"/>
      <c r="Y78" s="386"/>
      <c r="Z78" s="386"/>
      <c r="AA78" s="386"/>
      <c r="AB78" s="386"/>
      <c r="AC78" s="386"/>
      <c r="AD78" s="386"/>
    </row>
    <row r="79" ht="23.25" customHeight="1">
      <c r="A79" s="386"/>
      <c r="B79" s="386"/>
      <c r="C79" s="386"/>
      <c r="D79" s="386"/>
      <c r="E79" s="386"/>
      <c r="F79" s="386"/>
      <c r="G79" s="386"/>
      <c r="H79" s="386"/>
      <c r="I79" s="386"/>
      <c r="J79" s="386"/>
      <c r="K79" s="386"/>
      <c r="L79" s="386"/>
      <c r="M79" s="386"/>
      <c r="N79" s="386"/>
      <c r="O79" s="386"/>
      <c r="P79" s="386"/>
      <c r="Q79" s="386"/>
      <c r="R79" s="386"/>
      <c r="S79" s="386"/>
      <c r="T79" s="386"/>
      <c r="U79" s="386"/>
      <c r="V79" s="386"/>
      <c r="W79" s="386"/>
      <c r="X79" s="386"/>
      <c r="Y79" s="386"/>
      <c r="Z79" s="386"/>
      <c r="AA79" s="386"/>
      <c r="AB79" s="386"/>
      <c r="AC79" s="386"/>
      <c r="AD79" s="386"/>
    </row>
    <row r="80" ht="23.25" customHeight="1">
      <c r="A80" s="386"/>
      <c r="B80" s="386"/>
      <c r="C80" s="386"/>
      <c r="D80" s="386"/>
      <c r="E80" s="386"/>
      <c r="F80" s="386"/>
      <c r="G80" s="386"/>
      <c r="H80" s="386"/>
      <c r="I80" s="386"/>
      <c r="J80" s="386"/>
      <c r="K80" s="386"/>
      <c r="L80" s="386"/>
      <c r="M80" s="386"/>
      <c r="N80" s="386"/>
      <c r="O80" s="386"/>
      <c r="P80" s="386"/>
      <c r="Q80" s="386"/>
      <c r="R80" s="386"/>
      <c r="S80" s="386"/>
      <c r="T80" s="386"/>
      <c r="U80" s="386"/>
      <c r="V80" s="386"/>
      <c r="W80" s="386"/>
      <c r="X80" s="386"/>
      <c r="Y80" s="386"/>
      <c r="Z80" s="386"/>
      <c r="AA80" s="386"/>
      <c r="AB80" s="386"/>
      <c r="AC80" s="386"/>
      <c r="AD80" s="386"/>
    </row>
    <row r="81" ht="23.25" customHeight="1">
      <c r="A81" s="386"/>
      <c r="B81" s="386"/>
      <c r="C81" s="386"/>
      <c r="D81" s="386"/>
      <c r="E81" s="386"/>
      <c r="F81" s="386"/>
      <c r="G81" s="386"/>
      <c r="H81" s="386"/>
      <c r="I81" s="386"/>
      <c r="J81" s="386"/>
      <c r="K81" s="386"/>
      <c r="L81" s="386"/>
      <c r="M81" s="386"/>
      <c r="N81" s="386"/>
      <c r="O81" s="386"/>
      <c r="P81" s="386"/>
      <c r="Q81" s="386"/>
      <c r="R81" s="386"/>
      <c r="S81" s="386"/>
      <c r="T81" s="386"/>
      <c r="U81" s="386"/>
      <c r="V81" s="386"/>
      <c r="W81" s="386"/>
      <c r="X81" s="386"/>
      <c r="Y81" s="386"/>
      <c r="Z81" s="386"/>
      <c r="AA81" s="386"/>
      <c r="AB81" s="386"/>
      <c r="AC81" s="386"/>
      <c r="AD81" s="386"/>
    </row>
    <row r="82" ht="23.25" customHeight="1">
      <c r="A82" s="386"/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86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</row>
    <row r="83" ht="23.25" customHeight="1">
      <c r="A83" s="386"/>
      <c r="B83" s="386"/>
      <c r="C83" s="386"/>
      <c r="D83" s="386"/>
      <c r="E83" s="386"/>
      <c r="F83" s="386"/>
      <c r="G83" s="386"/>
      <c r="H83" s="386"/>
      <c r="I83" s="386"/>
      <c r="J83" s="386"/>
      <c r="K83" s="386"/>
      <c r="L83" s="386"/>
      <c r="M83" s="386"/>
      <c r="N83" s="386"/>
      <c r="O83" s="386"/>
      <c r="P83" s="386"/>
      <c r="Q83" s="386"/>
      <c r="R83" s="386"/>
      <c r="S83" s="386"/>
      <c r="T83" s="386"/>
      <c r="U83" s="386"/>
      <c r="V83" s="386"/>
      <c r="W83" s="386"/>
      <c r="X83" s="386"/>
      <c r="Y83" s="386"/>
      <c r="Z83" s="386"/>
      <c r="AA83" s="386"/>
      <c r="AB83" s="386"/>
      <c r="AC83" s="386"/>
      <c r="AD83" s="386"/>
    </row>
    <row r="84" ht="23.25" customHeight="1">
      <c r="A84" s="386"/>
      <c r="B84" s="386"/>
      <c r="C84" s="386"/>
      <c r="D84" s="386"/>
      <c r="E84" s="386"/>
      <c r="F84" s="386"/>
      <c r="G84" s="386"/>
      <c r="H84" s="386"/>
      <c r="I84" s="386"/>
      <c r="J84" s="386"/>
      <c r="K84" s="386"/>
      <c r="L84" s="386"/>
      <c r="M84" s="386"/>
      <c r="N84" s="386"/>
      <c r="O84" s="386"/>
      <c r="P84" s="386"/>
      <c r="Q84" s="386"/>
      <c r="R84" s="386"/>
      <c r="S84" s="386"/>
      <c r="T84" s="386"/>
      <c r="U84" s="386"/>
      <c r="V84" s="386"/>
      <c r="W84" s="386"/>
      <c r="X84" s="386"/>
      <c r="Y84" s="386"/>
      <c r="Z84" s="386"/>
      <c r="AA84" s="386"/>
      <c r="AB84" s="386"/>
      <c r="AC84" s="386"/>
      <c r="AD84" s="386"/>
    </row>
    <row r="85" ht="23.25" customHeight="1">
      <c r="A85" s="386"/>
      <c r="B85" s="386"/>
      <c r="C85" s="386"/>
      <c r="D85" s="386"/>
      <c r="E85" s="386"/>
      <c r="F85" s="386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86"/>
      <c r="R85" s="386"/>
      <c r="S85" s="386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86"/>
    </row>
    <row r="86" ht="23.25" customHeight="1">
      <c r="A86" s="386"/>
      <c r="B86" s="386"/>
      <c r="C86" s="386"/>
      <c r="D86" s="386"/>
      <c r="E86" s="386"/>
      <c r="F86" s="386"/>
      <c r="G86" s="386"/>
      <c r="H86" s="386"/>
      <c r="I86" s="386"/>
      <c r="J86" s="386"/>
      <c r="K86" s="386"/>
      <c r="L86" s="386"/>
      <c r="M86" s="386"/>
      <c r="N86" s="386"/>
      <c r="O86" s="386"/>
      <c r="P86" s="386"/>
      <c r="Q86" s="386"/>
      <c r="R86" s="386"/>
      <c r="S86" s="386"/>
      <c r="T86" s="386"/>
      <c r="U86" s="386"/>
      <c r="V86" s="386"/>
      <c r="W86" s="386"/>
      <c r="X86" s="386"/>
      <c r="Y86" s="386"/>
      <c r="Z86" s="386"/>
      <c r="AA86" s="386"/>
      <c r="AB86" s="386"/>
      <c r="AC86" s="386"/>
      <c r="AD86" s="386"/>
    </row>
    <row r="87" ht="23.25" customHeight="1">
      <c r="A87" s="386"/>
      <c r="B87" s="386"/>
      <c r="C87" s="386"/>
      <c r="D87" s="386"/>
      <c r="E87" s="386"/>
      <c r="F87" s="386"/>
      <c r="G87" s="386"/>
      <c r="H87" s="386"/>
      <c r="I87" s="386"/>
      <c r="J87" s="386"/>
      <c r="K87" s="386"/>
      <c r="L87" s="386"/>
      <c r="M87" s="386"/>
      <c r="N87" s="386"/>
      <c r="O87" s="386"/>
      <c r="P87" s="386"/>
      <c r="Q87" s="386"/>
      <c r="R87" s="386"/>
      <c r="S87" s="386"/>
      <c r="T87" s="386"/>
      <c r="U87" s="386"/>
      <c r="V87" s="386"/>
      <c r="W87" s="386"/>
      <c r="X87" s="386"/>
      <c r="Y87" s="386"/>
      <c r="Z87" s="386"/>
      <c r="AA87" s="386"/>
      <c r="AB87" s="386"/>
      <c r="AC87" s="386"/>
      <c r="AD87" s="386"/>
    </row>
    <row r="88" ht="23.25" customHeight="1">
      <c r="A88" s="386"/>
      <c r="B88" s="386"/>
      <c r="C88" s="386"/>
      <c r="D88" s="386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6"/>
      <c r="T88" s="386"/>
      <c r="U88" s="386"/>
      <c r="V88" s="386"/>
      <c r="W88" s="386"/>
      <c r="X88" s="386"/>
      <c r="Y88" s="386"/>
      <c r="Z88" s="386"/>
      <c r="AA88" s="386"/>
      <c r="AB88" s="386"/>
      <c r="AC88" s="386"/>
      <c r="AD88" s="386"/>
    </row>
    <row r="89" ht="23.25" customHeight="1">
      <c r="A89" s="386"/>
      <c r="B89" s="386"/>
      <c r="C89" s="386"/>
      <c r="D89" s="386"/>
      <c r="E89" s="386"/>
      <c r="F89" s="386"/>
      <c r="G89" s="386"/>
      <c r="H89" s="386"/>
      <c r="I89" s="386"/>
      <c r="J89" s="386"/>
      <c r="K89" s="386"/>
      <c r="L89" s="386"/>
      <c r="M89" s="386"/>
      <c r="N89" s="386"/>
      <c r="O89" s="386"/>
      <c r="P89" s="386"/>
      <c r="Q89" s="386"/>
      <c r="R89" s="386"/>
      <c r="S89" s="386"/>
      <c r="T89" s="386"/>
      <c r="U89" s="386"/>
      <c r="V89" s="386"/>
      <c r="W89" s="386"/>
      <c r="X89" s="386"/>
      <c r="Y89" s="386"/>
      <c r="Z89" s="386"/>
      <c r="AA89" s="386"/>
      <c r="AB89" s="386"/>
      <c r="AC89" s="386"/>
      <c r="AD89" s="386"/>
    </row>
    <row r="90" ht="23.25" customHeight="1">
      <c r="A90" s="386"/>
      <c r="B90" s="386"/>
      <c r="C90" s="386"/>
      <c r="D90" s="386"/>
      <c r="E90" s="386"/>
      <c r="F90" s="386"/>
      <c r="G90" s="386"/>
      <c r="H90" s="386"/>
      <c r="I90" s="386"/>
      <c r="J90" s="386"/>
      <c r="K90" s="386"/>
      <c r="L90" s="386"/>
      <c r="M90" s="386"/>
      <c r="N90" s="386"/>
      <c r="O90" s="386"/>
      <c r="P90" s="386"/>
      <c r="Q90" s="386"/>
      <c r="R90" s="386"/>
      <c r="S90" s="386"/>
      <c r="T90" s="386"/>
      <c r="U90" s="386"/>
      <c r="V90" s="386"/>
      <c r="W90" s="386"/>
      <c r="X90" s="386"/>
      <c r="Y90" s="386"/>
      <c r="Z90" s="386"/>
      <c r="AA90" s="386"/>
      <c r="AB90" s="386"/>
      <c r="AC90" s="386"/>
      <c r="AD90" s="386"/>
    </row>
    <row r="91" ht="23.25" customHeight="1">
      <c r="A91" s="386"/>
      <c r="B91" s="386"/>
      <c r="C91" s="386"/>
      <c r="D91" s="386"/>
      <c r="E91" s="386"/>
      <c r="F91" s="386"/>
      <c r="G91" s="386"/>
      <c r="H91" s="386"/>
      <c r="I91" s="386"/>
      <c r="J91" s="386"/>
      <c r="K91" s="386"/>
      <c r="L91" s="386"/>
      <c r="M91" s="386"/>
      <c r="N91" s="386"/>
      <c r="O91" s="386"/>
      <c r="P91" s="386"/>
      <c r="Q91" s="386"/>
      <c r="R91" s="386"/>
      <c r="S91" s="386"/>
      <c r="T91" s="386"/>
      <c r="U91" s="386"/>
      <c r="V91" s="386"/>
      <c r="W91" s="386"/>
      <c r="X91" s="386"/>
      <c r="Y91" s="386"/>
      <c r="Z91" s="386"/>
      <c r="AA91" s="386"/>
      <c r="AB91" s="386"/>
      <c r="AC91" s="386"/>
      <c r="AD91" s="386"/>
    </row>
    <row r="92" ht="23.25" customHeight="1">
      <c r="A92" s="386"/>
      <c r="B92" s="386"/>
      <c r="C92" s="386"/>
      <c r="D92" s="386"/>
      <c r="E92" s="386"/>
      <c r="F92" s="386"/>
      <c r="G92" s="386"/>
      <c r="H92" s="386"/>
      <c r="I92" s="386"/>
      <c r="J92" s="386"/>
      <c r="K92" s="386"/>
      <c r="L92" s="386"/>
      <c r="M92" s="386"/>
      <c r="N92" s="386"/>
      <c r="O92" s="386"/>
      <c r="P92" s="386"/>
      <c r="Q92" s="386"/>
      <c r="R92" s="386"/>
      <c r="S92" s="386"/>
      <c r="T92" s="386"/>
      <c r="U92" s="386"/>
      <c r="V92" s="386"/>
      <c r="W92" s="386"/>
      <c r="X92" s="386"/>
      <c r="Y92" s="386"/>
      <c r="Z92" s="386"/>
      <c r="AA92" s="386"/>
      <c r="AB92" s="386"/>
      <c r="AC92" s="386"/>
      <c r="AD92" s="386"/>
    </row>
    <row r="93" ht="23.25" customHeight="1">
      <c r="A93" s="386"/>
      <c r="B93" s="386"/>
      <c r="C93" s="386"/>
      <c r="D93" s="386"/>
      <c r="E93" s="386"/>
      <c r="F93" s="386"/>
      <c r="G93" s="386"/>
      <c r="H93" s="386"/>
      <c r="I93" s="386"/>
      <c r="J93" s="386"/>
      <c r="K93" s="386"/>
      <c r="L93" s="386"/>
      <c r="M93" s="386"/>
      <c r="N93" s="386"/>
      <c r="O93" s="386"/>
      <c r="P93" s="386"/>
      <c r="Q93" s="386"/>
      <c r="R93" s="386"/>
      <c r="S93" s="386"/>
      <c r="T93" s="386"/>
      <c r="U93" s="386"/>
      <c r="V93" s="386"/>
      <c r="W93" s="386"/>
      <c r="X93" s="386"/>
      <c r="Y93" s="386"/>
      <c r="Z93" s="386"/>
      <c r="AA93" s="386"/>
      <c r="AB93" s="386"/>
      <c r="AC93" s="386"/>
      <c r="AD93" s="386"/>
    </row>
    <row r="94" ht="23.25" customHeight="1">
      <c r="A94" s="386"/>
      <c r="B94" s="386"/>
      <c r="C94" s="386"/>
      <c r="D94" s="386"/>
      <c r="E94" s="386"/>
      <c r="F94" s="386"/>
      <c r="G94" s="386"/>
      <c r="H94" s="386"/>
      <c r="I94" s="386"/>
      <c r="J94" s="386"/>
      <c r="K94" s="386"/>
      <c r="L94" s="386"/>
      <c r="M94" s="386"/>
      <c r="N94" s="386"/>
      <c r="O94" s="386"/>
      <c r="P94" s="386"/>
      <c r="Q94" s="386"/>
      <c r="R94" s="386"/>
      <c r="S94" s="386"/>
      <c r="T94" s="386"/>
      <c r="U94" s="386"/>
      <c r="V94" s="386"/>
      <c r="W94" s="386"/>
      <c r="X94" s="386"/>
      <c r="Y94" s="386"/>
      <c r="Z94" s="386"/>
      <c r="AA94" s="386"/>
      <c r="AB94" s="386"/>
      <c r="AC94" s="386"/>
      <c r="AD94" s="386"/>
    </row>
    <row r="95" ht="23.25" customHeight="1">
      <c r="A95" s="386"/>
      <c r="B95" s="386"/>
      <c r="C95" s="386"/>
      <c r="D95" s="386"/>
      <c r="E95" s="386"/>
      <c r="F95" s="386"/>
      <c r="G95" s="386"/>
      <c r="H95" s="386"/>
      <c r="I95" s="386"/>
      <c r="J95" s="386"/>
      <c r="K95" s="386"/>
      <c r="L95" s="386"/>
      <c r="M95" s="386"/>
      <c r="N95" s="386"/>
      <c r="O95" s="386"/>
      <c r="P95" s="386"/>
      <c r="Q95" s="386"/>
      <c r="R95" s="386"/>
      <c r="S95" s="386"/>
      <c r="T95" s="386"/>
      <c r="U95" s="386"/>
      <c r="V95" s="386"/>
      <c r="W95" s="386"/>
      <c r="X95" s="386"/>
      <c r="Y95" s="386"/>
      <c r="Z95" s="386"/>
      <c r="AA95" s="386"/>
      <c r="AB95" s="386"/>
      <c r="AC95" s="386"/>
      <c r="AD95" s="386"/>
    </row>
    <row r="96" ht="23.25" customHeight="1">
      <c r="A96" s="386"/>
      <c r="B96" s="386"/>
      <c r="C96" s="386"/>
      <c r="D96" s="386"/>
      <c r="E96" s="386"/>
      <c r="F96" s="386"/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6"/>
      <c r="T96" s="386"/>
      <c r="U96" s="386"/>
      <c r="V96" s="386"/>
      <c r="W96" s="386"/>
      <c r="X96" s="386"/>
      <c r="Y96" s="386"/>
      <c r="Z96" s="386"/>
      <c r="AA96" s="386"/>
      <c r="AB96" s="386"/>
      <c r="AC96" s="386"/>
      <c r="AD96" s="386"/>
    </row>
    <row r="97" ht="23.25" customHeight="1">
      <c r="A97" s="386"/>
      <c r="B97" s="386"/>
      <c r="C97" s="386"/>
      <c r="D97" s="386"/>
      <c r="E97" s="386"/>
      <c r="F97" s="386"/>
      <c r="G97" s="386"/>
      <c r="H97" s="386"/>
      <c r="I97" s="386"/>
      <c r="J97" s="386"/>
      <c r="K97" s="386"/>
      <c r="L97" s="386"/>
      <c r="M97" s="386"/>
      <c r="N97" s="386"/>
      <c r="O97" s="386"/>
      <c r="P97" s="386"/>
      <c r="Q97" s="386"/>
      <c r="R97" s="386"/>
      <c r="S97" s="386"/>
      <c r="T97" s="386"/>
      <c r="U97" s="386"/>
      <c r="V97" s="386"/>
      <c r="W97" s="386"/>
      <c r="X97" s="386"/>
      <c r="Y97" s="386"/>
      <c r="Z97" s="386"/>
      <c r="AA97" s="386"/>
      <c r="AB97" s="386"/>
      <c r="AC97" s="386"/>
      <c r="AD97" s="386"/>
    </row>
    <row r="98" ht="23.25" customHeight="1">
      <c r="A98" s="386"/>
      <c r="B98" s="386"/>
      <c r="C98" s="386"/>
      <c r="D98" s="386"/>
      <c r="E98" s="386"/>
      <c r="F98" s="386"/>
      <c r="G98" s="386"/>
      <c r="H98" s="386"/>
      <c r="I98" s="386"/>
      <c r="J98" s="386"/>
      <c r="K98" s="386"/>
      <c r="L98" s="386"/>
      <c r="M98" s="386"/>
      <c r="N98" s="386"/>
      <c r="O98" s="386"/>
      <c r="P98" s="386"/>
      <c r="Q98" s="386"/>
      <c r="R98" s="386"/>
      <c r="S98" s="386"/>
      <c r="T98" s="386"/>
      <c r="U98" s="386"/>
      <c r="V98" s="386"/>
      <c r="W98" s="386"/>
      <c r="X98" s="386"/>
      <c r="Y98" s="386"/>
      <c r="Z98" s="386"/>
      <c r="AA98" s="386"/>
      <c r="AB98" s="386"/>
      <c r="AC98" s="386"/>
      <c r="AD98" s="386"/>
    </row>
    <row r="99" ht="23.25" customHeight="1">
      <c r="A99" s="386"/>
      <c r="B99" s="386"/>
      <c r="C99" s="386"/>
      <c r="D99" s="386"/>
      <c r="E99" s="386"/>
      <c r="F99" s="386"/>
      <c r="G99" s="386"/>
      <c r="H99" s="386"/>
      <c r="I99" s="386"/>
      <c r="J99" s="386"/>
      <c r="K99" s="386"/>
      <c r="L99" s="386"/>
      <c r="M99" s="386"/>
      <c r="N99" s="386"/>
      <c r="O99" s="386"/>
      <c r="P99" s="386"/>
      <c r="Q99" s="386"/>
      <c r="R99" s="386"/>
      <c r="S99" s="386"/>
      <c r="T99" s="386"/>
      <c r="U99" s="386"/>
      <c r="V99" s="386"/>
      <c r="W99" s="386"/>
      <c r="X99" s="386"/>
      <c r="Y99" s="386"/>
      <c r="Z99" s="386"/>
      <c r="AA99" s="386"/>
      <c r="AB99" s="386"/>
      <c r="AC99" s="386"/>
      <c r="AD99" s="386"/>
    </row>
    <row r="100" ht="23.25" customHeight="1">
      <c r="A100" s="386"/>
      <c r="B100" s="386"/>
      <c r="C100" s="386"/>
      <c r="D100" s="386"/>
      <c r="E100" s="386"/>
      <c r="F100" s="386"/>
      <c r="G100" s="386"/>
      <c r="H100" s="386"/>
      <c r="I100" s="386"/>
      <c r="J100" s="386"/>
      <c r="K100" s="386"/>
      <c r="L100" s="386"/>
      <c r="M100" s="386"/>
      <c r="N100" s="386"/>
      <c r="O100" s="386"/>
      <c r="P100" s="386"/>
      <c r="Q100" s="386"/>
      <c r="R100" s="386"/>
      <c r="S100" s="386"/>
      <c r="T100" s="386"/>
      <c r="U100" s="386"/>
      <c r="V100" s="386"/>
      <c r="W100" s="386"/>
      <c r="X100" s="386"/>
      <c r="Y100" s="386"/>
      <c r="Z100" s="386"/>
      <c r="AA100" s="386"/>
      <c r="AB100" s="386"/>
      <c r="AC100" s="386"/>
      <c r="AD100" s="386"/>
    </row>
    <row r="101" ht="23.25" customHeight="1">
      <c r="A101" s="386"/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386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</row>
    <row r="102" ht="23.25" customHeight="1">
      <c r="A102" s="386"/>
      <c r="B102" s="386"/>
      <c r="C102" s="386"/>
      <c r="D102" s="386"/>
      <c r="E102" s="386"/>
      <c r="F102" s="386"/>
      <c r="G102" s="386"/>
      <c r="H102" s="386"/>
      <c r="I102" s="386"/>
      <c r="J102" s="386"/>
      <c r="K102" s="386"/>
      <c r="L102" s="386"/>
      <c r="M102" s="386"/>
      <c r="N102" s="386"/>
      <c r="O102" s="386"/>
      <c r="P102" s="386"/>
      <c r="Q102" s="386"/>
      <c r="R102" s="386"/>
      <c r="S102" s="386"/>
      <c r="T102" s="386"/>
      <c r="U102" s="386"/>
      <c r="V102" s="386"/>
      <c r="W102" s="386"/>
      <c r="X102" s="386"/>
      <c r="Y102" s="386"/>
      <c r="Z102" s="386"/>
      <c r="AA102" s="386"/>
      <c r="AB102" s="386"/>
      <c r="AC102" s="386"/>
      <c r="AD102" s="386"/>
    </row>
    <row r="103" ht="23.25" customHeight="1">
      <c r="A103" s="386"/>
      <c r="B103" s="386"/>
      <c r="C103" s="386"/>
      <c r="D103" s="386"/>
      <c r="E103" s="386"/>
      <c r="F103" s="386"/>
      <c r="G103" s="386"/>
      <c r="H103" s="386"/>
      <c r="I103" s="386"/>
      <c r="J103" s="386"/>
      <c r="K103" s="386"/>
      <c r="L103" s="386"/>
      <c r="M103" s="386"/>
      <c r="N103" s="386"/>
      <c r="O103" s="386"/>
      <c r="P103" s="386"/>
      <c r="Q103" s="386"/>
      <c r="R103" s="386"/>
      <c r="S103" s="386"/>
      <c r="T103" s="386"/>
      <c r="U103" s="386"/>
      <c r="V103" s="386"/>
      <c r="W103" s="386"/>
      <c r="X103" s="386"/>
      <c r="Y103" s="386"/>
      <c r="Z103" s="386"/>
      <c r="AA103" s="386"/>
      <c r="AB103" s="386"/>
      <c r="AC103" s="386"/>
      <c r="AD103" s="386"/>
    </row>
    <row r="104" ht="23.25" customHeight="1">
      <c r="A104" s="386"/>
      <c r="B104" s="386"/>
      <c r="C104" s="386"/>
      <c r="D104" s="386"/>
      <c r="E104" s="386"/>
      <c r="F104" s="386"/>
      <c r="G104" s="386"/>
      <c r="H104" s="386"/>
      <c r="I104" s="386"/>
      <c r="J104" s="386"/>
      <c r="K104" s="386"/>
      <c r="L104" s="386"/>
      <c r="M104" s="386"/>
      <c r="N104" s="386"/>
      <c r="O104" s="386"/>
      <c r="P104" s="386"/>
      <c r="Q104" s="386"/>
      <c r="R104" s="386"/>
      <c r="S104" s="386"/>
      <c r="T104" s="386"/>
      <c r="U104" s="386"/>
      <c r="V104" s="386"/>
      <c r="W104" s="386"/>
      <c r="X104" s="386"/>
      <c r="Y104" s="386"/>
      <c r="Z104" s="386"/>
      <c r="AA104" s="386"/>
      <c r="AB104" s="386"/>
      <c r="AC104" s="386"/>
      <c r="AD104" s="386"/>
    </row>
    <row r="105" ht="23.25" customHeight="1">
      <c r="A105" s="386"/>
      <c r="B105" s="386"/>
      <c r="C105" s="386"/>
      <c r="D105" s="386"/>
      <c r="E105" s="386"/>
      <c r="F105" s="386"/>
      <c r="G105" s="386"/>
      <c r="H105" s="386"/>
      <c r="I105" s="386"/>
      <c r="J105" s="386"/>
      <c r="K105" s="386"/>
      <c r="L105" s="386"/>
      <c r="M105" s="386"/>
      <c r="N105" s="386"/>
      <c r="O105" s="386"/>
      <c r="P105" s="386"/>
      <c r="Q105" s="386"/>
      <c r="R105" s="386"/>
      <c r="S105" s="386"/>
      <c r="T105" s="386"/>
      <c r="U105" s="386"/>
      <c r="V105" s="386"/>
      <c r="W105" s="386"/>
      <c r="X105" s="386"/>
      <c r="Y105" s="386"/>
      <c r="Z105" s="386"/>
      <c r="AA105" s="386"/>
      <c r="AB105" s="386"/>
      <c r="AC105" s="386"/>
      <c r="AD105" s="386"/>
    </row>
    <row r="106" ht="23.25" customHeight="1">
      <c r="A106" s="386"/>
      <c r="B106" s="386"/>
      <c r="C106" s="386"/>
      <c r="D106" s="386"/>
      <c r="E106" s="386"/>
      <c r="F106" s="386"/>
      <c r="G106" s="386"/>
      <c r="H106" s="386"/>
      <c r="I106" s="386"/>
      <c r="J106" s="386"/>
      <c r="K106" s="386"/>
      <c r="L106" s="386"/>
      <c r="M106" s="386"/>
      <c r="N106" s="386"/>
      <c r="O106" s="386"/>
      <c r="P106" s="386"/>
      <c r="Q106" s="386"/>
      <c r="R106" s="386"/>
      <c r="S106" s="386"/>
      <c r="T106" s="386"/>
      <c r="U106" s="386"/>
      <c r="V106" s="386"/>
      <c r="W106" s="386"/>
      <c r="X106" s="386"/>
      <c r="Y106" s="386"/>
      <c r="Z106" s="386"/>
      <c r="AA106" s="386"/>
      <c r="AB106" s="386"/>
      <c r="AC106" s="386"/>
      <c r="AD106" s="386"/>
    </row>
    <row r="107" ht="23.25" customHeight="1">
      <c r="A107" s="386"/>
      <c r="B107" s="386"/>
      <c r="C107" s="386"/>
      <c r="D107" s="386"/>
      <c r="E107" s="386"/>
      <c r="F107" s="386"/>
      <c r="G107" s="386"/>
      <c r="H107" s="386"/>
      <c r="I107" s="386"/>
      <c r="J107" s="386"/>
      <c r="K107" s="386"/>
      <c r="L107" s="386"/>
      <c r="M107" s="386"/>
      <c r="N107" s="386"/>
      <c r="O107" s="386"/>
      <c r="P107" s="386"/>
      <c r="Q107" s="386"/>
      <c r="R107" s="386"/>
      <c r="S107" s="386"/>
      <c r="T107" s="386"/>
      <c r="U107" s="386"/>
      <c r="V107" s="386"/>
      <c r="W107" s="386"/>
      <c r="X107" s="386"/>
      <c r="Y107" s="386"/>
      <c r="Z107" s="386"/>
      <c r="AA107" s="386"/>
      <c r="AB107" s="386"/>
      <c r="AC107" s="386"/>
      <c r="AD107" s="386"/>
    </row>
    <row r="108" ht="23.25" customHeight="1">
      <c r="A108" s="386"/>
      <c r="B108" s="386"/>
      <c r="C108" s="386"/>
      <c r="D108" s="386"/>
      <c r="E108" s="386"/>
      <c r="F108" s="386"/>
      <c r="G108" s="386"/>
      <c r="H108" s="386"/>
      <c r="I108" s="386"/>
      <c r="J108" s="386"/>
      <c r="K108" s="386"/>
      <c r="L108" s="386"/>
      <c r="M108" s="386"/>
      <c r="N108" s="386"/>
      <c r="O108" s="386"/>
      <c r="P108" s="386"/>
      <c r="Q108" s="386"/>
      <c r="R108" s="386"/>
      <c r="S108" s="386"/>
      <c r="T108" s="386"/>
      <c r="U108" s="386"/>
      <c r="V108" s="386"/>
      <c r="W108" s="386"/>
      <c r="X108" s="386"/>
      <c r="Y108" s="386"/>
      <c r="Z108" s="386"/>
      <c r="AA108" s="386"/>
      <c r="AB108" s="386"/>
      <c r="AC108" s="386"/>
      <c r="AD108" s="386"/>
    </row>
    <row r="109" ht="23.25" customHeight="1">
      <c r="A109" s="386"/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386"/>
      <c r="P109" s="386"/>
      <c r="Q109" s="386"/>
      <c r="R109" s="386"/>
      <c r="S109" s="386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</row>
    <row r="110" ht="23.25" customHeight="1">
      <c r="A110" s="386"/>
      <c r="B110" s="386"/>
      <c r="C110" s="386"/>
      <c r="D110" s="386"/>
      <c r="E110" s="386"/>
      <c r="F110" s="386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86"/>
      <c r="R110" s="386"/>
      <c r="S110" s="386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86"/>
    </row>
    <row r="111" ht="23.25" customHeight="1">
      <c r="A111" s="386"/>
      <c r="B111" s="386"/>
      <c r="C111" s="386"/>
      <c r="D111" s="386"/>
      <c r="E111" s="386"/>
      <c r="F111" s="386"/>
      <c r="G111" s="386"/>
      <c r="H111" s="386"/>
      <c r="I111" s="386"/>
      <c r="J111" s="386"/>
      <c r="K111" s="386"/>
      <c r="L111" s="386"/>
      <c r="M111" s="386"/>
      <c r="N111" s="386"/>
      <c r="O111" s="386"/>
      <c r="P111" s="386"/>
      <c r="Q111" s="386"/>
      <c r="R111" s="386"/>
      <c r="S111" s="386"/>
      <c r="T111" s="386"/>
      <c r="U111" s="386"/>
      <c r="V111" s="386"/>
      <c r="W111" s="386"/>
      <c r="X111" s="386"/>
      <c r="Y111" s="386"/>
      <c r="Z111" s="386"/>
      <c r="AA111" s="386"/>
      <c r="AB111" s="386"/>
      <c r="AC111" s="386"/>
      <c r="AD111" s="386"/>
    </row>
    <row r="112" ht="23.25" customHeight="1">
      <c r="A112" s="386"/>
      <c r="B112" s="386"/>
      <c r="C112" s="386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6"/>
      <c r="T112" s="386"/>
      <c r="U112" s="386"/>
      <c r="V112" s="386"/>
      <c r="W112" s="386"/>
      <c r="X112" s="386"/>
      <c r="Y112" s="386"/>
      <c r="Z112" s="386"/>
      <c r="AA112" s="386"/>
      <c r="AB112" s="386"/>
      <c r="AC112" s="386"/>
      <c r="AD112" s="386"/>
    </row>
    <row r="113" ht="23.25" customHeight="1">
      <c r="A113" s="386"/>
      <c r="B113" s="386"/>
      <c r="C113" s="386"/>
      <c r="D113" s="386"/>
      <c r="E113" s="386"/>
      <c r="F113" s="386"/>
      <c r="G113" s="386"/>
      <c r="H113" s="386"/>
      <c r="I113" s="386"/>
      <c r="J113" s="386"/>
      <c r="K113" s="386"/>
      <c r="L113" s="386"/>
      <c r="M113" s="386"/>
      <c r="N113" s="386"/>
      <c r="O113" s="386"/>
      <c r="P113" s="386"/>
      <c r="Q113" s="386"/>
      <c r="R113" s="386"/>
      <c r="S113" s="386"/>
      <c r="T113" s="386"/>
      <c r="U113" s="386"/>
      <c r="V113" s="386"/>
      <c r="W113" s="386"/>
      <c r="X113" s="386"/>
      <c r="Y113" s="386"/>
      <c r="Z113" s="386"/>
      <c r="AA113" s="386"/>
      <c r="AB113" s="386"/>
      <c r="AC113" s="386"/>
      <c r="AD113" s="386"/>
    </row>
    <row r="114" ht="23.25" customHeight="1">
      <c r="A114" s="386"/>
      <c r="B114" s="386"/>
      <c r="C114" s="386"/>
      <c r="D114" s="386"/>
      <c r="E114" s="386"/>
      <c r="F114" s="386"/>
      <c r="G114" s="386"/>
      <c r="H114" s="386"/>
      <c r="I114" s="386"/>
      <c r="J114" s="386"/>
      <c r="K114" s="386"/>
      <c r="L114" s="386"/>
      <c r="M114" s="386"/>
      <c r="N114" s="386"/>
      <c r="O114" s="386"/>
      <c r="P114" s="386"/>
      <c r="Q114" s="386"/>
      <c r="R114" s="386"/>
      <c r="S114" s="386"/>
      <c r="T114" s="386"/>
      <c r="U114" s="386"/>
      <c r="V114" s="386"/>
      <c r="W114" s="386"/>
      <c r="X114" s="386"/>
      <c r="Y114" s="386"/>
      <c r="Z114" s="386"/>
      <c r="AA114" s="386"/>
      <c r="AB114" s="386"/>
      <c r="AC114" s="386"/>
      <c r="AD114" s="386"/>
    </row>
    <row r="115" ht="23.25" customHeight="1">
      <c r="A115" s="386"/>
      <c r="B115" s="386"/>
      <c r="C115" s="386"/>
      <c r="D115" s="386"/>
      <c r="E115" s="386"/>
      <c r="F115" s="386"/>
      <c r="G115" s="386"/>
      <c r="H115" s="386"/>
      <c r="I115" s="386"/>
      <c r="J115" s="386"/>
      <c r="K115" s="386"/>
      <c r="L115" s="386"/>
      <c r="M115" s="386"/>
      <c r="N115" s="386"/>
      <c r="O115" s="386"/>
      <c r="P115" s="386"/>
      <c r="Q115" s="386"/>
      <c r="R115" s="386"/>
      <c r="S115" s="386"/>
      <c r="T115" s="386"/>
      <c r="U115" s="386"/>
      <c r="V115" s="386"/>
      <c r="W115" s="386"/>
      <c r="X115" s="386"/>
      <c r="Y115" s="386"/>
      <c r="Z115" s="386"/>
      <c r="AA115" s="386"/>
      <c r="AB115" s="386"/>
      <c r="AC115" s="386"/>
      <c r="AD115" s="386"/>
    </row>
    <row r="116" ht="23.25" customHeight="1">
      <c r="A116" s="386"/>
      <c r="B116" s="386"/>
      <c r="C116" s="386"/>
      <c r="D116" s="386"/>
      <c r="E116" s="386"/>
      <c r="F116" s="386"/>
      <c r="G116" s="386"/>
      <c r="H116" s="386"/>
      <c r="I116" s="386"/>
      <c r="J116" s="386"/>
      <c r="K116" s="386"/>
      <c r="L116" s="386"/>
      <c r="M116" s="386"/>
      <c r="N116" s="386"/>
      <c r="O116" s="386"/>
      <c r="P116" s="386"/>
      <c r="Q116" s="386"/>
      <c r="R116" s="386"/>
      <c r="S116" s="386"/>
      <c r="T116" s="386"/>
      <c r="U116" s="386"/>
      <c r="V116" s="386"/>
      <c r="W116" s="386"/>
      <c r="X116" s="386"/>
      <c r="Y116" s="386"/>
      <c r="Z116" s="386"/>
      <c r="AA116" s="386"/>
      <c r="AB116" s="386"/>
      <c r="AC116" s="386"/>
      <c r="AD116" s="386"/>
    </row>
    <row r="117" ht="23.25" customHeight="1">
      <c r="A117" s="386"/>
      <c r="B117" s="386"/>
      <c r="C117" s="386"/>
      <c r="D117" s="386"/>
      <c r="E117" s="386"/>
      <c r="F117" s="386"/>
      <c r="G117" s="386"/>
      <c r="H117" s="386"/>
      <c r="I117" s="386"/>
      <c r="J117" s="386"/>
      <c r="K117" s="386"/>
      <c r="L117" s="386"/>
      <c r="M117" s="386"/>
      <c r="N117" s="386"/>
      <c r="O117" s="386"/>
      <c r="P117" s="386"/>
      <c r="Q117" s="386"/>
      <c r="R117" s="386"/>
      <c r="S117" s="386"/>
      <c r="T117" s="386"/>
      <c r="U117" s="386"/>
      <c r="V117" s="386"/>
      <c r="W117" s="386"/>
      <c r="X117" s="386"/>
      <c r="Y117" s="386"/>
      <c r="Z117" s="386"/>
      <c r="AA117" s="386"/>
      <c r="AB117" s="386"/>
      <c r="AC117" s="386"/>
      <c r="AD117" s="386"/>
    </row>
    <row r="118" ht="23.25" customHeight="1">
      <c r="A118" s="386"/>
      <c r="B118" s="386"/>
      <c r="C118" s="386"/>
      <c r="D118" s="386"/>
      <c r="E118" s="386"/>
      <c r="F118" s="386"/>
      <c r="G118" s="386"/>
      <c r="H118" s="386"/>
      <c r="I118" s="386"/>
      <c r="J118" s="386"/>
      <c r="K118" s="386"/>
      <c r="L118" s="386"/>
      <c r="M118" s="386"/>
      <c r="N118" s="386"/>
      <c r="O118" s="386"/>
      <c r="P118" s="386"/>
      <c r="Q118" s="386"/>
      <c r="R118" s="386"/>
      <c r="S118" s="386"/>
      <c r="T118" s="386"/>
      <c r="U118" s="386"/>
      <c r="V118" s="386"/>
      <c r="W118" s="386"/>
      <c r="X118" s="386"/>
      <c r="Y118" s="386"/>
      <c r="Z118" s="386"/>
      <c r="AA118" s="386"/>
      <c r="AB118" s="386"/>
      <c r="AC118" s="386"/>
      <c r="AD118" s="386"/>
    </row>
    <row r="119" ht="23.25" customHeight="1">
      <c r="A119" s="386"/>
      <c r="B119" s="386"/>
      <c r="C119" s="386"/>
      <c r="D119" s="386"/>
      <c r="E119" s="386"/>
      <c r="F119" s="386"/>
      <c r="G119" s="386"/>
      <c r="H119" s="386"/>
      <c r="I119" s="386"/>
      <c r="J119" s="386"/>
      <c r="K119" s="386"/>
      <c r="L119" s="386"/>
      <c r="M119" s="386"/>
      <c r="N119" s="386"/>
      <c r="O119" s="386"/>
      <c r="P119" s="386"/>
      <c r="Q119" s="386"/>
      <c r="R119" s="386"/>
      <c r="S119" s="386"/>
      <c r="T119" s="386"/>
      <c r="U119" s="386"/>
      <c r="V119" s="386"/>
      <c r="W119" s="386"/>
      <c r="X119" s="386"/>
      <c r="Y119" s="386"/>
      <c r="Z119" s="386"/>
      <c r="AA119" s="386"/>
      <c r="AB119" s="386"/>
      <c r="AC119" s="386"/>
      <c r="AD119" s="386"/>
    </row>
    <row r="120" ht="23.25" customHeight="1">
      <c r="A120" s="386"/>
      <c r="B120" s="386"/>
      <c r="C120" s="386"/>
      <c r="D120" s="386"/>
      <c r="E120" s="386"/>
      <c r="F120" s="386"/>
      <c r="G120" s="386"/>
      <c r="H120" s="386"/>
      <c r="I120" s="386"/>
      <c r="J120" s="386"/>
      <c r="K120" s="386"/>
      <c r="L120" s="386"/>
      <c r="M120" s="386"/>
      <c r="N120" s="386"/>
      <c r="O120" s="386"/>
      <c r="P120" s="386"/>
      <c r="Q120" s="386"/>
      <c r="R120" s="386"/>
      <c r="S120" s="386"/>
      <c r="T120" s="386"/>
      <c r="U120" s="386"/>
      <c r="V120" s="386"/>
      <c r="W120" s="386"/>
      <c r="X120" s="386"/>
      <c r="Y120" s="386"/>
      <c r="Z120" s="386"/>
      <c r="AA120" s="386"/>
      <c r="AB120" s="386"/>
      <c r="AC120" s="386"/>
      <c r="AD120" s="386"/>
    </row>
    <row r="121" ht="23.25" customHeight="1">
      <c r="A121" s="386"/>
      <c r="B121" s="386"/>
      <c r="C121" s="386"/>
      <c r="D121" s="386"/>
      <c r="E121" s="386"/>
      <c r="F121" s="386"/>
      <c r="G121" s="386"/>
      <c r="H121" s="386"/>
      <c r="I121" s="386"/>
      <c r="J121" s="386"/>
      <c r="K121" s="386"/>
      <c r="L121" s="386"/>
      <c r="M121" s="386"/>
      <c r="N121" s="386"/>
      <c r="O121" s="386"/>
      <c r="P121" s="386"/>
      <c r="Q121" s="386"/>
      <c r="R121" s="386"/>
      <c r="S121" s="386"/>
      <c r="T121" s="386"/>
      <c r="U121" s="386"/>
      <c r="V121" s="386"/>
      <c r="W121" s="386"/>
      <c r="X121" s="386"/>
      <c r="Y121" s="386"/>
      <c r="Z121" s="386"/>
      <c r="AA121" s="386"/>
      <c r="AB121" s="386"/>
      <c r="AC121" s="386"/>
      <c r="AD121" s="386"/>
    </row>
    <row r="122" ht="23.25" customHeight="1">
      <c r="A122" s="386"/>
      <c r="B122" s="386"/>
      <c r="C122" s="386"/>
      <c r="D122" s="386"/>
      <c r="E122" s="386"/>
      <c r="F122" s="386"/>
      <c r="G122" s="386"/>
      <c r="H122" s="386"/>
      <c r="I122" s="386"/>
      <c r="J122" s="386"/>
      <c r="K122" s="386"/>
      <c r="L122" s="386"/>
      <c r="M122" s="386"/>
      <c r="N122" s="386"/>
      <c r="O122" s="386"/>
      <c r="P122" s="386"/>
      <c r="Q122" s="386"/>
      <c r="R122" s="386"/>
      <c r="S122" s="386"/>
      <c r="T122" s="386"/>
      <c r="U122" s="386"/>
      <c r="V122" s="386"/>
      <c r="W122" s="386"/>
      <c r="X122" s="386"/>
      <c r="Y122" s="386"/>
      <c r="Z122" s="386"/>
      <c r="AA122" s="386"/>
      <c r="AB122" s="386"/>
      <c r="AC122" s="386"/>
      <c r="AD122" s="386"/>
    </row>
    <row r="123" ht="23.25" customHeight="1">
      <c r="A123" s="386"/>
      <c r="B123" s="386"/>
      <c r="C123" s="386"/>
      <c r="D123" s="386"/>
      <c r="E123" s="386"/>
      <c r="F123" s="386"/>
      <c r="G123" s="386"/>
      <c r="H123" s="386"/>
      <c r="I123" s="386"/>
      <c r="J123" s="386"/>
      <c r="K123" s="386"/>
      <c r="L123" s="386"/>
      <c r="M123" s="386"/>
      <c r="N123" s="386"/>
      <c r="O123" s="386"/>
      <c r="P123" s="386"/>
      <c r="Q123" s="386"/>
      <c r="R123" s="386"/>
      <c r="S123" s="386"/>
      <c r="T123" s="386"/>
      <c r="U123" s="386"/>
      <c r="V123" s="386"/>
      <c r="W123" s="386"/>
      <c r="X123" s="386"/>
      <c r="Y123" s="386"/>
      <c r="Z123" s="386"/>
      <c r="AA123" s="386"/>
      <c r="AB123" s="386"/>
      <c r="AC123" s="386"/>
      <c r="AD123" s="386"/>
    </row>
    <row r="124" ht="23.25" customHeight="1">
      <c r="A124" s="386"/>
      <c r="B124" s="386"/>
      <c r="C124" s="386"/>
      <c r="D124" s="386"/>
      <c r="E124" s="386"/>
      <c r="F124" s="386"/>
      <c r="G124" s="386"/>
      <c r="H124" s="386"/>
      <c r="I124" s="386"/>
      <c r="J124" s="386"/>
      <c r="K124" s="386"/>
      <c r="L124" s="386"/>
      <c r="M124" s="386"/>
      <c r="N124" s="386"/>
      <c r="O124" s="386"/>
      <c r="P124" s="386"/>
      <c r="Q124" s="386"/>
      <c r="R124" s="386"/>
      <c r="S124" s="386"/>
      <c r="T124" s="386"/>
      <c r="U124" s="386"/>
      <c r="V124" s="386"/>
      <c r="W124" s="386"/>
      <c r="X124" s="386"/>
      <c r="Y124" s="386"/>
      <c r="Z124" s="386"/>
      <c r="AA124" s="386"/>
      <c r="AB124" s="386"/>
      <c r="AC124" s="386"/>
      <c r="AD124" s="386"/>
    </row>
    <row r="125" ht="23.25" customHeight="1">
      <c r="A125" s="386"/>
      <c r="B125" s="386"/>
      <c r="C125" s="386"/>
      <c r="D125" s="386"/>
      <c r="E125" s="386"/>
      <c r="F125" s="386"/>
      <c r="G125" s="386"/>
      <c r="H125" s="386"/>
      <c r="I125" s="386"/>
      <c r="J125" s="386"/>
      <c r="K125" s="386"/>
      <c r="L125" s="386"/>
      <c r="M125" s="386"/>
      <c r="N125" s="386"/>
      <c r="O125" s="386"/>
      <c r="P125" s="386"/>
      <c r="Q125" s="386"/>
      <c r="R125" s="386"/>
      <c r="S125" s="386"/>
      <c r="T125" s="386"/>
      <c r="U125" s="386"/>
      <c r="V125" s="386"/>
      <c r="W125" s="386"/>
      <c r="X125" s="386"/>
      <c r="Y125" s="386"/>
      <c r="Z125" s="386"/>
      <c r="AA125" s="386"/>
      <c r="AB125" s="386"/>
      <c r="AC125" s="386"/>
      <c r="AD125" s="386"/>
    </row>
    <row r="126" ht="23.25" customHeight="1">
      <c r="A126" s="386"/>
      <c r="B126" s="386"/>
      <c r="C126" s="386"/>
      <c r="D126" s="386"/>
      <c r="E126" s="386"/>
      <c r="F126" s="386"/>
      <c r="G126" s="386"/>
      <c r="H126" s="386"/>
      <c r="I126" s="386"/>
      <c r="J126" s="386"/>
      <c r="K126" s="386"/>
      <c r="L126" s="386"/>
      <c r="M126" s="386"/>
      <c r="N126" s="386"/>
      <c r="O126" s="386"/>
      <c r="P126" s="386"/>
      <c r="Q126" s="386"/>
      <c r="R126" s="386"/>
      <c r="S126" s="386"/>
      <c r="T126" s="386"/>
      <c r="U126" s="386"/>
      <c r="V126" s="386"/>
      <c r="W126" s="386"/>
      <c r="X126" s="386"/>
      <c r="Y126" s="386"/>
      <c r="Z126" s="386"/>
      <c r="AA126" s="386"/>
      <c r="AB126" s="386"/>
      <c r="AC126" s="386"/>
      <c r="AD126" s="386"/>
    </row>
    <row r="127" ht="23.25" customHeight="1">
      <c r="A127" s="386"/>
      <c r="B127" s="386"/>
      <c r="C127" s="386"/>
      <c r="D127" s="386"/>
      <c r="E127" s="386"/>
      <c r="F127" s="386"/>
      <c r="G127" s="386"/>
      <c r="H127" s="386"/>
      <c r="I127" s="386"/>
      <c r="J127" s="386"/>
      <c r="K127" s="386"/>
      <c r="L127" s="386"/>
      <c r="M127" s="386"/>
      <c r="N127" s="386"/>
      <c r="O127" s="386"/>
      <c r="P127" s="386"/>
      <c r="Q127" s="386"/>
      <c r="R127" s="386"/>
      <c r="S127" s="386"/>
      <c r="T127" s="386"/>
      <c r="U127" s="386"/>
      <c r="V127" s="386"/>
      <c r="W127" s="386"/>
      <c r="X127" s="386"/>
      <c r="Y127" s="386"/>
      <c r="Z127" s="386"/>
      <c r="AA127" s="386"/>
      <c r="AB127" s="386"/>
      <c r="AC127" s="386"/>
      <c r="AD127" s="386"/>
    </row>
    <row r="128" ht="23.25" customHeight="1">
      <c r="A128" s="386"/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6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</row>
    <row r="129" ht="23.25" customHeight="1">
      <c r="A129" s="386"/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86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</row>
    <row r="130" ht="23.25" customHeight="1">
      <c r="A130" s="386"/>
      <c r="B130" s="386"/>
      <c r="C130" s="386"/>
      <c r="D130" s="386"/>
      <c r="E130" s="386"/>
      <c r="F130" s="386"/>
      <c r="G130" s="386"/>
      <c r="H130" s="386"/>
      <c r="I130" s="386"/>
      <c r="J130" s="386"/>
      <c r="K130" s="386"/>
      <c r="L130" s="386"/>
      <c r="M130" s="386"/>
      <c r="N130" s="386"/>
      <c r="O130" s="386"/>
      <c r="P130" s="386"/>
      <c r="Q130" s="386"/>
      <c r="R130" s="386"/>
      <c r="S130" s="386"/>
      <c r="T130" s="386"/>
      <c r="U130" s="386"/>
      <c r="V130" s="386"/>
      <c r="W130" s="386"/>
      <c r="X130" s="386"/>
      <c r="Y130" s="386"/>
      <c r="Z130" s="386"/>
      <c r="AA130" s="386"/>
      <c r="AB130" s="386"/>
      <c r="AC130" s="386"/>
      <c r="AD130" s="386"/>
    </row>
    <row r="131" ht="23.25" customHeight="1">
      <c r="A131" s="386"/>
      <c r="B131" s="386"/>
      <c r="C131" s="386"/>
      <c r="D131" s="386"/>
      <c r="E131" s="386"/>
      <c r="F131" s="386"/>
      <c r="G131" s="386"/>
      <c r="H131" s="386"/>
      <c r="I131" s="386"/>
      <c r="J131" s="386"/>
      <c r="K131" s="386"/>
      <c r="L131" s="386"/>
      <c r="M131" s="386"/>
      <c r="N131" s="386"/>
      <c r="O131" s="386"/>
      <c r="P131" s="386"/>
      <c r="Q131" s="386"/>
      <c r="R131" s="386"/>
      <c r="S131" s="386"/>
      <c r="T131" s="386"/>
      <c r="U131" s="386"/>
      <c r="V131" s="386"/>
      <c r="W131" s="386"/>
      <c r="X131" s="386"/>
      <c r="Y131" s="386"/>
      <c r="Z131" s="386"/>
      <c r="AA131" s="386"/>
      <c r="AB131" s="386"/>
      <c r="AC131" s="386"/>
      <c r="AD131" s="386"/>
    </row>
    <row r="132" ht="23.25" customHeight="1">
      <c r="A132" s="386"/>
      <c r="B132" s="386"/>
      <c r="C132" s="386"/>
      <c r="D132" s="386"/>
      <c r="E132" s="386"/>
      <c r="F132" s="386"/>
      <c r="G132" s="386"/>
      <c r="H132" s="386"/>
      <c r="I132" s="386"/>
      <c r="J132" s="386"/>
      <c r="K132" s="386"/>
      <c r="L132" s="386"/>
      <c r="M132" s="386"/>
      <c r="N132" s="386"/>
      <c r="O132" s="386"/>
      <c r="P132" s="386"/>
      <c r="Q132" s="386"/>
      <c r="R132" s="386"/>
      <c r="S132" s="386"/>
      <c r="T132" s="386"/>
      <c r="U132" s="386"/>
      <c r="V132" s="386"/>
      <c r="W132" s="386"/>
      <c r="X132" s="386"/>
      <c r="Y132" s="386"/>
      <c r="Z132" s="386"/>
      <c r="AA132" s="386"/>
      <c r="AB132" s="386"/>
      <c r="AC132" s="386"/>
      <c r="AD132" s="386"/>
    </row>
    <row r="133" ht="23.25" customHeight="1">
      <c r="A133" s="386"/>
      <c r="B133" s="386"/>
      <c r="C133" s="386"/>
      <c r="D133" s="386"/>
      <c r="E133" s="386"/>
      <c r="F133" s="386"/>
      <c r="G133" s="386"/>
      <c r="H133" s="386"/>
      <c r="I133" s="386"/>
      <c r="J133" s="386"/>
      <c r="K133" s="386"/>
      <c r="L133" s="386"/>
      <c r="M133" s="386"/>
      <c r="N133" s="386"/>
      <c r="O133" s="386"/>
      <c r="P133" s="386"/>
      <c r="Q133" s="386"/>
      <c r="R133" s="386"/>
      <c r="S133" s="386"/>
      <c r="T133" s="386"/>
      <c r="U133" s="386"/>
      <c r="V133" s="386"/>
      <c r="W133" s="386"/>
      <c r="X133" s="386"/>
      <c r="Y133" s="386"/>
      <c r="Z133" s="386"/>
      <c r="AA133" s="386"/>
      <c r="AB133" s="386"/>
      <c r="AC133" s="386"/>
      <c r="AD133" s="386"/>
    </row>
    <row r="134" ht="23.25" customHeight="1">
      <c r="A134" s="386"/>
      <c r="B134" s="386"/>
      <c r="C134" s="386"/>
      <c r="D134" s="386"/>
      <c r="E134" s="386"/>
      <c r="F134" s="386"/>
      <c r="G134" s="386"/>
      <c r="H134" s="386"/>
      <c r="I134" s="386"/>
      <c r="J134" s="386"/>
      <c r="K134" s="386"/>
      <c r="L134" s="386"/>
      <c r="M134" s="386"/>
      <c r="N134" s="386"/>
      <c r="O134" s="386"/>
      <c r="P134" s="386"/>
      <c r="Q134" s="386"/>
      <c r="R134" s="386"/>
      <c r="S134" s="386"/>
      <c r="T134" s="386"/>
      <c r="U134" s="386"/>
      <c r="V134" s="386"/>
      <c r="W134" s="386"/>
      <c r="X134" s="386"/>
      <c r="Y134" s="386"/>
      <c r="Z134" s="386"/>
      <c r="AA134" s="386"/>
      <c r="AB134" s="386"/>
      <c r="AC134" s="386"/>
      <c r="AD134" s="386"/>
    </row>
    <row r="135" ht="23.25" customHeight="1">
      <c r="A135" s="386"/>
      <c r="B135" s="386"/>
      <c r="C135" s="386"/>
      <c r="D135" s="386"/>
      <c r="E135" s="386"/>
      <c r="F135" s="386"/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86"/>
      <c r="R135" s="386"/>
      <c r="S135" s="386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86"/>
    </row>
    <row r="136" ht="23.25" customHeight="1">
      <c r="A136" s="386"/>
      <c r="B136" s="386"/>
      <c r="C136" s="386"/>
      <c r="D136" s="386"/>
      <c r="E136" s="386"/>
      <c r="F136" s="386"/>
      <c r="G136" s="386"/>
      <c r="H136" s="386"/>
      <c r="I136" s="386"/>
      <c r="J136" s="386"/>
      <c r="K136" s="386"/>
      <c r="L136" s="386"/>
      <c r="M136" s="386"/>
      <c r="N136" s="386"/>
      <c r="O136" s="386"/>
      <c r="P136" s="386"/>
      <c r="Q136" s="386"/>
      <c r="R136" s="386"/>
      <c r="S136" s="386"/>
      <c r="T136" s="386"/>
      <c r="U136" s="386"/>
      <c r="V136" s="386"/>
      <c r="W136" s="386"/>
      <c r="X136" s="386"/>
      <c r="Y136" s="386"/>
      <c r="Z136" s="386"/>
      <c r="AA136" s="386"/>
      <c r="AB136" s="386"/>
      <c r="AC136" s="386"/>
      <c r="AD136" s="386"/>
    </row>
    <row r="137" ht="23.25" customHeight="1">
      <c r="A137" s="386"/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6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</row>
    <row r="138" ht="23.25" customHeight="1">
      <c r="A138" s="386"/>
      <c r="B138" s="386"/>
      <c r="C138" s="386"/>
      <c r="D138" s="386"/>
      <c r="E138" s="386"/>
      <c r="F138" s="386"/>
      <c r="G138" s="386"/>
      <c r="H138" s="386"/>
      <c r="I138" s="386"/>
      <c r="J138" s="386"/>
      <c r="K138" s="386"/>
      <c r="L138" s="386"/>
      <c r="M138" s="386"/>
      <c r="N138" s="386"/>
      <c r="O138" s="386"/>
      <c r="P138" s="386"/>
      <c r="Q138" s="386"/>
      <c r="R138" s="386"/>
      <c r="S138" s="386"/>
      <c r="T138" s="386"/>
      <c r="U138" s="386"/>
      <c r="V138" s="386"/>
      <c r="W138" s="386"/>
      <c r="X138" s="386"/>
      <c r="Y138" s="386"/>
      <c r="Z138" s="386"/>
      <c r="AA138" s="386"/>
      <c r="AB138" s="386"/>
      <c r="AC138" s="386"/>
      <c r="AD138" s="386"/>
    </row>
    <row r="139" ht="23.25" customHeight="1">
      <c r="A139" s="386"/>
      <c r="B139" s="386"/>
      <c r="C139" s="386"/>
      <c r="D139" s="386"/>
      <c r="E139" s="386"/>
      <c r="F139" s="386"/>
      <c r="G139" s="386"/>
      <c r="H139" s="386"/>
      <c r="I139" s="386"/>
      <c r="J139" s="386"/>
      <c r="K139" s="386"/>
      <c r="L139" s="386"/>
      <c r="M139" s="386"/>
      <c r="N139" s="386"/>
      <c r="O139" s="386"/>
      <c r="P139" s="386"/>
      <c r="Q139" s="386"/>
      <c r="R139" s="386"/>
      <c r="S139" s="386"/>
      <c r="T139" s="386"/>
      <c r="U139" s="386"/>
      <c r="V139" s="386"/>
      <c r="W139" s="386"/>
      <c r="X139" s="386"/>
      <c r="Y139" s="386"/>
      <c r="Z139" s="386"/>
      <c r="AA139" s="386"/>
      <c r="AB139" s="386"/>
      <c r="AC139" s="386"/>
      <c r="AD139" s="386"/>
    </row>
    <row r="140" ht="23.25" customHeight="1">
      <c r="A140" s="386"/>
      <c r="B140" s="386"/>
      <c r="C140" s="386"/>
      <c r="D140" s="386"/>
      <c r="E140" s="386"/>
      <c r="F140" s="386"/>
      <c r="G140" s="386"/>
      <c r="H140" s="386"/>
      <c r="I140" s="386"/>
      <c r="J140" s="386"/>
      <c r="K140" s="386"/>
      <c r="L140" s="386"/>
      <c r="M140" s="386"/>
      <c r="N140" s="386"/>
      <c r="O140" s="386"/>
      <c r="P140" s="386"/>
      <c r="Q140" s="386"/>
      <c r="R140" s="386"/>
      <c r="S140" s="386"/>
      <c r="T140" s="386"/>
      <c r="U140" s="386"/>
      <c r="V140" s="386"/>
      <c r="W140" s="386"/>
      <c r="X140" s="386"/>
      <c r="Y140" s="386"/>
      <c r="Z140" s="386"/>
      <c r="AA140" s="386"/>
      <c r="AB140" s="386"/>
      <c r="AC140" s="386"/>
      <c r="AD140" s="386"/>
    </row>
    <row r="141" ht="23.25" customHeight="1">
      <c r="A141" s="386"/>
      <c r="B141" s="386"/>
      <c r="C141" s="386"/>
      <c r="D141" s="386"/>
      <c r="E141" s="386"/>
      <c r="F141" s="386"/>
      <c r="G141" s="386"/>
      <c r="H141" s="386"/>
      <c r="I141" s="386"/>
      <c r="J141" s="386"/>
      <c r="K141" s="386"/>
      <c r="L141" s="386"/>
      <c r="M141" s="386"/>
      <c r="N141" s="386"/>
      <c r="O141" s="386"/>
      <c r="P141" s="386"/>
      <c r="Q141" s="386"/>
      <c r="R141" s="386"/>
      <c r="S141" s="386"/>
      <c r="T141" s="386"/>
      <c r="U141" s="386"/>
      <c r="V141" s="386"/>
      <c r="W141" s="386"/>
      <c r="X141" s="386"/>
      <c r="Y141" s="386"/>
      <c r="Z141" s="386"/>
      <c r="AA141" s="386"/>
      <c r="AB141" s="386"/>
      <c r="AC141" s="386"/>
      <c r="AD141" s="386"/>
    </row>
    <row r="142" ht="23.25" customHeight="1">
      <c r="A142" s="386"/>
      <c r="B142" s="386"/>
      <c r="C142" s="386"/>
      <c r="D142" s="386"/>
      <c r="E142" s="386"/>
      <c r="F142" s="386"/>
      <c r="G142" s="386"/>
      <c r="H142" s="386"/>
      <c r="I142" s="386"/>
      <c r="J142" s="386"/>
      <c r="K142" s="386"/>
      <c r="L142" s="386"/>
      <c r="M142" s="386"/>
      <c r="N142" s="386"/>
      <c r="O142" s="386"/>
      <c r="P142" s="386"/>
      <c r="Q142" s="386"/>
      <c r="R142" s="386"/>
      <c r="S142" s="386"/>
      <c r="T142" s="386"/>
      <c r="U142" s="386"/>
      <c r="V142" s="386"/>
      <c r="W142" s="386"/>
      <c r="X142" s="386"/>
      <c r="Y142" s="386"/>
      <c r="Z142" s="386"/>
      <c r="AA142" s="386"/>
      <c r="AB142" s="386"/>
      <c r="AC142" s="386"/>
      <c r="AD142" s="386"/>
    </row>
    <row r="143" ht="23.25" customHeight="1">
      <c r="A143" s="386"/>
      <c r="B143" s="386"/>
      <c r="C143" s="386"/>
      <c r="D143" s="386"/>
      <c r="E143" s="386"/>
      <c r="F143" s="386"/>
      <c r="G143" s="386"/>
      <c r="H143" s="386"/>
      <c r="I143" s="386"/>
      <c r="J143" s="386"/>
      <c r="K143" s="386"/>
      <c r="L143" s="386"/>
      <c r="M143" s="386"/>
      <c r="N143" s="386"/>
      <c r="O143" s="386"/>
      <c r="P143" s="386"/>
      <c r="Q143" s="386"/>
      <c r="R143" s="386"/>
      <c r="S143" s="386"/>
      <c r="T143" s="386"/>
      <c r="U143" s="386"/>
      <c r="V143" s="386"/>
      <c r="W143" s="386"/>
      <c r="X143" s="386"/>
      <c r="Y143" s="386"/>
      <c r="Z143" s="386"/>
      <c r="AA143" s="386"/>
      <c r="AB143" s="386"/>
      <c r="AC143" s="386"/>
      <c r="AD143" s="386"/>
    </row>
    <row r="144" ht="23.25" customHeight="1">
      <c r="A144" s="386"/>
      <c r="B144" s="386"/>
      <c r="C144" s="386"/>
      <c r="D144" s="386"/>
      <c r="E144" s="386"/>
      <c r="F144" s="386"/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6"/>
      <c r="T144" s="386"/>
      <c r="U144" s="386"/>
      <c r="V144" s="386"/>
      <c r="W144" s="386"/>
      <c r="X144" s="386"/>
      <c r="Y144" s="386"/>
      <c r="Z144" s="386"/>
      <c r="AA144" s="386"/>
      <c r="AB144" s="386"/>
      <c r="AC144" s="386"/>
      <c r="AD144" s="386"/>
    </row>
    <row r="145" ht="23.25" customHeight="1">
      <c r="A145" s="386"/>
      <c r="B145" s="386"/>
      <c r="C145" s="386"/>
      <c r="D145" s="386"/>
      <c r="E145" s="386"/>
      <c r="F145" s="386"/>
      <c r="G145" s="386"/>
      <c r="H145" s="386"/>
      <c r="I145" s="386"/>
      <c r="J145" s="386"/>
      <c r="K145" s="386"/>
      <c r="L145" s="386"/>
      <c r="M145" s="386"/>
      <c r="N145" s="386"/>
      <c r="O145" s="386"/>
      <c r="P145" s="386"/>
      <c r="Q145" s="386"/>
      <c r="R145" s="386"/>
      <c r="S145" s="386"/>
      <c r="T145" s="386"/>
      <c r="U145" s="386"/>
      <c r="V145" s="386"/>
      <c r="W145" s="386"/>
      <c r="X145" s="386"/>
      <c r="Y145" s="386"/>
      <c r="Z145" s="386"/>
      <c r="AA145" s="386"/>
      <c r="AB145" s="386"/>
      <c r="AC145" s="386"/>
      <c r="AD145" s="386"/>
    </row>
    <row r="146" ht="23.25" customHeight="1">
      <c r="A146" s="386"/>
      <c r="B146" s="386"/>
      <c r="C146" s="386"/>
      <c r="D146" s="386"/>
      <c r="E146" s="386"/>
      <c r="F146" s="386"/>
      <c r="G146" s="386"/>
      <c r="H146" s="386"/>
      <c r="I146" s="386"/>
      <c r="J146" s="386"/>
      <c r="K146" s="386"/>
      <c r="L146" s="386"/>
      <c r="M146" s="386"/>
      <c r="N146" s="386"/>
      <c r="O146" s="386"/>
      <c r="P146" s="386"/>
      <c r="Q146" s="386"/>
      <c r="R146" s="386"/>
      <c r="S146" s="386"/>
      <c r="T146" s="386"/>
      <c r="U146" s="386"/>
      <c r="V146" s="386"/>
      <c r="W146" s="386"/>
      <c r="X146" s="386"/>
      <c r="Y146" s="386"/>
      <c r="Z146" s="386"/>
      <c r="AA146" s="386"/>
      <c r="AB146" s="386"/>
      <c r="AC146" s="386"/>
      <c r="AD146" s="386"/>
    </row>
    <row r="147" ht="23.25" customHeight="1">
      <c r="A147" s="386"/>
      <c r="B147" s="386"/>
      <c r="C147" s="386"/>
      <c r="D147" s="386"/>
      <c r="E147" s="386"/>
      <c r="F147" s="386"/>
      <c r="G147" s="386"/>
      <c r="H147" s="386"/>
      <c r="I147" s="386"/>
      <c r="J147" s="386"/>
      <c r="K147" s="386"/>
      <c r="L147" s="386"/>
      <c r="M147" s="386"/>
      <c r="N147" s="386"/>
      <c r="O147" s="386"/>
      <c r="P147" s="386"/>
      <c r="Q147" s="386"/>
      <c r="R147" s="386"/>
      <c r="S147" s="386"/>
      <c r="T147" s="386"/>
      <c r="U147" s="386"/>
      <c r="V147" s="386"/>
      <c r="W147" s="386"/>
      <c r="X147" s="386"/>
      <c r="Y147" s="386"/>
      <c r="Z147" s="386"/>
      <c r="AA147" s="386"/>
      <c r="AB147" s="386"/>
      <c r="AC147" s="386"/>
      <c r="AD147" s="386"/>
    </row>
    <row r="148" ht="23.25" customHeight="1">
      <c r="A148" s="386"/>
      <c r="B148" s="386"/>
      <c r="C148" s="386"/>
      <c r="D148" s="386"/>
      <c r="E148" s="386"/>
      <c r="F148" s="386"/>
      <c r="G148" s="386"/>
      <c r="H148" s="386"/>
      <c r="I148" s="386"/>
      <c r="J148" s="386"/>
      <c r="K148" s="386"/>
      <c r="L148" s="386"/>
      <c r="M148" s="386"/>
      <c r="N148" s="386"/>
      <c r="O148" s="386"/>
      <c r="P148" s="386"/>
      <c r="Q148" s="386"/>
      <c r="R148" s="386"/>
      <c r="S148" s="386"/>
      <c r="T148" s="386"/>
      <c r="U148" s="386"/>
      <c r="V148" s="386"/>
      <c r="W148" s="386"/>
      <c r="X148" s="386"/>
      <c r="Y148" s="386"/>
      <c r="Z148" s="386"/>
      <c r="AA148" s="386"/>
      <c r="AB148" s="386"/>
      <c r="AC148" s="386"/>
      <c r="AD148" s="386"/>
    </row>
    <row r="149" ht="23.25" customHeight="1">
      <c r="A149" s="386"/>
      <c r="B149" s="386"/>
      <c r="C149" s="386"/>
      <c r="D149" s="386"/>
      <c r="E149" s="386"/>
      <c r="F149" s="386"/>
      <c r="G149" s="386"/>
      <c r="H149" s="386"/>
      <c r="I149" s="386"/>
      <c r="J149" s="386"/>
      <c r="K149" s="386"/>
      <c r="L149" s="386"/>
      <c r="M149" s="386"/>
      <c r="N149" s="386"/>
      <c r="O149" s="386"/>
      <c r="P149" s="386"/>
      <c r="Q149" s="386"/>
      <c r="R149" s="386"/>
      <c r="S149" s="386"/>
      <c r="T149" s="386"/>
      <c r="U149" s="386"/>
      <c r="V149" s="386"/>
      <c r="W149" s="386"/>
      <c r="X149" s="386"/>
      <c r="Y149" s="386"/>
      <c r="Z149" s="386"/>
      <c r="AA149" s="386"/>
      <c r="AB149" s="386"/>
      <c r="AC149" s="386"/>
      <c r="AD149" s="386"/>
    </row>
    <row r="150" ht="23.25" customHeight="1">
      <c r="A150" s="386"/>
      <c r="B150" s="386"/>
      <c r="C150" s="386"/>
      <c r="D150" s="386"/>
      <c r="E150" s="386"/>
      <c r="F150" s="386"/>
      <c r="G150" s="386"/>
      <c r="H150" s="386"/>
      <c r="I150" s="386"/>
      <c r="J150" s="386"/>
      <c r="K150" s="386"/>
      <c r="L150" s="386"/>
      <c r="M150" s="386"/>
      <c r="N150" s="386"/>
      <c r="O150" s="386"/>
      <c r="P150" s="386"/>
      <c r="Q150" s="386"/>
      <c r="R150" s="386"/>
      <c r="S150" s="386"/>
      <c r="T150" s="386"/>
      <c r="U150" s="386"/>
      <c r="V150" s="386"/>
      <c r="W150" s="386"/>
      <c r="X150" s="386"/>
      <c r="Y150" s="386"/>
      <c r="Z150" s="386"/>
      <c r="AA150" s="386"/>
      <c r="AB150" s="386"/>
      <c r="AC150" s="386"/>
      <c r="AD150" s="386"/>
    </row>
    <row r="151" ht="23.25" customHeight="1">
      <c r="A151" s="386"/>
      <c r="B151" s="386"/>
      <c r="C151" s="386"/>
      <c r="D151" s="386"/>
      <c r="E151" s="386"/>
      <c r="F151" s="386"/>
      <c r="G151" s="386"/>
      <c r="H151" s="386"/>
      <c r="I151" s="386"/>
      <c r="J151" s="386"/>
      <c r="K151" s="386"/>
      <c r="L151" s="386"/>
      <c r="M151" s="386"/>
      <c r="N151" s="386"/>
      <c r="O151" s="386"/>
      <c r="P151" s="386"/>
      <c r="Q151" s="386"/>
      <c r="R151" s="386"/>
      <c r="S151" s="386"/>
      <c r="T151" s="386"/>
      <c r="U151" s="386"/>
      <c r="V151" s="386"/>
      <c r="W151" s="386"/>
      <c r="X151" s="386"/>
      <c r="Y151" s="386"/>
      <c r="Z151" s="386"/>
      <c r="AA151" s="386"/>
      <c r="AB151" s="386"/>
      <c r="AC151" s="386"/>
      <c r="AD151" s="386"/>
    </row>
    <row r="152" ht="23.25" customHeight="1">
      <c r="A152" s="386"/>
      <c r="B152" s="386"/>
      <c r="C152" s="386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6"/>
      <c r="T152" s="386"/>
      <c r="U152" s="386"/>
      <c r="V152" s="386"/>
      <c r="W152" s="386"/>
      <c r="X152" s="386"/>
      <c r="Y152" s="386"/>
      <c r="Z152" s="386"/>
      <c r="AA152" s="386"/>
      <c r="AB152" s="386"/>
      <c r="AC152" s="386"/>
      <c r="AD152" s="386"/>
    </row>
    <row r="153" ht="23.25" customHeight="1">
      <c r="A153" s="386"/>
      <c r="B153" s="386"/>
      <c r="C153" s="386"/>
      <c r="D153" s="386"/>
      <c r="E153" s="386"/>
      <c r="F153" s="386"/>
      <c r="G153" s="386"/>
      <c r="H153" s="386"/>
      <c r="I153" s="386"/>
      <c r="J153" s="386"/>
      <c r="K153" s="386"/>
      <c r="L153" s="386"/>
      <c r="M153" s="386"/>
      <c r="N153" s="386"/>
      <c r="O153" s="386"/>
      <c r="P153" s="386"/>
      <c r="Q153" s="386"/>
      <c r="R153" s="386"/>
      <c r="S153" s="386"/>
      <c r="T153" s="386"/>
      <c r="U153" s="386"/>
      <c r="V153" s="386"/>
      <c r="W153" s="386"/>
      <c r="X153" s="386"/>
      <c r="Y153" s="386"/>
      <c r="Z153" s="386"/>
      <c r="AA153" s="386"/>
      <c r="AB153" s="386"/>
      <c r="AC153" s="386"/>
      <c r="AD153" s="386"/>
    </row>
    <row r="154" ht="23.25" customHeight="1">
      <c r="A154" s="386"/>
      <c r="B154" s="386"/>
      <c r="C154" s="386"/>
      <c r="D154" s="386"/>
      <c r="E154" s="386"/>
      <c r="F154" s="386"/>
      <c r="G154" s="386"/>
      <c r="H154" s="386"/>
      <c r="I154" s="386"/>
      <c r="J154" s="386"/>
      <c r="K154" s="386"/>
      <c r="L154" s="386"/>
      <c r="M154" s="386"/>
      <c r="N154" s="386"/>
      <c r="O154" s="386"/>
      <c r="P154" s="386"/>
      <c r="Q154" s="386"/>
      <c r="R154" s="386"/>
      <c r="S154" s="386"/>
      <c r="T154" s="386"/>
      <c r="U154" s="386"/>
      <c r="V154" s="386"/>
      <c r="W154" s="386"/>
      <c r="X154" s="386"/>
      <c r="Y154" s="386"/>
      <c r="Z154" s="386"/>
      <c r="AA154" s="386"/>
      <c r="AB154" s="386"/>
      <c r="AC154" s="386"/>
      <c r="AD154" s="386"/>
    </row>
    <row r="155" ht="23.25" customHeight="1">
      <c r="A155" s="386"/>
      <c r="B155" s="386"/>
      <c r="C155" s="386"/>
      <c r="D155" s="386"/>
      <c r="E155" s="386"/>
      <c r="F155" s="386"/>
      <c r="G155" s="386"/>
      <c r="H155" s="386"/>
      <c r="I155" s="386"/>
      <c r="J155" s="386"/>
      <c r="K155" s="386"/>
      <c r="L155" s="386"/>
      <c r="M155" s="386"/>
      <c r="N155" s="386"/>
      <c r="O155" s="386"/>
      <c r="P155" s="386"/>
      <c r="Q155" s="386"/>
      <c r="R155" s="386"/>
      <c r="S155" s="386"/>
      <c r="T155" s="386"/>
      <c r="U155" s="386"/>
      <c r="V155" s="386"/>
      <c r="W155" s="386"/>
      <c r="X155" s="386"/>
      <c r="Y155" s="386"/>
      <c r="Z155" s="386"/>
      <c r="AA155" s="386"/>
      <c r="AB155" s="386"/>
      <c r="AC155" s="386"/>
      <c r="AD155" s="386"/>
    </row>
    <row r="156" ht="23.25" customHeight="1">
      <c r="A156" s="386"/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6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</row>
    <row r="157" ht="23.25" customHeight="1">
      <c r="A157" s="386"/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86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</row>
    <row r="158" ht="23.25" customHeight="1">
      <c r="A158" s="386"/>
      <c r="B158" s="386"/>
      <c r="C158" s="386"/>
      <c r="D158" s="386"/>
      <c r="E158" s="386"/>
      <c r="F158" s="386"/>
      <c r="G158" s="386"/>
      <c r="H158" s="386"/>
      <c r="I158" s="386"/>
      <c r="J158" s="386"/>
      <c r="K158" s="386"/>
      <c r="L158" s="386"/>
      <c r="M158" s="386"/>
      <c r="N158" s="386"/>
      <c r="O158" s="386"/>
      <c r="P158" s="386"/>
      <c r="Q158" s="386"/>
      <c r="R158" s="386"/>
      <c r="S158" s="386"/>
      <c r="T158" s="386"/>
      <c r="U158" s="386"/>
      <c r="V158" s="386"/>
      <c r="W158" s="386"/>
      <c r="X158" s="386"/>
      <c r="Y158" s="386"/>
      <c r="Z158" s="386"/>
      <c r="AA158" s="386"/>
      <c r="AB158" s="386"/>
      <c r="AC158" s="386"/>
      <c r="AD158" s="386"/>
    </row>
    <row r="159" ht="23.25" customHeight="1">
      <c r="A159" s="386"/>
      <c r="B159" s="386"/>
      <c r="C159" s="386"/>
      <c r="D159" s="386"/>
      <c r="E159" s="386"/>
      <c r="F159" s="386"/>
      <c r="G159" s="386"/>
      <c r="H159" s="386"/>
      <c r="I159" s="386"/>
      <c r="J159" s="386"/>
      <c r="K159" s="386"/>
      <c r="L159" s="386"/>
      <c r="M159" s="386"/>
      <c r="N159" s="386"/>
      <c r="O159" s="386"/>
      <c r="P159" s="386"/>
      <c r="Q159" s="386"/>
      <c r="R159" s="386"/>
      <c r="S159" s="386"/>
      <c r="T159" s="386"/>
      <c r="U159" s="386"/>
      <c r="V159" s="386"/>
      <c r="W159" s="386"/>
      <c r="X159" s="386"/>
      <c r="Y159" s="386"/>
      <c r="Z159" s="386"/>
      <c r="AA159" s="386"/>
      <c r="AB159" s="386"/>
      <c r="AC159" s="386"/>
      <c r="AD159" s="386"/>
    </row>
    <row r="160" ht="23.25" customHeight="1">
      <c r="A160" s="386"/>
      <c r="B160" s="386"/>
      <c r="C160" s="386"/>
      <c r="D160" s="386"/>
      <c r="E160" s="386"/>
      <c r="F160" s="386"/>
      <c r="G160" s="386"/>
      <c r="H160" s="386"/>
      <c r="I160" s="386"/>
      <c r="J160" s="386"/>
      <c r="K160" s="386"/>
      <c r="L160" s="386"/>
      <c r="M160" s="386"/>
      <c r="N160" s="386"/>
      <c r="O160" s="386"/>
      <c r="P160" s="386"/>
      <c r="Q160" s="386"/>
      <c r="R160" s="386"/>
      <c r="S160" s="386"/>
      <c r="T160" s="386"/>
      <c r="U160" s="386"/>
      <c r="V160" s="386"/>
      <c r="W160" s="386"/>
      <c r="X160" s="386"/>
      <c r="Y160" s="386"/>
      <c r="Z160" s="386"/>
      <c r="AA160" s="386"/>
      <c r="AB160" s="386"/>
      <c r="AC160" s="386"/>
      <c r="AD160" s="386"/>
    </row>
    <row r="161" ht="23.25" customHeight="1">
      <c r="A161" s="386"/>
      <c r="B161" s="386"/>
      <c r="C161" s="386"/>
      <c r="D161" s="386"/>
      <c r="E161" s="386"/>
      <c r="F161" s="386"/>
      <c r="G161" s="386"/>
      <c r="H161" s="386"/>
      <c r="I161" s="386"/>
      <c r="J161" s="386"/>
      <c r="K161" s="386"/>
      <c r="L161" s="386"/>
      <c r="M161" s="386"/>
      <c r="N161" s="386"/>
      <c r="O161" s="386"/>
      <c r="P161" s="386"/>
      <c r="Q161" s="386"/>
      <c r="R161" s="386"/>
      <c r="S161" s="386"/>
      <c r="T161" s="386"/>
      <c r="U161" s="386"/>
      <c r="V161" s="386"/>
      <c r="W161" s="386"/>
      <c r="X161" s="386"/>
      <c r="Y161" s="386"/>
      <c r="Z161" s="386"/>
      <c r="AA161" s="386"/>
      <c r="AB161" s="386"/>
      <c r="AC161" s="386"/>
      <c r="AD161" s="386"/>
    </row>
    <row r="162" ht="23.25" customHeight="1">
      <c r="A162" s="386"/>
      <c r="B162" s="386"/>
      <c r="C162" s="386"/>
      <c r="D162" s="386"/>
      <c r="E162" s="386"/>
      <c r="F162" s="386"/>
      <c r="G162" s="386"/>
      <c r="H162" s="386"/>
      <c r="I162" s="386"/>
      <c r="J162" s="386"/>
      <c r="K162" s="386"/>
      <c r="L162" s="386"/>
      <c r="M162" s="386"/>
      <c r="N162" s="386"/>
      <c r="O162" s="386"/>
      <c r="P162" s="386"/>
      <c r="Q162" s="386"/>
      <c r="R162" s="386"/>
      <c r="S162" s="386"/>
      <c r="T162" s="386"/>
      <c r="U162" s="386"/>
      <c r="V162" s="386"/>
      <c r="W162" s="386"/>
      <c r="X162" s="386"/>
      <c r="Y162" s="386"/>
      <c r="Z162" s="386"/>
      <c r="AA162" s="386"/>
      <c r="AB162" s="386"/>
      <c r="AC162" s="386"/>
      <c r="AD162" s="386"/>
    </row>
    <row r="163" ht="23.25" customHeight="1">
      <c r="A163" s="386"/>
      <c r="B163" s="386"/>
      <c r="C163" s="386"/>
      <c r="D163" s="386"/>
      <c r="E163" s="386"/>
      <c r="F163" s="386"/>
      <c r="G163" s="386"/>
      <c r="H163" s="386"/>
      <c r="I163" s="386"/>
      <c r="J163" s="386"/>
      <c r="K163" s="386"/>
      <c r="L163" s="386"/>
      <c r="M163" s="386"/>
      <c r="N163" s="386"/>
      <c r="O163" s="386"/>
      <c r="P163" s="386"/>
      <c r="Q163" s="386"/>
      <c r="R163" s="386"/>
      <c r="S163" s="386"/>
      <c r="T163" s="386"/>
      <c r="U163" s="386"/>
      <c r="V163" s="386"/>
      <c r="W163" s="386"/>
      <c r="X163" s="386"/>
      <c r="Y163" s="386"/>
      <c r="Z163" s="386"/>
      <c r="AA163" s="386"/>
      <c r="AB163" s="386"/>
      <c r="AC163" s="386"/>
      <c r="AD163" s="386"/>
    </row>
    <row r="164" ht="23.25" customHeight="1">
      <c r="A164" s="386"/>
      <c r="B164" s="386"/>
      <c r="C164" s="386"/>
      <c r="D164" s="386"/>
      <c r="E164" s="386"/>
      <c r="F164" s="386"/>
      <c r="G164" s="386"/>
      <c r="H164" s="386"/>
      <c r="I164" s="386"/>
      <c r="J164" s="386"/>
      <c r="K164" s="386"/>
      <c r="L164" s="386"/>
      <c r="M164" s="386"/>
      <c r="N164" s="386"/>
      <c r="O164" s="386"/>
      <c r="P164" s="386"/>
      <c r="Q164" s="386"/>
      <c r="R164" s="386"/>
      <c r="S164" s="386"/>
      <c r="T164" s="386"/>
      <c r="U164" s="386"/>
      <c r="V164" s="386"/>
      <c r="W164" s="386"/>
      <c r="X164" s="386"/>
      <c r="Y164" s="386"/>
      <c r="Z164" s="386"/>
      <c r="AA164" s="386"/>
      <c r="AB164" s="386"/>
      <c r="AC164" s="386"/>
      <c r="AD164" s="386"/>
    </row>
    <row r="165" ht="23.25" customHeight="1">
      <c r="A165" s="386"/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6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</row>
    <row r="166" ht="23.25" customHeight="1">
      <c r="A166" s="386"/>
      <c r="B166" s="386"/>
      <c r="C166" s="386"/>
      <c r="D166" s="386"/>
      <c r="E166" s="386"/>
      <c r="F166" s="386"/>
      <c r="G166" s="386"/>
      <c r="H166" s="386"/>
      <c r="I166" s="386"/>
      <c r="J166" s="386"/>
      <c r="K166" s="386"/>
      <c r="L166" s="386"/>
      <c r="M166" s="386"/>
      <c r="N166" s="386"/>
      <c r="O166" s="386"/>
      <c r="P166" s="386"/>
      <c r="Q166" s="386"/>
      <c r="R166" s="386"/>
      <c r="S166" s="386"/>
      <c r="T166" s="386"/>
      <c r="U166" s="386"/>
      <c r="V166" s="386"/>
      <c r="W166" s="386"/>
      <c r="X166" s="386"/>
      <c r="Y166" s="386"/>
      <c r="Z166" s="386"/>
      <c r="AA166" s="386"/>
      <c r="AB166" s="386"/>
      <c r="AC166" s="386"/>
      <c r="AD166" s="386"/>
    </row>
    <row r="167" ht="23.25" customHeight="1">
      <c r="A167" s="386"/>
      <c r="B167" s="386"/>
      <c r="C167" s="386"/>
      <c r="D167" s="386"/>
      <c r="E167" s="386"/>
      <c r="F167" s="386"/>
      <c r="G167" s="386"/>
      <c r="H167" s="386"/>
      <c r="I167" s="386"/>
      <c r="J167" s="386"/>
      <c r="K167" s="386"/>
      <c r="L167" s="386"/>
      <c r="M167" s="386"/>
      <c r="N167" s="386"/>
      <c r="O167" s="386"/>
      <c r="P167" s="386"/>
      <c r="Q167" s="386"/>
      <c r="R167" s="386"/>
      <c r="S167" s="386"/>
      <c r="T167" s="386"/>
      <c r="U167" s="386"/>
      <c r="V167" s="386"/>
      <c r="W167" s="386"/>
      <c r="X167" s="386"/>
      <c r="Y167" s="386"/>
      <c r="Z167" s="386"/>
      <c r="AA167" s="386"/>
      <c r="AB167" s="386"/>
      <c r="AC167" s="386"/>
      <c r="AD167" s="386"/>
    </row>
    <row r="168" ht="23.25" customHeight="1">
      <c r="A168" s="386"/>
      <c r="B168" s="386"/>
      <c r="C168" s="386"/>
      <c r="D168" s="386"/>
      <c r="E168" s="386"/>
      <c r="F168" s="386"/>
      <c r="G168" s="386"/>
      <c r="H168" s="386"/>
      <c r="I168" s="386"/>
      <c r="J168" s="386"/>
      <c r="K168" s="386"/>
      <c r="L168" s="386"/>
      <c r="M168" s="386"/>
      <c r="N168" s="386"/>
      <c r="O168" s="386"/>
      <c r="P168" s="386"/>
      <c r="Q168" s="386"/>
      <c r="R168" s="386"/>
      <c r="S168" s="386"/>
      <c r="T168" s="386"/>
      <c r="U168" s="386"/>
      <c r="V168" s="386"/>
      <c r="W168" s="386"/>
      <c r="X168" s="386"/>
      <c r="Y168" s="386"/>
      <c r="Z168" s="386"/>
      <c r="AA168" s="386"/>
      <c r="AB168" s="386"/>
      <c r="AC168" s="386"/>
      <c r="AD168" s="386"/>
    </row>
    <row r="169" ht="23.25" customHeight="1">
      <c r="A169" s="386"/>
      <c r="B169" s="386"/>
      <c r="C169" s="386"/>
      <c r="D169" s="386"/>
      <c r="E169" s="386"/>
      <c r="F169" s="386"/>
      <c r="G169" s="386"/>
      <c r="H169" s="386"/>
      <c r="I169" s="386"/>
      <c r="J169" s="386"/>
      <c r="K169" s="386"/>
      <c r="L169" s="386"/>
      <c r="M169" s="386"/>
      <c r="N169" s="386"/>
      <c r="O169" s="386"/>
      <c r="P169" s="386"/>
      <c r="Q169" s="386"/>
      <c r="R169" s="386"/>
      <c r="S169" s="386"/>
      <c r="T169" s="386"/>
      <c r="U169" s="386"/>
      <c r="V169" s="386"/>
      <c r="W169" s="386"/>
      <c r="X169" s="386"/>
      <c r="Y169" s="386"/>
      <c r="Z169" s="386"/>
      <c r="AA169" s="386"/>
      <c r="AB169" s="386"/>
      <c r="AC169" s="386"/>
      <c r="AD169" s="386"/>
    </row>
    <row r="170" ht="23.25" customHeight="1">
      <c r="A170" s="386"/>
      <c r="B170" s="386"/>
      <c r="C170" s="386"/>
      <c r="D170" s="386"/>
      <c r="E170" s="386"/>
      <c r="F170" s="386"/>
      <c r="G170" s="386"/>
      <c r="H170" s="386"/>
      <c r="I170" s="386"/>
      <c r="J170" s="386"/>
      <c r="K170" s="386"/>
      <c r="L170" s="386"/>
      <c r="M170" s="386"/>
      <c r="N170" s="386"/>
      <c r="O170" s="386"/>
      <c r="P170" s="386"/>
      <c r="Q170" s="386"/>
      <c r="R170" s="386"/>
      <c r="S170" s="386"/>
      <c r="T170" s="386"/>
      <c r="U170" s="386"/>
      <c r="V170" s="386"/>
      <c r="W170" s="386"/>
      <c r="X170" s="386"/>
      <c r="Y170" s="386"/>
      <c r="Z170" s="386"/>
      <c r="AA170" s="386"/>
      <c r="AB170" s="386"/>
      <c r="AC170" s="386"/>
      <c r="AD170" s="386"/>
    </row>
    <row r="171" ht="23.25" customHeight="1">
      <c r="A171" s="386"/>
      <c r="B171" s="386"/>
      <c r="C171" s="386"/>
      <c r="D171" s="386"/>
      <c r="E171" s="386"/>
      <c r="F171" s="386"/>
      <c r="G171" s="386"/>
      <c r="H171" s="386"/>
      <c r="I171" s="386"/>
      <c r="J171" s="386"/>
      <c r="K171" s="386"/>
      <c r="L171" s="386"/>
      <c r="M171" s="386"/>
      <c r="N171" s="386"/>
      <c r="O171" s="386"/>
      <c r="P171" s="386"/>
      <c r="Q171" s="386"/>
      <c r="R171" s="386"/>
      <c r="S171" s="386"/>
      <c r="T171" s="386"/>
      <c r="U171" s="386"/>
      <c r="V171" s="386"/>
      <c r="W171" s="386"/>
      <c r="X171" s="386"/>
      <c r="Y171" s="386"/>
      <c r="Z171" s="386"/>
      <c r="AA171" s="386"/>
      <c r="AB171" s="386"/>
      <c r="AC171" s="386"/>
      <c r="AD171" s="386"/>
    </row>
    <row r="172" ht="23.25" customHeight="1">
      <c r="A172" s="386"/>
      <c r="B172" s="386"/>
      <c r="C172" s="386"/>
      <c r="D172" s="386"/>
      <c r="E172" s="386"/>
      <c r="F172" s="386"/>
      <c r="G172" s="386"/>
      <c r="H172" s="386"/>
      <c r="I172" s="386"/>
      <c r="J172" s="386"/>
      <c r="K172" s="386"/>
      <c r="L172" s="386"/>
      <c r="M172" s="386"/>
      <c r="N172" s="386"/>
      <c r="O172" s="386"/>
      <c r="P172" s="386"/>
      <c r="Q172" s="386"/>
      <c r="R172" s="386"/>
      <c r="S172" s="386"/>
      <c r="T172" s="386"/>
      <c r="U172" s="386"/>
      <c r="V172" s="386"/>
      <c r="W172" s="386"/>
      <c r="X172" s="386"/>
      <c r="Y172" s="386"/>
      <c r="Z172" s="386"/>
      <c r="AA172" s="386"/>
      <c r="AB172" s="386"/>
      <c r="AC172" s="386"/>
      <c r="AD172" s="386"/>
    </row>
    <row r="173" ht="23.25" customHeight="1">
      <c r="A173" s="386"/>
      <c r="B173" s="386"/>
      <c r="C173" s="386"/>
      <c r="D173" s="386"/>
      <c r="E173" s="386"/>
      <c r="F173" s="386"/>
      <c r="G173" s="386"/>
      <c r="H173" s="386"/>
      <c r="I173" s="386"/>
      <c r="J173" s="386"/>
      <c r="K173" s="386"/>
      <c r="L173" s="386"/>
      <c r="M173" s="386"/>
      <c r="N173" s="386"/>
      <c r="O173" s="386"/>
      <c r="P173" s="386"/>
      <c r="Q173" s="386"/>
      <c r="R173" s="386"/>
      <c r="S173" s="386"/>
      <c r="T173" s="386"/>
      <c r="U173" s="386"/>
      <c r="V173" s="386"/>
      <c r="W173" s="386"/>
      <c r="X173" s="386"/>
      <c r="Y173" s="386"/>
      <c r="Z173" s="386"/>
      <c r="AA173" s="386"/>
      <c r="AB173" s="386"/>
      <c r="AC173" s="386"/>
      <c r="AD173" s="386"/>
    </row>
    <row r="174" ht="23.25" customHeight="1">
      <c r="A174" s="386"/>
      <c r="B174" s="386"/>
      <c r="C174" s="386"/>
      <c r="D174" s="386"/>
      <c r="E174" s="386"/>
      <c r="F174" s="386"/>
      <c r="G174" s="386"/>
      <c r="H174" s="386"/>
      <c r="I174" s="386"/>
      <c r="J174" s="386"/>
      <c r="K174" s="386"/>
      <c r="L174" s="386"/>
      <c r="M174" s="386"/>
      <c r="N174" s="386"/>
      <c r="O174" s="386"/>
      <c r="P174" s="386"/>
      <c r="Q174" s="386"/>
      <c r="R174" s="386"/>
      <c r="S174" s="386"/>
      <c r="T174" s="386"/>
      <c r="U174" s="386"/>
      <c r="V174" s="386"/>
      <c r="W174" s="386"/>
      <c r="X174" s="386"/>
      <c r="Y174" s="386"/>
      <c r="Z174" s="386"/>
      <c r="AA174" s="386"/>
      <c r="AB174" s="386"/>
      <c r="AC174" s="386"/>
      <c r="AD174" s="386"/>
    </row>
    <row r="175" ht="23.25" customHeight="1">
      <c r="A175" s="386"/>
      <c r="B175" s="386"/>
      <c r="C175" s="386"/>
      <c r="D175" s="386"/>
      <c r="E175" s="386"/>
      <c r="F175" s="386"/>
      <c r="G175" s="386"/>
      <c r="H175" s="386"/>
      <c r="I175" s="386"/>
      <c r="J175" s="386"/>
      <c r="K175" s="386"/>
      <c r="L175" s="386"/>
      <c r="M175" s="386"/>
      <c r="N175" s="386"/>
      <c r="O175" s="386"/>
      <c r="P175" s="386"/>
      <c r="Q175" s="386"/>
      <c r="R175" s="386"/>
      <c r="S175" s="386"/>
      <c r="T175" s="386"/>
      <c r="U175" s="386"/>
      <c r="V175" s="386"/>
      <c r="W175" s="386"/>
      <c r="X175" s="386"/>
      <c r="Y175" s="386"/>
      <c r="Z175" s="386"/>
      <c r="AA175" s="386"/>
      <c r="AB175" s="386"/>
      <c r="AC175" s="386"/>
      <c r="AD175" s="386"/>
    </row>
    <row r="176" ht="23.25" customHeight="1">
      <c r="A176" s="386"/>
      <c r="B176" s="386"/>
      <c r="C176" s="386"/>
      <c r="D176" s="386"/>
      <c r="E176" s="386"/>
      <c r="F176" s="386"/>
      <c r="G176" s="386"/>
      <c r="H176" s="386"/>
      <c r="I176" s="386"/>
      <c r="J176" s="386"/>
      <c r="K176" s="386"/>
      <c r="L176" s="386"/>
      <c r="M176" s="386"/>
      <c r="N176" s="386"/>
      <c r="O176" s="386"/>
      <c r="P176" s="386"/>
      <c r="Q176" s="386"/>
      <c r="R176" s="386"/>
      <c r="S176" s="386"/>
      <c r="T176" s="386"/>
      <c r="U176" s="386"/>
      <c r="V176" s="386"/>
      <c r="W176" s="386"/>
      <c r="X176" s="386"/>
      <c r="Y176" s="386"/>
      <c r="Z176" s="386"/>
      <c r="AA176" s="386"/>
      <c r="AB176" s="386"/>
      <c r="AC176" s="386"/>
      <c r="AD176" s="386"/>
    </row>
    <row r="177" ht="23.25" customHeight="1">
      <c r="A177" s="386"/>
      <c r="B177" s="386"/>
      <c r="C177" s="386"/>
      <c r="D177" s="386"/>
      <c r="E177" s="386"/>
      <c r="F177" s="386"/>
      <c r="G177" s="386"/>
      <c r="H177" s="386"/>
      <c r="I177" s="386"/>
      <c r="J177" s="386"/>
      <c r="K177" s="386"/>
      <c r="L177" s="386"/>
      <c r="M177" s="386"/>
      <c r="N177" s="386"/>
      <c r="O177" s="386"/>
      <c r="P177" s="386"/>
      <c r="Q177" s="386"/>
      <c r="R177" s="386"/>
      <c r="S177" s="386"/>
      <c r="T177" s="386"/>
      <c r="U177" s="386"/>
      <c r="V177" s="386"/>
      <c r="W177" s="386"/>
      <c r="X177" s="386"/>
      <c r="Y177" s="386"/>
      <c r="Z177" s="386"/>
      <c r="AA177" s="386"/>
      <c r="AB177" s="386"/>
      <c r="AC177" s="386"/>
      <c r="AD177" s="386"/>
    </row>
    <row r="178" ht="23.25" customHeight="1">
      <c r="A178" s="386"/>
      <c r="B178" s="386"/>
      <c r="C178" s="386"/>
      <c r="D178" s="386"/>
      <c r="E178" s="386"/>
      <c r="F178" s="386"/>
      <c r="G178" s="386"/>
      <c r="H178" s="386"/>
      <c r="I178" s="386"/>
      <c r="J178" s="386"/>
      <c r="K178" s="386"/>
      <c r="L178" s="386"/>
      <c r="M178" s="386"/>
      <c r="N178" s="386"/>
      <c r="O178" s="386"/>
      <c r="P178" s="386"/>
      <c r="Q178" s="386"/>
      <c r="R178" s="386"/>
      <c r="S178" s="386"/>
      <c r="T178" s="386"/>
      <c r="U178" s="386"/>
      <c r="V178" s="386"/>
      <c r="W178" s="386"/>
      <c r="X178" s="386"/>
      <c r="Y178" s="386"/>
      <c r="Z178" s="386"/>
      <c r="AA178" s="386"/>
      <c r="AB178" s="386"/>
      <c r="AC178" s="386"/>
      <c r="AD178" s="386"/>
    </row>
    <row r="179" ht="23.25" customHeight="1">
      <c r="A179" s="386"/>
      <c r="B179" s="386"/>
      <c r="C179" s="386"/>
      <c r="D179" s="386"/>
      <c r="E179" s="386"/>
      <c r="F179" s="386"/>
      <c r="G179" s="386"/>
      <c r="H179" s="386"/>
      <c r="I179" s="386"/>
      <c r="J179" s="386"/>
      <c r="K179" s="386"/>
      <c r="L179" s="386"/>
      <c r="M179" s="386"/>
      <c r="N179" s="386"/>
      <c r="O179" s="386"/>
      <c r="P179" s="386"/>
      <c r="Q179" s="386"/>
      <c r="R179" s="386"/>
      <c r="S179" s="386"/>
      <c r="T179" s="386"/>
      <c r="U179" s="386"/>
      <c r="V179" s="386"/>
      <c r="W179" s="386"/>
      <c r="X179" s="386"/>
      <c r="Y179" s="386"/>
      <c r="Z179" s="386"/>
      <c r="AA179" s="386"/>
      <c r="AB179" s="386"/>
      <c r="AC179" s="386"/>
      <c r="AD179" s="386"/>
    </row>
    <row r="180" ht="23.25" customHeight="1">
      <c r="A180" s="386"/>
      <c r="B180" s="386"/>
      <c r="C180" s="386"/>
      <c r="D180" s="386"/>
      <c r="E180" s="386"/>
      <c r="F180" s="386"/>
      <c r="G180" s="386"/>
      <c r="H180" s="386"/>
      <c r="I180" s="386"/>
      <c r="J180" s="386"/>
      <c r="K180" s="386"/>
      <c r="L180" s="386"/>
      <c r="M180" s="386"/>
      <c r="N180" s="386"/>
      <c r="O180" s="386"/>
      <c r="P180" s="386"/>
      <c r="Q180" s="386"/>
      <c r="R180" s="386"/>
      <c r="S180" s="386"/>
      <c r="T180" s="386"/>
      <c r="U180" s="386"/>
      <c r="V180" s="386"/>
      <c r="W180" s="386"/>
      <c r="X180" s="386"/>
      <c r="Y180" s="386"/>
      <c r="Z180" s="386"/>
      <c r="AA180" s="386"/>
      <c r="AB180" s="386"/>
      <c r="AC180" s="386"/>
      <c r="AD180" s="386"/>
    </row>
    <row r="181" ht="23.25" customHeight="1">
      <c r="A181" s="386"/>
      <c r="B181" s="386"/>
      <c r="C181" s="386"/>
      <c r="D181" s="386"/>
      <c r="E181" s="386"/>
      <c r="F181" s="386"/>
      <c r="G181" s="386"/>
      <c r="H181" s="386"/>
      <c r="I181" s="386"/>
      <c r="J181" s="386"/>
      <c r="K181" s="386"/>
      <c r="L181" s="386"/>
      <c r="M181" s="386"/>
      <c r="N181" s="386"/>
      <c r="O181" s="386"/>
      <c r="P181" s="386"/>
      <c r="Q181" s="386"/>
      <c r="R181" s="386"/>
      <c r="S181" s="386"/>
      <c r="T181" s="386"/>
      <c r="U181" s="386"/>
      <c r="V181" s="386"/>
      <c r="W181" s="386"/>
      <c r="X181" s="386"/>
      <c r="Y181" s="386"/>
      <c r="Z181" s="386"/>
      <c r="AA181" s="386"/>
      <c r="AB181" s="386"/>
      <c r="AC181" s="386"/>
      <c r="AD181" s="386"/>
    </row>
    <row r="182" ht="23.25" customHeight="1">
      <c r="A182" s="386"/>
      <c r="B182" s="386"/>
      <c r="C182" s="386"/>
      <c r="D182" s="386"/>
      <c r="E182" s="386"/>
      <c r="F182" s="386"/>
      <c r="G182" s="386"/>
      <c r="H182" s="386"/>
      <c r="I182" s="386"/>
      <c r="J182" s="386"/>
      <c r="K182" s="386"/>
      <c r="L182" s="386"/>
      <c r="M182" s="386"/>
      <c r="N182" s="386"/>
      <c r="O182" s="386"/>
      <c r="P182" s="386"/>
      <c r="Q182" s="386"/>
      <c r="R182" s="386"/>
      <c r="S182" s="386"/>
      <c r="T182" s="386"/>
      <c r="U182" s="386"/>
      <c r="V182" s="386"/>
      <c r="W182" s="386"/>
      <c r="X182" s="386"/>
      <c r="Y182" s="386"/>
      <c r="Z182" s="386"/>
      <c r="AA182" s="386"/>
      <c r="AB182" s="386"/>
      <c r="AC182" s="386"/>
      <c r="AD182" s="386"/>
    </row>
    <row r="183" ht="23.25" customHeight="1">
      <c r="A183" s="386"/>
      <c r="B183" s="386"/>
      <c r="C183" s="386"/>
      <c r="D183" s="386"/>
      <c r="E183" s="386"/>
      <c r="F183" s="386"/>
      <c r="G183" s="386"/>
      <c r="H183" s="386"/>
      <c r="I183" s="386"/>
      <c r="J183" s="386"/>
      <c r="K183" s="386"/>
      <c r="L183" s="386"/>
      <c r="M183" s="386"/>
      <c r="N183" s="386"/>
      <c r="O183" s="386"/>
      <c r="P183" s="386"/>
      <c r="Q183" s="386"/>
      <c r="R183" s="386"/>
      <c r="S183" s="386"/>
      <c r="T183" s="386"/>
      <c r="U183" s="386"/>
      <c r="V183" s="386"/>
      <c r="W183" s="386"/>
      <c r="X183" s="386"/>
      <c r="Y183" s="386"/>
      <c r="Z183" s="386"/>
      <c r="AA183" s="386"/>
      <c r="AB183" s="386"/>
      <c r="AC183" s="386"/>
      <c r="AD183" s="386"/>
    </row>
    <row r="184" ht="23.25" customHeight="1">
      <c r="A184" s="386"/>
      <c r="B184" s="386"/>
      <c r="C184" s="386"/>
      <c r="D184" s="386"/>
      <c r="E184" s="386"/>
      <c r="F184" s="386"/>
      <c r="G184" s="386"/>
      <c r="H184" s="386"/>
      <c r="I184" s="386"/>
      <c r="J184" s="386"/>
      <c r="K184" s="386"/>
      <c r="L184" s="386"/>
      <c r="M184" s="386"/>
      <c r="N184" s="386"/>
      <c r="O184" s="386"/>
      <c r="P184" s="386"/>
      <c r="Q184" s="386"/>
      <c r="R184" s="386"/>
      <c r="S184" s="386"/>
      <c r="T184" s="386"/>
      <c r="U184" s="386"/>
      <c r="V184" s="386"/>
      <c r="W184" s="386"/>
      <c r="X184" s="386"/>
      <c r="Y184" s="386"/>
      <c r="Z184" s="386"/>
      <c r="AA184" s="386"/>
      <c r="AB184" s="386"/>
      <c r="AC184" s="386"/>
      <c r="AD184" s="386"/>
    </row>
    <row r="185" ht="23.25" customHeight="1">
      <c r="A185" s="386"/>
      <c r="B185" s="386"/>
      <c r="C185" s="386"/>
      <c r="D185" s="386"/>
      <c r="E185" s="386"/>
      <c r="F185" s="386"/>
      <c r="G185" s="386"/>
      <c r="H185" s="386"/>
      <c r="I185" s="386"/>
      <c r="J185" s="386"/>
      <c r="K185" s="386"/>
      <c r="L185" s="386"/>
      <c r="M185" s="386"/>
      <c r="N185" s="386"/>
      <c r="O185" s="386"/>
      <c r="P185" s="386"/>
      <c r="Q185" s="386"/>
      <c r="R185" s="386"/>
      <c r="S185" s="386"/>
      <c r="T185" s="386"/>
      <c r="U185" s="386"/>
      <c r="V185" s="386"/>
      <c r="W185" s="386"/>
      <c r="X185" s="386"/>
      <c r="Y185" s="386"/>
      <c r="Z185" s="386"/>
      <c r="AA185" s="386"/>
      <c r="AB185" s="386"/>
      <c r="AC185" s="386"/>
      <c r="AD185" s="386"/>
    </row>
    <row r="186" ht="23.25" customHeight="1">
      <c r="A186" s="386"/>
      <c r="B186" s="386"/>
      <c r="C186" s="386"/>
      <c r="D186" s="386"/>
      <c r="E186" s="386"/>
      <c r="F186" s="386"/>
      <c r="G186" s="386"/>
      <c r="H186" s="386"/>
      <c r="I186" s="386"/>
      <c r="J186" s="386"/>
      <c r="K186" s="386"/>
      <c r="L186" s="386"/>
      <c r="M186" s="386"/>
      <c r="N186" s="386"/>
      <c r="O186" s="386"/>
      <c r="P186" s="386"/>
      <c r="Q186" s="386"/>
      <c r="R186" s="386"/>
      <c r="S186" s="386"/>
      <c r="T186" s="386"/>
      <c r="U186" s="386"/>
      <c r="V186" s="386"/>
      <c r="W186" s="386"/>
      <c r="X186" s="386"/>
      <c r="Y186" s="386"/>
      <c r="Z186" s="386"/>
      <c r="AA186" s="386"/>
      <c r="AB186" s="386"/>
      <c r="AC186" s="386"/>
      <c r="AD186" s="386"/>
    </row>
    <row r="187" ht="23.25" customHeight="1">
      <c r="A187" s="386"/>
      <c r="B187" s="386"/>
      <c r="C187" s="386"/>
      <c r="D187" s="386"/>
      <c r="E187" s="386"/>
      <c r="F187" s="386"/>
      <c r="G187" s="386"/>
      <c r="H187" s="386"/>
      <c r="I187" s="386"/>
      <c r="J187" s="386"/>
      <c r="K187" s="386"/>
      <c r="L187" s="386"/>
      <c r="M187" s="386"/>
      <c r="N187" s="386"/>
      <c r="O187" s="386"/>
      <c r="P187" s="386"/>
      <c r="Q187" s="386"/>
      <c r="R187" s="386"/>
      <c r="S187" s="386"/>
      <c r="T187" s="386"/>
      <c r="U187" s="386"/>
      <c r="V187" s="386"/>
      <c r="W187" s="386"/>
      <c r="X187" s="386"/>
      <c r="Y187" s="386"/>
      <c r="Z187" s="386"/>
      <c r="AA187" s="386"/>
      <c r="AB187" s="386"/>
      <c r="AC187" s="386"/>
      <c r="AD187" s="386"/>
    </row>
    <row r="188" ht="23.25" customHeight="1">
      <c r="A188" s="386"/>
      <c r="B188" s="386"/>
      <c r="C188" s="386"/>
      <c r="D188" s="386"/>
      <c r="E188" s="386"/>
      <c r="F188" s="386"/>
      <c r="G188" s="386"/>
      <c r="H188" s="386"/>
      <c r="I188" s="386"/>
      <c r="J188" s="386"/>
      <c r="K188" s="386"/>
      <c r="L188" s="386"/>
      <c r="M188" s="386"/>
      <c r="N188" s="386"/>
      <c r="O188" s="386"/>
      <c r="P188" s="386"/>
      <c r="Q188" s="386"/>
      <c r="R188" s="386"/>
      <c r="S188" s="386"/>
      <c r="T188" s="386"/>
      <c r="U188" s="386"/>
      <c r="V188" s="386"/>
      <c r="W188" s="386"/>
      <c r="X188" s="386"/>
      <c r="Y188" s="386"/>
      <c r="Z188" s="386"/>
      <c r="AA188" s="386"/>
      <c r="AB188" s="386"/>
      <c r="AC188" s="386"/>
      <c r="AD188" s="386"/>
    </row>
    <row r="189" ht="23.25" customHeight="1">
      <c r="A189" s="386"/>
      <c r="B189" s="386"/>
      <c r="C189" s="386"/>
      <c r="D189" s="386"/>
      <c r="E189" s="386"/>
      <c r="F189" s="386"/>
      <c r="G189" s="386"/>
      <c r="H189" s="386"/>
      <c r="I189" s="386"/>
      <c r="J189" s="386"/>
      <c r="K189" s="386"/>
      <c r="L189" s="386"/>
      <c r="M189" s="386"/>
      <c r="N189" s="386"/>
      <c r="O189" s="386"/>
      <c r="P189" s="386"/>
      <c r="Q189" s="386"/>
      <c r="R189" s="386"/>
      <c r="S189" s="386"/>
      <c r="T189" s="386"/>
      <c r="U189" s="386"/>
      <c r="V189" s="386"/>
      <c r="W189" s="386"/>
      <c r="X189" s="386"/>
      <c r="Y189" s="386"/>
      <c r="Z189" s="386"/>
      <c r="AA189" s="386"/>
      <c r="AB189" s="386"/>
      <c r="AC189" s="386"/>
      <c r="AD189" s="386"/>
    </row>
    <row r="190" ht="23.25" customHeight="1">
      <c r="A190" s="386"/>
      <c r="B190" s="386"/>
      <c r="C190" s="386"/>
      <c r="D190" s="386"/>
      <c r="E190" s="386"/>
      <c r="F190" s="386"/>
      <c r="G190" s="386"/>
      <c r="H190" s="386"/>
      <c r="I190" s="386"/>
      <c r="J190" s="386"/>
      <c r="K190" s="386"/>
      <c r="L190" s="386"/>
      <c r="M190" s="386"/>
      <c r="N190" s="386"/>
      <c r="O190" s="386"/>
      <c r="P190" s="386"/>
      <c r="Q190" s="386"/>
      <c r="R190" s="386"/>
      <c r="S190" s="386"/>
      <c r="T190" s="386"/>
      <c r="U190" s="386"/>
      <c r="V190" s="386"/>
      <c r="W190" s="386"/>
      <c r="X190" s="386"/>
      <c r="Y190" s="386"/>
      <c r="Z190" s="386"/>
      <c r="AA190" s="386"/>
      <c r="AB190" s="386"/>
      <c r="AC190" s="386"/>
      <c r="AD190" s="386"/>
    </row>
    <row r="191" ht="23.25" customHeight="1">
      <c r="A191" s="386"/>
      <c r="B191" s="386"/>
      <c r="C191" s="386"/>
      <c r="D191" s="386"/>
      <c r="E191" s="386"/>
      <c r="F191" s="386"/>
      <c r="G191" s="386"/>
      <c r="H191" s="386"/>
      <c r="I191" s="386"/>
      <c r="J191" s="386"/>
      <c r="K191" s="386"/>
      <c r="L191" s="386"/>
      <c r="M191" s="386"/>
      <c r="N191" s="386"/>
      <c r="O191" s="386"/>
      <c r="P191" s="386"/>
      <c r="Q191" s="386"/>
      <c r="R191" s="386"/>
      <c r="S191" s="386"/>
      <c r="T191" s="386"/>
      <c r="U191" s="386"/>
      <c r="V191" s="386"/>
      <c r="W191" s="386"/>
      <c r="X191" s="386"/>
      <c r="Y191" s="386"/>
      <c r="Z191" s="386"/>
      <c r="AA191" s="386"/>
      <c r="AB191" s="386"/>
      <c r="AC191" s="386"/>
      <c r="AD191" s="386"/>
    </row>
    <row r="192" ht="23.25" customHeight="1">
      <c r="A192" s="386"/>
      <c r="B192" s="386"/>
      <c r="C192" s="386"/>
      <c r="D192" s="386"/>
      <c r="E192" s="386"/>
      <c r="F192" s="386"/>
      <c r="G192" s="386"/>
      <c r="H192" s="386"/>
      <c r="I192" s="386"/>
      <c r="J192" s="386"/>
      <c r="K192" s="386"/>
      <c r="L192" s="386"/>
      <c r="M192" s="386"/>
      <c r="N192" s="386"/>
      <c r="O192" s="386"/>
      <c r="P192" s="386"/>
      <c r="Q192" s="386"/>
      <c r="R192" s="386"/>
      <c r="S192" s="386"/>
      <c r="T192" s="386"/>
      <c r="U192" s="386"/>
      <c r="V192" s="386"/>
      <c r="W192" s="386"/>
      <c r="X192" s="386"/>
      <c r="Y192" s="386"/>
      <c r="Z192" s="386"/>
      <c r="AA192" s="386"/>
      <c r="AB192" s="386"/>
      <c r="AC192" s="386"/>
      <c r="AD192" s="386"/>
    </row>
    <row r="193" ht="23.25" customHeight="1">
      <c r="A193" s="386"/>
      <c r="B193" s="386"/>
      <c r="C193" s="386"/>
      <c r="D193" s="386"/>
      <c r="E193" s="386"/>
      <c r="F193" s="386"/>
      <c r="G193" s="386"/>
      <c r="H193" s="386"/>
      <c r="I193" s="386"/>
      <c r="J193" s="386"/>
      <c r="K193" s="386"/>
      <c r="L193" s="386"/>
      <c r="M193" s="386"/>
      <c r="N193" s="386"/>
      <c r="O193" s="386"/>
      <c r="P193" s="386"/>
      <c r="Q193" s="386"/>
      <c r="R193" s="386"/>
      <c r="S193" s="386"/>
      <c r="T193" s="386"/>
      <c r="U193" s="386"/>
      <c r="V193" s="386"/>
      <c r="W193" s="386"/>
      <c r="X193" s="386"/>
      <c r="Y193" s="386"/>
      <c r="Z193" s="386"/>
      <c r="AA193" s="386"/>
      <c r="AB193" s="386"/>
      <c r="AC193" s="386"/>
      <c r="AD193" s="386"/>
    </row>
    <row r="194" ht="23.25" customHeight="1">
      <c r="A194" s="386"/>
      <c r="B194" s="386"/>
      <c r="C194" s="386"/>
      <c r="D194" s="386"/>
      <c r="E194" s="386"/>
      <c r="F194" s="386"/>
      <c r="G194" s="386"/>
      <c r="H194" s="386"/>
      <c r="I194" s="386"/>
      <c r="J194" s="386"/>
      <c r="K194" s="386"/>
      <c r="L194" s="386"/>
      <c r="M194" s="386"/>
      <c r="N194" s="386"/>
      <c r="O194" s="386"/>
      <c r="P194" s="386"/>
      <c r="Q194" s="386"/>
      <c r="R194" s="386"/>
      <c r="S194" s="386"/>
      <c r="T194" s="386"/>
      <c r="U194" s="386"/>
      <c r="V194" s="386"/>
      <c r="W194" s="386"/>
      <c r="X194" s="386"/>
      <c r="Y194" s="386"/>
      <c r="Z194" s="386"/>
      <c r="AA194" s="386"/>
      <c r="AB194" s="386"/>
      <c r="AC194" s="386"/>
      <c r="AD194" s="386"/>
    </row>
    <row r="195" ht="23.25" customHeight="1">
      <c r="A195" s="386"/>
      <c r="B195" s="386"/>
      <c r="C195" s="386"/>
      <c r="D195" s="386"/>
      <c r="E195" s="386"/>
      <c r="F195" s="386"/>
      <c r="G195" s="386"/>
      <c r="H195" s="386"/>
      <c r="I195" s="386"/>
      <c r="J195" s="386"/>
      <c r="K195" s="386"/>
      <c r="L195" s="386"/>
      <c r="M195" s="386"/>
      <c r="N195" s="386"/>
      <c r="O195" s="386"/>
      <c r="P195" s="386"/>
      <c r="Q195" s="386"/>
      <c r="R195" s="386"/>
      <c r="S195" s="386"/>
      <c r="T195" s="386"/>
      <c r="U195" s="386"/>
      <c r="V195" s="386"/>
      <c r="W195" s="386"/>
      <c r="X195" s="386"/>
      <c r="Y195" s="386"/>
      <c r="Z195" s="386"/>
      <c r="AA195" s="386"/>
      <c r="AB195" s="386"/>
      <c r="AC195" s="386"/>
      <c r="AD195" s="386"/>
    </row>
    <row r="196" ht="23.25" customHeight="1">
      <c r="A196" s="386"/>
      <c r="B196" s="386"/>
      <c r="C196" s="386"/>
      <c r="D196" s="386"/>
      <c r="E196" s="386"/>
      <c r="F196" s="386"/>
      <c r="G196" s="386"/>
      <c r="H196" s="386"/>
      <c r="I196" s="386"/>
      <c r="J196" s="386"/>
      <c r="K196" s="386"/>
      <c r="L196" s="386"/>
      <c r="M196" s="386"/>
      <c r="N196" s="386"/>
      <c r="O196" s="386"/>
      <c r="P196" s="386"/>
      <c r="Q196" s="386"/>
      <c r="R196" s="386"/>
      <c r="S196" s="386"/>
      <c r="T196" s="386"/>
      <c r="U196" s="386"/>
      <c r="V196" s="386"/>
      <c r="W196" s="386"/>
      <c r="X196" s="386"/>
      <c r="Y196" s="386"/>
      <c r="Z196" s="386"/>
      <c r="AA196" s="386"/>
      <c r="AB196" s="386"/>
      <c r="AC196" s="386"/>
      <c r="AD196" s="386"/>
    </row>
    <row r="197" ht="23.25" customHeight="1">
      <c r="A197" s="386"/>
      <c r="B197" s="386"/>
      <c r="C197" s="386"/>
      <c r="D197" s="386"/>
      <c r="E197" s="386"/>
      <c r="F197" s="386"/>
      <c r="G197" s="386"/>
      <c r="H197" s="386"/>
      <c r="I197" s="386"/>
      <c r="J197" s="386"/>
      <c r="K197" s="386"/>
      <c r="L197" s="386"/>
      <c r="M197" s="386"/>
      <c r="N197" s="386"/>
      <c r="O197" s="386"/>
      <c r="P197" s="386"/>
      <c r="Q197" s="386"/>
      <c r="R197" s="386"/>
      <c r="S197" s="386"/>
      <c r="T197" s="386"/>
      <c r="U197" s="386"/>
      <c r="V197" s="386"/>
      <c r="W197" s="386"/>
      <c r="X197" s="386"/>
      <c r="Y197" s="386"/>
      <c r="Z197" s="386"/>
      <c r="AA197" s="386"/>
      <c r="AB197" s="386"/>
      <c r="AC197" s="386"/>
      <c r="AD197" s="386"/>
    </row>
    <row r="198" ht="23.25" customHeight="1">
      <c r="A198" s="386"/>
      <c r="B198" s="386"/>
      <c r="C198" s="386"/>
      <c r="D198" s="386"/>
      <c r="E198" s="386"/>
      <c r="F198" s="386"/>
      <c r="G198" s="386"/>
      <c r="H198" s="386"/>
      <c r="I198" s="386"/>
      <c r="J198" s="386"/>
      <c r="K198" s="386"/>
      <c r="L198" s="386"/>
      <c r="M198" s="386"/>
      <c r="N198" s="386"/>
      <c r="O198" s="386"/>
      <c r="P198" s="386"/>
      <c r="Q198" s="386"/>
      <c r="R198" s="386"/>
      <c r="S198" s="386"/>
      <c r="T198" s="386"/>
      <c r="U198" s="386"/>
      <c r="V198" s="386"/>
      <c r="W198" s="386"/>
      <c r="X198" s="386"/>
      <c r="Y198" s="386"/>
      <c r="Z198" s="386"/>
      <c r="AA198" s="386"/>
      <c r="AB198" s="386"/>
      <c r="AC198" s="386"/>
      <c r="AD198" s="386"/>
    </row>
    <row r="199" ht="23.25" customHeight="1">
      <c r="A199" s="386"/>
      <c r="B199" s="386"/>
      <c r="C199" s="386"/>
      <c r="D199" s="386"/>
      <c r="E199" s="386"/>
      <c r="F199" s="386"/>
      <c r="G199" s="386"/>
      <c r="H199" s="386"/>
      <c r="I199" s="386"/>
      <c r="J199" s="386"/>
      <c r="K199" s="386"/>
      <c r="L199" s="386"/>
      <c r="M199" s="386"/>
      <c r="N199" s="386"/>
      <c r="O199" s="386"/>
      <c r="P199" s="386"/>
      <c r="Q199" s="386"/>
      <c r="R199" s="386"/>
      <c r="S199" s="386"/>
      <c r="T199" s="386"/>
      <c r="U199" s="386"/>
      <c r="V199" s="386"/>
      <c r="W199" s="386"/>
      <c r="X199" s="386"/>
      <c r="Y199" s="386"/>
      <c r="Z199" s="386"/>
      <c r="AA199" s="386"/>
      <c r="AB199" s="386"/>
      <c r="AC199" s="386"/>
      <c r="AD199" s="386"/>
    </row>
    <row r="200" ht="23.25" customHeight="1">
      <c r="A200" s="386"/>
      <c r="B200" s="386"/>
      <c r="C200" s="386"/>
      <c r="D200" s="386"/>
      <c r="E200" s="386"/>
      <c r="F200" s="386"/>
      <c r="G200" s="386"/>
      <c r="H200" s="386"/>
      <c r="I200" s="386"/>
      <c r="J200" s="386"/>
      <c r="K200" s="386"/>
      <c r="L200" s="386"/>
      <c r="M200" s="386"/>
      <c r="N200" s="386"/>
      <c r="O200" s="386"/>
      <c r="P200" s="386"/>
      <c r="Q200" s="386"/>
      <c r="R200" s="386"/>
      <c r="S200" s="386"/>
      <c r="T200" s="386"/>
      <c r="U200" s="386"/>
      <c r="V200" s="386"/>
      <c r="W200" s="386"/>
      <c r="X200" s="386"/>
      <c r="Y200" s="386"/>
      <c r="Z200" s="386"/>
      <c r="AA200" s="386"/>
      <c r="AB200" s="386"/>
      <c r="AC200" s="386"/>
      <c r="AD200" s="386"/>
    </row>
    <row r="201" ht="23.25" customHeight="1">
      <c r="A201" s="386"/>
      <c r="B201" s="386"/>
      <c r="C201" s="386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386"/>
      <c r="T201" s="386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</row>
    <row r="202" ht="23.25" customHeight="1">
      <c r="A202" s="386"/>
      <c r="B202" s="386"/>
      <c r="C202" s="386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386"/>
      <c r="T202" s="386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</row>
    <row r="203" ht="23.25" customHeight="1">
      <c r="A203" s="386"/>
      <c r="B203" s="386"/>
      <c r="C203" s="386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6"/>
      <c r="T203" s="386"/>
      <c r="U203" s="386"/>
      <c r="V203" s="386"/>
      <c r="W203" s="386"/>
      <c r="X203" s="386"/>
      <c r="Y203" s="386"/>
      <c r="Z203" s="386"/>
      <c r="AA203" s="386"/>
      <c r="AB203" s="386"/>
      <c r="AC203" s="386"/>
      <c r="AD203" s="386"/>
    </row>
    <row r="204" ht="23.25" customHeight="1">
      <c r="A204" s="386"/>
      <c r="B204" s="386"/>
      <c r="C204" s="386"/>
      <c r="D204" s="386"/>
      <c r="E204" s="386"/>
      <c r="F204" s="386"/>
      <c r="G204" s="386"/>
      <c r="H204" s="386"/>
      <c r="I204" s="386"/>
      <c r="J204" s="386"/>
      <c r="K204" s="386"/>
      <c r="L204" s="386"/>
      <c r="M204" s="386"/>
      <c r="N204" s="386"/>
      <c r="O204" s="386"/>
      <c r="P204" s="386"/>
      <c r="Q204" s="386"/>
      <c r="R204" s="386"/>
      <c r="S204" s="386"/>
      <c r="T204" s="386"/>
      <c r="U204" s="386"/>
      <c r="V204" s="386"/>
      <c r="W204" s="386"/>
      <c r="X204" s="386"/>
      <c r="Y204" s="386"/>
      <c r="Z204" s="386"/>
      <c r="AA204" s="386"/>
      <c r="AB204" s="386"/>
      <c r="AC204" s="386"/>
      <c r="AD204" s="386"/>
    </row>
    <row r="205" ht="23.25" customHeight="1">
      <c r="A205" s="386"/>
      <c r="B205" s="386"/>
      <c r="C205" s="386"/>
      <c r="D205" s="386"/>
      <c r="E205" s="386"/>
      <c r="F205" s="386"/>
      <c r="G205" s="386"/>
      <c r="H205" s="386"/>
      <c r="I205" s="386"/>
      <c r="J205" s="386"/>
      <c r="K205" s="386"/>
      <c r="L205" s="386"/>
      <c r="M205" s="386"/>
      <c r="N205" s="386"/>
      <c r="O205" s="386"/>
      <c r="P205" s="386"/>
      <c r="Q205" s="386"/>
      <c r="R205" s="386"/>
      <c r="S205" s="386"/>
      <c r="T205" s="386"/>
      <c r="U205" s="386"/>
      <c r="V205" s="386"/>
      <c r="W205" s="386"/>
      <c r="X205" s="386"/>
      <c r="Y205" s="386"/>
      <c r="Z205" s="386"/>
      <c r="AA205" s="386"/>
      <c r="AB205" s="386"/>
      <c r="AC205" s="386"/>
      <c r="AD205" s="386"/>
    </row>
    <row r="206" ht="23.25" customHeight="1">
      <c r="A206" s="386"/>
      <c r="B206" s="386"/>
      <c r="C206" s="386"/>
      <c r="D206" s="386"/>
      <c r="E206" s="386"/>
      <c r="F206" s="386"/>
      <c r="G206" s="386"/>
      <c r="H206" s="386"/>
      <c r="I206" s="386"/>
      <c r="J206" s="386"/>
      <c r="K206" s="386"/>
      <c r="L206" s="386"/>
      <c r="M206" s="386"/>
      <c r="N206" s="386"/>
      <c r="O206" s="386"/>
      <c r="P206" s="386"/>
      <c r="Q206" s="386"/>
      <c r="R206" s="386"/>
      <c r="S206" s="386"/>
      <c r="T206" s="386"/>
      <c r="U206" s="386"/>
      <c r="V206" s="386"/>
      <c r="W206" s="386"/>
      <c r="X206" s="386"/>
      <c r="Y206" s="386"/>
      <c r="Z206" s="386"/>
      <c r="AA206" s="386"/>
      <c r="AB206" s="386"/>
      <c r="AC206" s="386"/>
      <c r="AD206" s="386"/>
    </row>
    <row r="207" ht="23.25" customHeight="1">
      <c r="A207" s="386"/>
      <c r="B207" s="386"/>
      <c r="C207" s="386"/>
      <c r="D207" s="386"/>
      <c r="E207" s="386"/>
      <c r="F207" s="386"/>
      <c r="G207" s="386"/>
      <c r="H207" s="386"/>
      <c r="I207" s="386"/>
      <c r="J207" s="386"/>
      <c r="K207" s="386"/>
      <c r="L207" s="386"/>
      <c r="M207" s="386"/>
      <c r="N207" s="386"/>
      <c r="O207" s="386"/>
      <c r="P207" s="386"/>
      <c r="Q207" s="386"/>
      <c r="R207" s="386"/>
      <c r="S207" s="386"/>
      <c r="T207" s="386"/>
      <c r="U207" s="386"/>
      <c r="V207" s="386"/>
      <c r="W207" s="386"/>
      <c r="X207" s="386"/>
      <c r="Y207" s="386"/>
      <c r="Z207" s="386"/>
      <c r="AA207" s="386"/>
      <c r="AB207" s="386"/>
      <c r="AC207" s="386"/>
      <c r="AD207" s="386"/>
    </row>
    <row r="208" ht="23.25" customHeight="1">
      <c r="A208" s="386"/>
      <c r="B208" s="386"/>
      <c r="C208" s="386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386"/>
      <c r="T208" s="386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</row>
    <row r="209" ht="23.25" customHeight="1">
      <c r="A209" s="386"/>
      <c r="B209" s="386"/>
      <c r="C209" s="386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386"/>
      <c r="T209" s="386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</row>
    <row r="210" ht="23.25" customHeight="1">
      <c r="A210" s="386"/>
      <c r="B210" s="386"/>
      <c r="C210" s="386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6"/>
      <c r="T210" s="386"/>
      <c r="U210" s="386"/>
      <c r="V210" s="386"/>
      <c r="W210" s="386"/>
      <c r="X210" s="386"/>
      <c r="Y210" s="386"/>
      <c r="Z210" s="386"/>
      <c r="AA210" s="386"/>
      <c r="AB210" s="386"/>
      <c r="AC210" s="386"/>
      <c r="AD210" s="386"/>
    </row>
    <row r="211" ht="23.25" customHeight="1">
      <c r="A211" s="386"/>
      <c r="B211" s="386"/>
      <c r="C211" s="386"/>
      <c r="D211" s="386"/>
      <c r="E211" s="386"/>
      <c r="F211" s="386"/>
      <c r="G211" s="386"/>
      <c r="H211" s="386"/>
      <c r="I211" s="386"/>
      <c r="J211" s="386"/>
      <c r="K211" s="386"/>
      <c r="L211" s="386"/>
      <c r="M211" s="386"/>
      <c r="N211" s="386"/>
      <c r="O211" s="386"/>
      <c r="P211" s="386"/>
      <c r="Q211" s="386"/>
      <c r="R211" s="386"/>
      <c r="S211" s="386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86"/>
    </row>
    <row r="212" ht="23.25" customHeight="1">
      <c r="A212" s="386"/>
      <c r="B212" s="386"/>
      <c r="C212" s="386"/>
      <c r="D212" s="386"/>
      <c r="E212" s="386"/>
      <c r="F212" s="386"/>
      <c r="G212" s="386"/>
      <c r="H212" s="386"/>
      <c r="I212" s="386"/>
      <c r="J212" s="386"/>
      <c r="K212" s="386"/>
      <c r="L212" s="386"/>
      <c r="M212" s="386"/>
      <c r="N212" s="386"/>
      <c r="O212" s="386"/>
      <c r="P212" s="386"/>
      <c r="Q212" s="386"/>
      <c r="R212" s="386"/>
      <c r="S212" s="386"/>
      <c r="T212" s="386"/>
      <c r="U212" s="386"/>
      <c r="V212" s="386"/>
      <c r="W212" s="386"/>
      <c r="X212" s="386"/>
      <c r="Y212" s="386"/>
      <c r="Z212" s="386"/>
      <c r="AA212" s="386"/>
      <c r="AB212" s="386"/>
      <c r="AC212" s="386"/>
      <c r="AD212" s="386"/>
    </row>
    <row r="213" ht="23.25" customHeight="1">
      <c r="A213" s="386"/>
      <c r="B213" s="386"/>
      <c r="C213" s="386"/>
      <c r="D213" s="386"/>
      <c r="E213" s="386"/>
      <c r="F213" s="386"/>
      <c r="G213" s="386"/>
      <c r="H213" s="386"/>
      <c r="I213" s="386"/>
      <c r="J213" s="386"/>
      <c r="K213" s="386"/>
      <c r="L213" s="386"/>
      <c r="M213" s="386"/>
      <c r="N213" s="386"/>
      <c r="O213" s="386"/>
      <c r="P213" s="386"/>
      <c r="Q213" s="386"/>
      <c r="R213" s="386"/>
      <c r="S213" s="386"/>
      <c r="T213" s="386"/>
      <c r="U213" s="386"/>
      <c r="V213" s="386"/>
      <c r="W213" s="386"/>
      <c r="X213" s="386"/>
      <c r="Y213" s="386"/>
      <c r="Z213" s="386"/>
      <c r="AA213" s="386"/>
      <c r="AB213" s="386"/>
      <c r="AC213" s="386"/>
      <c r="AD213" s="386"/>
    </row>
    <row r="214" ht="23.25" customHeight="1">
      <c r="A214" s="386"/>
      <c r="B214" s="386"/>
      <c r="C214" s="386"/>
      <c r="D214" s="386"/>
      <c r="E214" s="386"/>
      <c r="F214" s="386"/>
      <c r="G214" s="386"/>
      <c r="H214" s="386"/>
      <c r="I214" s="386"/>
      <c r="J214" s="386"/>
      <c r="K214" s="386"/>
      <c r="L214" s="386"/>
      <c r="M214" s="386"/>
      <c r="N214" s="386"/>
      <c r="O214" s="386"/>
      <c r="P214" s="386"/>
      <c r="Q214" s="386"/>
      <c r="R214" s="386"/>
      <c r="S214" s="386"/>
      <c r="T214" s="386"/>
      <c r="U214" s="386"/>
      <c r="V214" s="386"/>
      <c r="W214" s="386"/>
      <c r="X214" s="386"/>
      <c r="Y214" s="386"/>
      <c r="Z214" s="386"/>
      <c r="AA214" s="386"/>
      <c r="AB214" s="386"/>
      <c r="AC214" s="386"/>
      <c r="AD214" s="386"/>
    </row>
    <row r="215" ht="23.25" customHeight="1">
      <c r="A215" s="386"/>
      <c r="B215" s="386"/>
      <c r="C215" s="386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386"/>
      <c r="T215" s="386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</row>
    <row r="216" ht="23.25" customHeight="1">
      <c r="A216" s="386"/>
      <c r="B216" s="386"/>
      <c r="C216" s="386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386"/>
      <c r="T216" s="386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</row>
    <row r="217" ht="23.25" customHeight="1">
      <c r="A217" s="386"/>
      <c r="B217" s="386"/>
      <c r="C217" s="386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6"/>
      <c r="T217" s="386"/>
      <c r="U217" s="386"/>
      <c r="V217" s="386"/>
      <c r="W217" s="386"/>
      <c r="X217" s="386"/>
      <c r="Y217" s="386"/>
      <c r="Z217" s="386"/>
      <c r="AA217" s="386"/>
      <c r="AB217" s="386"/>
      <c r="AC217" s="386"/>
      <c r="AD217" s="386"/>
    </row>
    <row r="218" ht="23.25" customHeight="1">
      <c r="A218" s="386"/>
      <c r="B218" s="386"/>
      <c r="C218" s="386"/>
      <c r="D218" s="386"/>
      <c r="E218" s="386"/>
      <c r="F218" s="386"/>
      <c r="G218" s="386"/>
      <c r="H218" s="386"/>
      <c r="I218" s="386"/>
      <c r="J218" s="386"/>
      <c r="K218" s="386"/>
      <c r="L218" s="386"/>
      <c r="M218" s="386"/>
      <c r="N218" s="386"/>
      <c r="O218" s="386"/>
      <c r="P218" s="386"/>
      <c r="Q218" s="386"/>
      <c r="R218" s="386"/>
      <c r="S218" s="386"/>
      <c r="T218" s="386"/>
      <c r="U218" s="386"/>
      <c r="V218" s="386"/>
      <c r="W218" s="386"/>
      <c r="X218" s="386"/>
      <c r="Y218" s="386"/>
      <c r="Z218" s="386"/>
      <c r="AA218" s="386"/>
      <c r="AB218" s="386"/>
      <c r="AC218" s="386"/>
      <c r="AD218" s="386"/>
    </row>
    <row r="219" ht="23.25" customHeight="1">
      <c r="A219" s="386"/>
      <c r="B219" s="386"/>
      <c r="C219" s="386"/>
      <c r="D219" s="386"/>
      <c r="E219" s="386"/>
      <c r="F219" s="386"/>
      <c r="G219" s="386"/>
      <c r="H219" s="386"/>
      <c r="I219" s="386"/>
      <c r="J219" s="386"/>
      <c r="K219" s="386"/>
      <c r="L219" s="386"/>
      <c r="M219" s="386"/>
      <c r="N219" s="386"/>
      <c r="O219" s="386"/>
      <c r="P219" s="386"/>
      <c r="Q219" s="386"/>
      <c r="R219" s="386"/>
      <c r="S219" s="386"/>
      <c r="T219" s="386"/>
      <c r="U219" s="386"/>
      <c r="V219" s="386"/>
      <c r="W219" s="386"/>
      <c r="X219" s="386"/>
      <c r="Y219" s="386"/>
      <c r="Z219" s="386"/>
      <c r="AA219" s="386"/>
      <c r="AB219" s="386"/>
      <c r="AC219" s="386"/>
      <c r="AD219" s="386"/>
    </row>
    <row r="220" ht="23.25" customHeight="1">
      <c r="A220" s="386"/>
      <c r="B220" s="386"/>
      <c r="C220" s="386"/>
      <c r="D220" s="386"/>
      <c r="E220" s="386"/>
      <c r="F220" s="386"/>
      <c r="G220" s="386"/>
      <c r="H220" s="386"/>
      <c r="I220" s="386"/>
      <c r="J220" s="386"/>
      <c r="K220" s="386"/>
      <c r="L220" s="386"/>
      <c r="M220" s="386"/>
      <c r="N220" s="386"/>
      <c r="O220" s="386"/>
      <c r="P220" s="386"/>
      <c r="Q220" s="386"/>
      <c r="R220" s="386"/>
      <c r="S220" s="386"/>
      <c r="T220" s="386"/>
      <c r="U220" s="386"/>
      <c r="V220" s="386"/>
      <c r="W220" s="386"/>
      <c r="X220" s="386"/>
      <c r="Y220" s="386"/>
      <c r="Z220" s="386"/>
      <c r="AA220" s="386"/>
      <c r="AB220" s="386"/>
      <c r="AC220" s="386"/>
      <c r="AD220" s="386"/>
    </row>
    <row r="221" ht="23.25" customHeight="1">
      <c r="A221" s="386"/>
      <c r="B221" s="386"/>
      <c r="C221" s="386"/>
      <c r="D221" s="386"/>
      <c r="E221" s="386"/>
      <c r="F221" s="386"/>
      <c r="G221" s="386"/>
      <c r="H221" s="386"/>
      <c r="I221" s="386"/>
      <c r="J221" s="386"/>
      <c r="K221" s="386"/>
      <c r="L221" s="386"/>
      <c r="M221" s="386"/>
      <c r="N221" s="386"/>
      <c r="O221" s="386"/>
      <c r="P221" s="386"/>
      <c r="Q221" s="386"/>
      <c r="R221" s="386"/>
      <c r="S221" s="386"/>
      <c r="T221" s="386"/>
      <c r="U221" s="386"/>
      <c r="V221" s="386"/>
      <c r="W221" s="386"/>
      <c r="X221" s="386"/>
      <c r="Y221" s="386"/>
      <c r="Z221" s="386"/>
      <c r="AA221" s="386"/>
      <c r="AB221" s="386"/>
      <c r="AC221" s="386"/>
      <c r="AD221" s="386"/>
    </row>
    <row r="222" ht="23.25" customHeight="1">
      <c r="A222" s="386"/>
      <c r="B222" s="386"/>
      <c r="C222" s="386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386"/>
      <c r="T222" s="386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</row>
    <row r="223" ht="23.25" customHeight="1">
      <c r="A223" s="386"/>
      <c r="B223" s="386"/>
      <c r="C223" s="386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386"/>
      <c r="T223" s="386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</row>
    <row r="224" ht="23.25" customHeight="1">
      <c r="A224" s="386"/>
      <c r="B224" s="386"/>
      <c r="C224" s="386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6"/>
      <c r="T224" s="386"/>
      <c r="U224" s="386"/>
      <c r="V224" s="386"/>
      <c r="W224" s="386"/>
      <c r="X224" s="386"/>
      <c r="Y224" s="386"/>
      <c r="Z224" s="386"/>
      <c r="AA224" s="386"/>
      <c r="AB224" s="386"/>
      <c r="AC224" s="386"/>
      <c r="AD224" s="386"/>
    </row>
    <row r="225" ht="23.25" customHeight="1">
      <c r="A225" s="386"/>
      <c r="B225" s="386"/>
      <c r="C225" s="386"/>
      <c r="D225" s="386"/>
      <c r="E225" s="386"/>
      <c r="F225" s="386"/>
      <c r="G225" s="386"/>
      <c r="H225" s="386"/>
      <c r="I225" s="386"/>
      <c r="J225" s="386"/>
      <c r="K225" s="386"/>
      <c r="L225" s="386"/>
      <c r="M225" s="386"/>
      <c r="N225" s="386"/>
      <c r="O225" s="386"/>
      <c r="P225" s="386"/>
      <c r="Q225" s="386"/>
      <c r="R225" s="386"/>
      <c r="S225" s="386"/>
      <c r="T225" s="386"/>
      <c r="U225" s="386"/>
      <c r="V225" s="386"/>
      <c r="W225" s="386"/>
      <c r="X225" s="386"/>
      <c r="Y225" s="386"/>
      <c r="Z225" s="386"/>
      <c r="AA225" s="386"/>
      <c r="AB225" s="386"/>
      <c r="AC225" s="386"/>
      <c r="AD225" s="386"/>
    </row>
    <row r="226" ht="23.25" customHeight="1">
      <c r="A226" s="386"/>
      <c r="B226" s="386"/>
      <c r="C226" s="386"/>
      <c r="D226" s="386"/>
      <c r="E226" s="386"/>
      <c r="F226" s="386"/>
      <c r="G226" s="386"/>
      <c r="H226" s="386"/>
      <c r="I226" s="386"/>
      <c r="J226" s="386"/>
      <c r="K226" s="386"/>
      <c r="L226" s="386"/>
      <c r="M226" s="386"/>
      <c r="N226" s="386"/>
      <c r="O226" s="386"/>
      <c r="P226" s="386"/>
      <c r="Q226" s="386"/>
      <c r="R226" s="386"/>
      <c r="S226" s="386"/>
      <c r="T226" s="386"/>
      <c r="U226" s="386"/>
      <c r="V226" s="386"/>
      <c r="W226" s="386"/>
      <c r="X226" s="386"/>
      <c r="Y226" s="386"/>
      <c r="Z226" s="386"/>
      <c r="AA226" s="386"/>
      <c r="AB226" s="386"/>
      <c r="AC226" s="386"/>
      <c r="AD226" s="386"/>
    </row>
    <row r="227" ht="23.25" customHeight="1">
      <c r="A227" s="386"/>
      <c r="B227" s="386"/>
      <c r="C227" s="386"/>
      <c r="D227" s="386"/>
      <c r="E227" s="386"/>
      <c r="F227" s="386"/>
      <c r="G227" s="386"/>
      <c r="H227" s="386"/>
      <c r="I227" s="386"/>
      <c r="J227" s="386"/>
      <c r="K227" s="386"/>
      <c r="L227" s="386"/>
      <c r="M227" s="386"/>
      <c r="N227" s="386"/>
      <c r="O227" s="386"/>
      <c r="P227" s="386"/>
      <c r="Q227" s="386"/>
      <c r="R227" s="386"/>
      <c r="S227" s="386"/>
      <c r="T227" s="386"/>
      <c r="U227" s="386"/>
      <c r="V227" s="386"/>
      <c r="W227" s="386"/>
      <c r="X227" s="386"/>
      <c r="Y227" s="386"/>
      <c r="Z227" s="386"/>
      <c r="AA227" s="386"/>
      <c r="AB227" s="386"/>
      <c r="AC227" s="386"/>
      <c r="AD227" s="386"/>
    </row>
    <row r="228" ht="23.25" customHeight="1">
      <c r="A228" s="386"/>
      <c r="B228" s="386"/>
      <c r="C228" s="386"/>
      <c r="D228" s="386"/>
      <c r="E228" s="386"/>
      <c r="F228" s="386"/>
      <c r="G228" s="386"/>
      <c r="H228" s="386"/>
      <c r="I228" s="386"/>
      <c r="J228" s="386"/>
      <c r="K228" s="386"/>
      <c r="L228" s="386"/>
      <c r="M228" s="386"/>
      <c r="N228" s="386"/>
      <c r="O228" s="386"/>
      <c r="P228" s="386"/>
      <c r="Q228" s="386"/>
      <c r="R228" s="386"/>
      <c r="S228" s="386"/>
      <c r="T228" s="386"/>
      <c r="U228" s="386"/>
      <c r="V228" s="386"/>
      <c r="W228" s="386"/>
      <c r="X228" s="386"/>
      <c r="Y228" s="386"/>
      <c r="Z228" s="386"/>
      <c r="AA228" s="386"/>
      <c r="AB228" s="386"/>
      <c r="AC228" s="386"/>
      <c r="AD228" s="386"/>
    </row>
    <row r="229" ht="23.25" customHeight="1">
      <c r="A229" s="386"/>
      <c r="B229" s="386"/>
      <c r="C229" s="386"/>
      <c r="D229" s="386"/>
      <c r="E229" s="386"/>
      <c r="F229" s="386"/>
      <c r="G229" s="386"/>
      <c r="H229" s="386"/>
      <c r="I229" s="386"/>
      <c r="J229" s="386"/>
      <c r="K229" s="386"/>
      <c r="L229" s="386"/>
      <c r="M229" s="386"/>
      <c r="N229" s="386"/>
      <c r="O229" s="386"/>
      <c r="P229" s="386"/>
      <c r="Q229" s="386"/>
      <c r="R229" s="386"/>
      <c r="S229" s="386"/>
      <c r="T229" s="386"/>
      <c r="U229" s="386"/>
      <c r="V229" s="386"/>
      <c r="W229" s="386"/>
      <c r="X229" s="386"/>
      <c r="Y229" s="386"/>
      <c r="Z229" s="386"/>
      <c r="AA229" s="386"/>
      <c r="AB229" s="386"/>
      <c r="AC229" s="386"/>
      <c r="AD229" s="386"/>
    </row>
    <row r="230" ht="23.25" customHeight="1">
      <c r="A230" s="386"/>
      <c r="B230" s="386"/>
      <c r="C230" s="386"/>
      <c r="D230" s="386"/>
      <c r="E230" s="386"/>
      <c r="F230" s="386"/>
      <c r="G230" s="386"/>
      <c r="H230" s="386"/>
      <c r="I230" s="386"/>
      <c r="J230" s="386"/>
      <c r="K230" s="386"/>
      <c r="L230" s="386"/>
      <c r="M230" s="386"/>
      <c r="N230" s="386"/>
      <c r="O230" s="386"/>
      <c r="P230" s="386"/>
      <c r="Q230" s="386"/>
      <c r="R230" s="386"/>
      <c r="S230" s="386"/>
      <c r="T230" s="386"/>
      <c r="U230" s="386"/>
      <c r="V230" s="386"/>
      <c r="W230" s="386"/>
      <c r="X230" s="386"/>
      <c r="Y230" s="386"/>
      <c r="Z230" s="386"/>
      <c r="AA230" s="386"/>
      <c r="AB230" s="386"/>
      <c r="AC230" s="386"/>
      <c r="AD230" s="386"/>
    </row>
    <row r="231" ht="23.25" customHeight="1">
      <c r="A231" s="386"/>
      <c r="B231" s="386"/>
      <c r="C231" s="386"/>
      <c r="D231" s="386"/>
      <c r="E231" s="386"/>
      <c r="F231" s="386"/>
      <c r="G231" s="386"/>
      <c r="H231" s="386"/>
      <c r="I231" s="386"/>
      <c r="J231" s="386"/>
      <c r="K231" s="386"/>
      <c r="L231" s="386"/>
      <c r="M231" s="386"/>
      <c r="N231" s="386"/>
      <c r="O231" s="386"/>
      <c r="P231" s="386"/>
      <c r="Q231" s="386"/>
      <c r="R231" s="386"/>
      <c r="S231" s="386"/>
      <c r="T231" s="386"/>
      <c r="U231" s="386"/>
      <c r="V231" s="386"/>
      <c r="W231" s="386"/>
      <c r="X231" s="386"/>
      <c r="Y231" s="386"/>
      <c r="Z231" s="386"/>
      <c r="AA231" s="386"/>
      <c r="AB231" s="386"/>
      <c r="AC231" s="386"/>
      <c r="AD231" s="386"/>
    </row>
    <row r="232" ht="23.25" customHeight="1">
      <c r="A232" s="386"/>
      <c r="B232" s="386"/>
      <c r="C232" s="386"/>
      <c r="D232" s="386"/>
      <c r="E232" s="386"/>
      <c r="F232" s="386"/>
      <c r="G232" s="386"/>
      <c r="H232" s="386"/>
      <c r="I232" s="386"/>
      <c r="J232" s="386"/>
      <c r="K232" s="386"/>
      <c r="L232" s="386"/>
      <c r="M232" s="386"/>
      <c r="N232" s="386"/>
      <c r="O232" s="386"/>
      <c r="P232" s="386"/>
      <c r="Q232" s="386"/>
      <c r="R232" s="386"/>
      <c r="S232" s="386"/>
      <c r="T232" s="386"/>
      <c r="U232" s="386"/>
      <c r="V232" s="386"/>
      <c r="W232" s="386"/>
      <c r="X232" s="386"/>
      <c r="Y232" s="386"/>
      <c r="Z232" s="386"/>
      <c r="AA232" s="386"/>
      <c r="AB232" s="386"/>
      <c r="AC232" s="386"/>
      <c r="AD232" s="386"/>
    </row>
    <row r="233" ht="23.25" customHeight="1">
      <c r="A233" s="386"/>
      <c r="B233" s="386"/>
      <c r="C233" s="386"/>
      <c r="D233" s="386"/>
      <c r="E233" s="386"/>
      <c r="F233" s="386"/>
      <c r="G233" s="386"/>
      <c r="H233" s="386"/>
      <c r="I233" s="386"/>
      <c r="J233" s="386"/>
      <c r="K233" s="386"/>
      <c r="L233" s="386"/>
      <c r="M233" s="386"/>
      <c r="N233" s="386"/>
      <c r="O233" s="386"/>
      <c r="P233" s="386"/>
      <c r="Q233" s="386"/>
      <c r="R233" s="386"/>
      <c r="S233" s="386"/>
      <c r="T233" s="386"/>
      <c r="U233" s="386"/>
      <c r="V233" s="386"/>
      <c r="W233" s="386"/>
      <c r="X233" s="386"/>
      <c r="Y233" s="386"/>
      <c r="Z233" s="386"/>
      <c r="AA233" s="386"/>
      <c r="AB233" s="386"/>
      <c r="AC233" s="386"/>
      <c r="AD233" s="386"/>
    </row>
    <row r="234" ht="23.25" customHeight="1">
      <c r="A234" s="386"/>
      <c r="B234" s="386"/>
      <c r="C234" s="386"/>
      <c r="D234" s="386"/>
      <c r="E234" s="386"/>
      <c r="F234" s="386"/>
      <c r="G234" s="386"/>
      <c r="H234" s="386"/>
      <c r="I234" s="386"/>
      <c r="J234" s="386"/>
      <c r="K234" s="386"/>
      <c r="L234" s="386"/>
      <c r="M234" s="386"/>
      <c r="N234" s="386"/>
      <c r="O234" s="386"/>
      <c r="P234" s="386"/>
      <c r="Q234" s="386"/>
      <c r="R234" s="386"/>
      <c r="S234" s="386"/>
      <c r="T234" s="386"/>
      <c r="U234" s="386"/>
      <c r="V234" s="386"/>
      <c r="W234" s="386"/>
      <c r="X234" s="386"/>
      <c r="Y234" s="386"/>
      <c r="Z234" s="386"/>
      <c r="AA234" s="386"/>
      <c r="AB234" s="386"/>
      <c r="AC234" s="386"/>
      <c r="AD234" s="386"/>
    </row>
    <row r="235" ht="23.25" customHeight="1">
      <c r="A235" s="386"/>
      <c r="B235" s="386"/>
      <c r="C235" s="386"/>
      <c r="D235" s="386"/>
      <c r="E235" s="386"/>
      <c r="F235" s="386"/>
      <c r="G235" s="386"/>
      <c r="H235" s="386"/>
      <c r="I235" s="386"/>
      <c r="J235" s="386"/>
      <c r="K235" s="386"/>
      <c r="L235" s="386"/>
      <c r="M235" s="386"/>
      <c r="N235" s="386"/>
      <c r="O235" s="386"/>
      <c r="P235" s="386"/>
      <c r="Q235" s="386"/>
      <c r="R235" s="386"/>
      <c r="S235" s="386"/>
      <c r="T235" s="386"/>
      <c r="U235" s="386"/>
      <c r="V235" s="386"/>
      <c r="W235" s="386"/>
      <c r="X235" s="386"/>
      <c r="Y235" s="386"/>
      <c r="Z235" s="386"/>
      <c r="AA235" s="386"/>
      <c r="AB235" s="386"/>
      <c r="AC235" s="386"/>
      <c r="AD235" s="386"/>
    </row>
    <row r="236" ht="23.25" customHeight="1">
      <c r="A236" s="386"/>
      <c r="B236" s="386"/>
      <c r="C236" s="386"/>
      <c r="D236" s="386"/>
      <c r="E236" s="386"/>
      <c r="F236" s="386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86"/>
      <c r="R236" s="386"/>
      <c r="S236" s="386"/>
      <c r="T236" s="386"/>
      <c r="U236" s="386"/>
      <c r="V236" s="386"/>
      <c r="W236" s="386"/>
      <c r="X236" s="386"/>
      <c r="Y236" s="386"/>
      <c r="Z236" s="386"/>
      <c r="AA236" s="386"/>
      <c r="AB236" s="386"/>
      <c r="AC236" s="386"/>
      <c r="AD236" s="386"/>
    </row>
    <row r="237" ht="23.25" customHeight="1">
      <c r="A237" s="386"/>
      <c r="B237" s="386"/>
      <c r="C237" s="386"/>
      <c r="D237" s="386"/>
      <c r="E237" s="386"/>
      <c r="F237" s="386"/>
      <c r="G237" s="386"/>
      <c r="H237" s="386"/>
      <c r="I237" s="386"/>
      <c r="J237" s="386"/>
      <c r="K237" s="386"/>
      <c r="L237" s="386"/>
      <c r="M237" s="386"/>
      <c r="N237" s="386"/>
      <c r="O237" s="386"/>
      <c r="P237" s="386"/>
      <c r="Q237" s="386"/>
      <c r="R237" s="386"/>
      <c r="S237" s="386"/>
      <c r="T237" s="386"/>
      <c r="U237" s="386"/>
      <c r="V237" s="386"/>
      <c r="W237" s="386"/>
      <c r="X237" s="386"/>
      <c r="Y237" s="386"/>
      <c r="Z237" s="386"/>
      <c r="AA237" s="386"/>
      <c r="AB237" s="386"/>
      <c r="AC237" s="386"/>
      <c r="AD237" s="386"/>
    </row>
    <row r="238" ht="23.25" customHeight="1">
      <c r="A238" s="386"/>
      <c r="B238" s="386"/>
      <c r="C238" s="386"/>
      <c r="D238" s="386"/>
      <c r="E238" s="386"/>
      <c r="F238" s="386"/>
      <c r="G238" s="386"/>
      <c r="H238" s="386"/>
      <c r="I238" s="386"/>
      <c r="J238" s="386"/>
      <c r="K238" s="386"/>
      <c r="L238" s="386"/>
      <c r="M238" s="386"/>
      <c r="N238" s="386"/>
      <c r="O238" s="386"/>
      <c r="P238" s="386"/>
      <c r="Q238" s="386"/>
      <c r="R238" s="386"/>
      <c r="S238" s="386"/>
      <c r="T238" s="386"/>
      <c r="U238" s="386"/>
      <c r="V238" s="386"/>
      <c r="W238" s="386"/>
      <c r="X238" s="386"/>
      <c r="Y238" s="386"/>
      <c r="Z238" s="386"/>
      <c r="AA238" s="386"/>
      <c r="AB238" s="386"/>
      <c r="AC238" s="386"/>
      <c r="AD238" s="386"/>
    </row>
    <row r="239" ht="23.25" customHeight="1">
      <c r="A239" s="386"/>
      <c r="B239" s="386"/>
      <c r="C239" s="386"/>
      <c r="D239" s="386"/>
      <c r="E239" s="386"/>
      <c r="F239" s="386"/>
      <c r="G239" s="386"/>
      <c r="H239" s="386"/>
      <c r="I239" s="386"/>
      <c r="J239" s="386"/>
      <c r="K239" s="386"/>
      <c r="L239" s="386"/>
      <c r="M239" s="386"/>
      <c r="N239" s="386"/>
      <c r="O239" s="386"/>
      <c r="P239" s="386"/>
      <c r="Q239" s="386"/>
      <c r="R239" s="386"/>
      <c r="S239" s="386"/>
      <c r="T239" s="386"/>
      <c r="U239" s="386"/>
      <c r="V239" s="386"/>
      <c r="W239" s="386"/>
      <c r="X239" s="386"/>
      <c r="Y239" s="386"/>
      <c r="Z239" s="386"/>
      <c r="AA239" s="386"/>
      <c r="AB239" s="386"/>
      <c r="AC239" s="386"/>
      <c r="AD239" s="386"/>
    </row>
    <row r="240" ht="23.25" customHeight="1">
      <c r="A240" s="386"/>
      <c r="B240" s="386"/>
      <c r="C240" s="386"/>
      <c r="D240" s="386"/>
      <c r="E240" s="386"/>
      <c r="F240" s="386"/>
      <c r="G240" s="386"/>
      <c r="H240" s="386"/>
      <c r="I240" s="386"/>
      <c r="J240" s="386"/>
      <c r="K240" s="386"/>
      <c r="L240" s="386"/>
      <c r="M240" s="386"/>
      <c r="N240" s="386"/>
      <c r="O240" s="386"/>
      <c r="P240" s="386"/>
      <c r="Q240" s="386"/>
      <c r="R240" s="386"/>
      <c r="S240" s="386"/>
      <c r="T240" s="386"/>
      <c r="U240" s="386"/>
      <c r="V240" s="386"/>
      <c r="W240" s="386"/>
      <c r="X240" s="386"/>
      <c r="Y240" s="386"/>
      <c r="Z240" s="386"/>
      <c r="AA240" s="386"/>
      <c r="AB240" s="386"/>
      <c r="AC240" s="386"/>
      <c r="AD240" s="386"/>
    </row>
    <row r="241" ht="23.25" customHeight="1">
      <c r="A241" s="386"/>
      <c r="B241" s="386"/>
      <c r="C241" s="386"/>
      <c r="D241" s="386"/>
      <c r="E241" s="386"/>
      <c r="F241" s="386"/>
      <c r="G241" s="386"/>
      <c r="H241" s="386"/>
      <c r="I241" s="386"/>
      <c r="J241" s="386"/>
      <c r="K241" s="386"/>
      <c r="L241" s="386"/>
      <c r="M241" s="386"/>
      <c r="N241" s="386"/>
      <c r="O241" s="386"/>
      <c r="P241" s="386"/>
      <c r="Q241" s="386"/>
      <c r="R241" s="386"/>
      <c r="S241" s="386"/>
      <c r="T241" s="386"/>
      <c r="U241" s="386"/>
      <c r="V241" s="386"/>
      <c r="W241" s="386"/>
      <c r="X241" s="386"/>
      <c r="Y241" s="386"/>
      <c r="Z241" s="386"/>
      <c r="AA241" s="386"/>
      <c r="AB241" s="386"/>
      <c r="AC241" s="386"/>
      <c r="AD241" s="386"/>
    </row>
    <row r="242" ht="23.25" customHeight="1">
      <c r="A242" s="386"/>
      <c r="B242" s="386"/>
      <c r="C242" s="386"/>
      <c r="D242" s="386"/>
      <c r="E242" s="386"/>
      <c r="F242" s="386"/>
      <c r="G242" s="386"/>
      <c r="H242" s="386"/>
      <c r="I242" s="386"/>
      <c r="J242" s="386"/>
      <c r="K242" s="386"/>
      <c r="L242" s="386"/>
      <c r="M242" s="386"/>
      <c r="N242" s="386"/>
      <c r="O242" s="386"/>
      <c r="P242" s="386"/>
      <c r="Q242" s="386"/>
      <c r="R242" s="386"/>
      <c r="S242" s="386"/>
      <c r="T242" s="386"/>
      <c r="U242" s="386"/>
      <c r="V242" s="386"/>
      <c r="W242" s="386"/>
      <c r="X242" s="386"/>
      <c r="Y242" s="386"/>
      <c r="Z242" s="386"/>
      <c r="AA242" s="386"/>
      <c r="AB242" s="386"/>
      <c r="AC242" s="386"/>
      <c r="AD242" s="386"/>
    </row>
    <row r="243" ht="23.25" customHeight="1">
      <c r="A243" s="386"/>
      <c r="B243" s="386"/>
      <c r="C243" s="386"/>
      <c r="D243" s="386"/>
      <c r="E243" s="386"/>
      <c r="F243" s="386"/>
      <c r="G243" s="386"/>
      <c r="H243" s="386"/>
      <c r="I243" s="386"/>
      <c r="J243" s="386"/>
      <c r="K243" s="386"/>
      <c r="L243" s="386"/>
      <c r="M243" s="386"/>
      <c r="N243" s="386"/>
      <c r="O243" s="386"/>
      <c r="P243" s="386"/>
      <c r="Q243" s="386"/>
      <c r="R243" s="386"/>
      <c r="S243" s="386"/>
      <c r="T243" s="386"/>
      <c r="U243" s="386"/>
      <c r="V243" s="386"/>
      <c r="W243" s="386"/>
      <c r="X243" s="386"/>
      <c r="Y243" s="386"/>
      <c r="Z243" s="386"/>
      <c r="AA243" s="386"/>
      <c r="AB243" s="386"/>
      <c r="AC243" s="386"/>
      <c r="AD243" s="386"/>
    </row>
    <row r="244" ht="23.25" customHeight="1">
      <c r="A244" s="386"/>
      <c r="B244" s="386"/>
      <c r="C244" s="386"/>
      <c r="D244" s="386"/>
      <c r="E244" s="386"/>
      <c r="F244" s="386"/>
      <c r="G244" s="386"/>
      <c r="H244" s="386"/>
      <c r="I244" s="386"/>
      <c r="J244" s="386"/>
      <c r="K244" s="386"/>
      <c r="L244" s="386"/>
      <c r="M244" s="386"/>
      <c r="N244" s="386"/>
      <c r="O244" s="386"/>
      <c r="P244" s="386"/>
      <c r="Q244" s="386"/>
      <c r="R244" s="386"/>
      <c r="S244" s="386"/>
      <c r="T244" s="386"/>
      <c r="U244" s="386"/>
      <c r="V244" s="386"/>
      <c r="W244" s="386"/>
      <c r="X244" s="386"/>
      <c r="Y244" s="386"/>
      <c r="Z244" s="386"/>
      <c r="AA244" s="386"/>
      <c r="AB244" s="386"/>
      <c r="AC244" s="386"/>
      <c r="AD244" s="386"/>
    </row>
    <row r="245" ht="23.25" customHeight="1">
      <c r="A245" s="386"/>
      <c r="B245" s="386"/>
      <c r="C245" s="386"/>
      <c r="D245" s="386"/>
      <c r="E245" s="386"/>
      <c r="F245" s="386"/>
      <c r="G245" s="386"/>
      <c r="H245" s="386"/>
      <c r="I245" s="386"/>
      <c r="J245" s="386"/>
      <c r="K245" s="386"/>
      <c r="L245" s="386"/>
      <c r="M245" s="386"/>
      <c r="N245" s="386"/>
      <c r="O245" s="386"/>
      <c r="P245" s="386"/>
      <c r="Q245" s="386"/>
      <c r="R245" s="386"/>
      <c r="S245" s="386"/>
      <c r="T245" s="386"/>
      <c r="U245" s="386"/>
      <c r="V245" s="386"/>
      <c r="W245" s="386"/>
      <c r="X245" s="386"/>
      <c r="Y245" s="386"/>
      <c r="Z245" s="386"/>
      <c r="AA245" s="386"/>
      <c r="AB245" s="386"/>
      <c r="AC245" s="386"/>
      <c r="AD245" s="386"/>
    </row>
    <row r="246" ht="23.25" customHeight="1">
      <c r="A246" s="386"/>
      <c r="B246" s="386"/>
      <c r="C246" s="386"/>
      <c r="D246" s="386"/>
      <c r="E246" s="386"/>
      <c r="F246" s="386"/>
      <c r="G246" s="386"/>
      <c r="H246" s="386"/>
      <c r="I246" s="386"/>
      <c r="J246" s="386"/>
      <c r="K246" s="386"/>
      <c r="L246" s="386"/>
      <c r="M246" s="386"/>
      <c r="N246" s="386"/>
      <c r="O246" s="386"/>
      <c r="P246" s="386"/>
      <c r="Q246" s="386"/>
      <c r="R246" s="386"/>
      <c r="S246" s="386"/>
      <c r="T246" s="386"/>
      <c r="U246" s="386"/>
      <c r="V246" s="386"/>
      <c r="W246" s="386"/>
      <c r="X246" s="386"/>
      <c r="Y246" s="386"/>
      <c r="Z246" s="386"/>
      <c r="AA246" s="386"/>
      <c r="AB246" s="386"/>
      <c r="AC246" s="386"/>
      <c r="AD246" s="386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62" t="s">
        <v>53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317"/>
      <c r="AA1" s="317"/>
      <c r="AB1" s="317"/>
      <c r="AC1" s="317"/>
      <c r="AD1" s="317"/>
    </row>
    <row r="2" ht="20.25" customHeight="1">
      <c r="A2" s="317"/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</row>
    <row r="3" ht="20.25" customHeight="1">
      <c r="A3" s="362" t="s">
        <v>238</v>
      </c>
      <c r="B3" s="317"/>
      <c r="C3" s="317"/>
      <c r="D3" s="317"/>
      <c r="E3" s="317"/>
      <c r="F3" s="317"/>
      <c r="G3" s="317"/>
      <c r="H3" s="317"/>
      <c r="I3" s="317"/>
      <c r="J3" s="317"/>
      <c r="K3" s="317"/>
      <c r="L3" s="317"/>
      <c r="M3" s="317"/>
      <c r="N3" s="317"/>
      <c r="O3" s="317"/>
      <c r="P3" s="317"/>
      <c r="Q3" s="317"/>
      <c r="R3" s="317"/>
      <c r="S3" s="317"/>
      <c r="T3" s="317"/>
      <c r="U3" s="317"/>
      <c r="V3" s="317"/>
      <c r="W3" s="317"/>
      <c r="X3" s="317"/>
      <c r="Y3" s="317"/>
      <c r="Z3" s="317"/>
      <c r="AA3" s="317"/>
      <c r="AB3" s="317"/>
      <c r="AC3" s="317"/>
      <c r="AD3" s="317"/>
    </row>
    <row r="4" ht="20.25" customHeight="1">
      <c r="A4" s="362" t="s">
        <v>239</v>
      </c>
      <c r="B4" s="388" t="s">
        <v>260</v>
      </c>
      <c r="C4" s="317"/>
      <c r="D4" s="317"/>
      <c r="E4" s="317"/>
      <c r="F4" s="317"/>
      <c r="G4" s="317"/>
      <c r="H4" s="317"/>
      <c r="I4" s="317"/>
      <c r="J4" s="317"/>
      <c r="K4" s="317"/>
      <c r="L4" s="317"/>
      <c r="M4" s="317"/>
      <c r="N4" s="317"/>
      <c r="O4" s="317"/>
      <c r="P4" s="317"/>
      <c r="Q4" s="317"/>
      <c r="R4" s="317"/>
      <c r="S4" s="317"/>
      <c r="T4" s="317"/>
      <c r="U4" s="317"/>
      <c r="V4" s="317"/>
      <c r="W4" s="317"/>
      <c r="X4" s="317"/>
      <c r="Y4" s="317"/>
      <c r="Z4" s="317"/>
      <c r="AA4" s="317"/>
      <c r="AB4" s="317"/>
      <c r="AC4" s="317"/>
      <c r="AD4" s="317"/>
    </row>
    <row r="5" ht="20.25" customHeight="1">
      <c r="A5" s="362"/>
      <c r="B5" s="388"/>
      <c r="C5" s="317"/>
      <c r="D5" s="317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7"/>
      <c r="AC5" s="317"/>
      <c r="AD5" s="317"/>
    </row>
    <row r="6" ht="21.0" customHeight="1">
      <c r="A6" s="317"/>
      <c r="B6" s="317"/>
      <c r="C6" s="317"/>
      <c r="D6" s="317"/>
      <c r="E6" s="317"/>
      <c r="F6" s="317"/>
      <c r="G6" s="317"/>
      <c r="H6" s="317"/>
      <c r="I6" s="365"/>
      <c r="J6" s="317"/>
      <c r="K6" s="317"/>
      <c r="L6" s="317"/>
      <c r="M6" s="317"/>
      <c r="N6" s="317"/>
      <c r="O6" s="317"/>
      <c r="P6" s="317"/>
      <c r="Q6" s="317"/>
      <c r="R6" s="317"/>
      <c r="S6" s="317"/>
      <c r="T6" s="317"/>
      <c r="U6" s="317"/>
      <c r="V6" s="317"/>
      <c r="W6" s="317"/>
      <c r="X6" s="317"/>
      <c r="Y6" s="317"/>
      <c r="Z6" s="317"/>
      <c r="AA6" s="317"/>
      <c r="AB6" s="317"/>
      <c r="AC6" s="317"/>
      <c r="AD6" s="317"/>
    </row>
    <row r="7" ht="61.5" customHeight="1">
      <c r="A7" s="323" t="s">
        <v>241</v>
      </c>
      <c r="B7" s="450" t="s">
        <v>242</v>
      </c>
      <c r="C7" s="324" t="s">
        <v>243</v>
      </c>
      <c r="D7" s="324" t="s">
        <v>244</v>
      </c>
      <c r="E7" s="324" t="s">
        <v>245</v>
      </c>
      <c r="F7" s="324" t="s">
        <v>246</v>
      </c>
      <c r="G7" s="325" t="s">
        <v>247</v>
      </c>
      <c r="H7" s="325" t="s">
        <v>12</v>
      </c>
      <c r="I7" s="451" t="s">
        <v>264</v>
      </c>
      <c r="J7" s="452" t="s">
        <v>262</v>
      </c>
      <c r="K7" s="317"/>
      <c r="L7" s="317"/>
      <c r="M7" s="317"/>
      <c r="N7" s="317"/>
      <c r="O7" s="317"/>
      <c r="P7" s="317"/>
      <c r="Q7" s="317"/>
      <c r="R7" s="317"/>
      <c r="S7" s="317"/>
      <c r="T7" s="317"/>
      <c r="U7" s="317"/>
      <c r="V7" s="317"/>
      <c r="W7" s="317"/>
      <c r="X7" s="317"/>
      <c r="Y7" s="317"/>
      <c r="Z7" s="317"/>
      <c r="AA7" s="317"/>
      <c r="AB7" s="317"/>
      <c r="AC7" s="317"/>
      <c r="AD7" s="317"/>
    </row>
    <row r="8" ht="22.5" customHeight="1">
      <c r="A8" s="453" t="str">
        <f>+SUMMARY!#REF!</f>
        <v>#ERROR!</v>
      </c>
      <c r="B8" s="454" t="str">
        <f>+SUMMARY!#REF!</f>
        <v>#ERROR!</v>
      </c>
      <c r="C8" s="454" t="str">
        <f>+SUMMARY!#REF!</f>
        <v>#ERROR!</v>
      </c>
      <c r="D8" s="454" t="str">
        <f>+SUMMARY!#REF!</f>
        <v>#ERROR!</v>
      </c>
      <c r="E8" s="454" t="str">
        <f>+SUMMARY!#REF!</f>
        <v>#ERROR!</v>
      </c>
      <c r="F8" s="454" t="str">
        <f>+SUMMARY!#REF!</f>
        <v>#ERROR!</v>
      </c>
      <c r="G8" s="454" t="str">
        <f>+SUMMARY!#REF!</f>
        <v>#ERROR!</v>
      </c>
      <c r="H8" s="455" t="str">
        <f>+SUMMARY!#REF!</f>
        <v>#ERROR!</v>
      </c>
      <c r="I8" s="456" t="str">
        <f t="shared" ref="I8:I37" si="1">G8/B8</f>
        <v>#ERROR!</v>
      </c>
      <c r="J8" s="457"/>
      <c r="K8" s="379"/>
      <c r="L8" s="317"/>
      <c r="M8" s="317"/>
      <c r="N8" s="317"/>
      <c r="O8" s="317"/>
      <c r="P8" s="317"/>
      <c r="Q8" s="317"/>
      <c r="R8" s="317"/>
      <c r="S8" s="317"/>
      <c r="T8" s="317"/>
      <c r="U8" s="317"/>
      <c r="V8" s="317"/>
      <c r="W8" s="317"/>
      <c r="X8" s="317"/>
      <c r="Y8" s="317"/>
      <c r="Z8" s="317"/>
      <c r="AA8" s="317"/>
      <c r="AB8" s="317"/>
      <c r="AC8" s="317"/>
      <c r="AD8" s="317"/>
    </row>
    <row r="9" ht="22.5" customHeight="1">
      <c r="A9" s="453">
        <f>+SUMMARY!A7</f>
        <v>44347</v>
      </c>
      <c r="B9" s="454">
        <f>+SUMMARY!B7</f>
        <v>35101.17942</v>
      </c>
      <c r="C9" s="454">
        <f>+SUMMARY!C7</f>
        <v>30871.37738</v>
      </c>
      <c r="D9" s="454">
        <f>+SUMMARY!D7</f>
        <v>0</v>
      </c>
      <c r="E9" s="454">
        <f>+SUMMARY!E7</f>
        <v>386.4</v>
      </c>
      <c r="F9" s="454">
        <f>+SUMMARY!F7</f>
        <v>978.8658672</v>
      </c>
      <c r="G9" s="454">
        <f>+SUMMARY!G7</f>
        <v>2864.536171</v>
      </c>
      <c r="H9" s="455" t="str">
        <f>+SUMMARY!H7</f>
        <v/>
      </c>
      <c r="I9" s="456">
        <f t="shared" si="1"/>
        <v>0.08160797495</v>
      </c>
      <c r="J9" s="457"/>
      <c r="K9" s="379"/>
      <c r="L9" s="317"/>
      <c r="M9" s="317"/>
      <c r="N9" s="317"/>
      <c r="O9" s="317"/>
      <c r="P9" s="317"/>
      <c r="Q9" s="317"/>
      <c r="R9" s="317"/>
      <c r="S9" s="317"/>
      <c r="T9" s="317"/>
      <c r="U9" s="317"/>
      <c r="V9" s="317"/>
      <c r="W9" s="317"/>
      <c r="X9" s="317"/>
      <c r="Y9" s="317"/>
      <c r="Z9" s="317"/>
      <c r="AA9" s="317"/>
      <c r="AB9" s="317"/>
      <c r="AC9" s="317"/>
      <c r="AD9" s="317"/>
    </row>
    <row r="10" ht="22.5" customHeight="1">
      <c r="A10" s="453">
        <f>+SUMMARY!A8</f>
        <v>44348</v>
      </c>
      <c r="B10" s="454">
        <f>+SUMMARY!B8</f>
        <v>38490.38187</v>
      </c>
      <c r="C10" s="454">
        <f>+SUMMARY!C8</f>
        <v>33457.34203</v>
      </c>
      <c r="D10" s="454">
        <f>+SUMMARY!D8</f>
        <v>0</v>
      </c>
      <c r="E10" s="454">
        <f>+SUMMARY!E8</f>
        <v>262.2</v>
      </c>
      <c r="F10" s="454">
        <f>+SUMMARY!F8</f>
        <v>1602.669801</v>
      </c>
      <c r="G10" s="454">
        <f>+SUMMARY!G8</f>
        <v>3168.170037</v>
      </c>
      <c r="H10" s="455" t="str">
        <f>+SUMMARY!H8</f>
        <v/>
      </c>
      <c r="I10" s="456">
        <f t="shared" si="1"/>
        <v>0.08231069382</v>
      </c>
      <c r="J10" s="457"/>
      <c r="K10" s="379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7"/>
      <c r="AC10" s="317"/>
      <c r="AD10" s="317"/>
    </row>
    <row r="11" ht="22.5" customHeight="1">
      <c r="A11" s="453">
        <f>+SUMMARY!A9</f>
        <v>44349</v>
      </c>
      <c r="B11" s="454">
        <f>+SUMMARY!B9</f>
        <v>30280.04234</v>
      </c>
      <c r="C11" s="454">
        <f>+SUMMARY!C9</f>
        <v>25828.82484</v>
      </c>
      <c r="D11" s="454">
        <f>+SUMMARY!D9</f>
        <v>0</v>
      </c>
      <c r="E11" s="454">
        <f>+SUMMARY!E9</f>
        <v>439.8</v>
      </c>
      <c r="F11" s="454">
        <f>+SUMMARY!F9</f>
        <v>1600.438909</v>
      </c>
      <c r="G11" s="454">
        <f>+SUMMARY!G9</f>
        <v>2410.978593</v>
      </c>
      <c r="H11" s="455" t="str">
        <f>+SUMMARY!H9</f>
        <v/>
      </c>
      <c r="I11" s="456">
        <f t="shared" si="1"/>
        <v>0.07962269557</v>
      </c>
      <c r="J11" s="457"/>
      <c r="K11" s="379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</row>
    <row r="12" ht="22.5" customHeight="1">
      <c r="A12" s="453">
        <f>+SUMMARY!A10</f>
        <v>44350</v>
      </c>
      <c r="B12" s="454">
        <f>+SUMMARY!B10</f>
        <v>29841.9022</v>
      </c>
      <c r="C12" s="454">
        <f>+SUMMARY!C10</f>
        <v>25638.02627</v>
      </c>
      <c r="D12" s="454">
        <f>+SUMMARY!D10</f>
        <v>0</v>
      </c>
      <c r="E12" s="454">
        <f>+SUMMARY!E10</f>
        <v>263.4</v>
      </c>
      <c r="F12" s="454">
        <f>+SUMMARY!F10</f>
        <v>1458.972407</v>
      </c>
      <c r="G12" s="454">
        <f>+SUMMARY!G10</f>
        <v>2481.50352</v>
      </c>
      <c r="H12" s="455" t="str">
        <f>+SUMMARY!H10</f>
        <v/>
      </c>
      <c r="I12" s="456">
        <f t="shared" si="1"/>
        <v>0.08315500479</v>
      </c>
      <c r="J12" s="457"/>
      <c r="K12" s="379"/>
      <c r="L12" s="317"/>
      <c r="M12" s="317"/>
      <c r="N12" s="317"/>
      <c r="O12" s="317"/>
      <c r="P12" s="317"/>
      <c r="Q12" s="317"/>
      <c r="R12" s="317"/>
      <c r="S12" s="317"/>
      <c r="T12" s="317"/>
      <c r="U12" s="317"/>
      <c r="V12" s="317"/>
      <c r="W12" s="317"/>
      <c r="X12" s="317"/>
      <c r="Y12" s="317"/>
      <c r="Z12" s="317"/>
      <c r="AA12" s="317"/>
      <c r="AB12" s="317"/>
      <c r="AC12" s="317"/>
      <c r="AD12" s="317"/>
    </row>
    <row r="13" ht="22.5" customHeight="1">
      <c r="A13" s="453">
        <f>+SUMMARY!A11</f>
        <v>44351</v>
      </c>
      <c r="B13" s="454">
        <f>+SUMMARY!B11</f>
        <v>39240.68417</v>
      </c>
      <c r="C13" s="454">
        <f>+SUMMARY!C11</f>
        <v>34617.7333</v>
      </c>
      <c r="D13" s="454">
        <f>+SUMMARY!D11</f>
        <v>0</v>
      </c>
      <c r="E13" s="454">
        <f>+SUMMARY!E11</f>
        <v>244.2</v>
      </c>
      <c r="F13" s="454">
        <f>+SUMMARY!F11</f>
        <v>1036.614712</v>
      </c>
      <c r="G13" s="454">
        <f>+SUMMARY!G11</f>
        <v>3342.136162</v>
      </c>
      <c r="H13" s="455" t="str">
        <f>+SUMMARY!H11</f>
        <v/>
      </c>
      <c r="I13" s="456">
        <f t="shared" si="1"/>
        <v>0.08517018072</v>
      </c>
      <c r="J13" s="458"/>
      <c r="K13" s="459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460"/>
      <c r="X13" s="460"/>
      <c r="Y13" s="460"/>
      <c r="Z13" s="460"/>
      <c r="AA13" s="460"/>
      <c r="AB13" s="460"/>
      <c r="AC13" s="460"/>
      <c r="AD13" s="460"/>
    </row>
    <row r="14" ht="22.5" customHeight="1">
      <c r="A14" s="453">
        <f>+SUMMARY!A12</f>
        <v>44352</v>
      </c>
      <c r="B14" s="454">
        <f>+SUMMARY!B12</f>
        <v>27833.71302</v>
      </c>
      <c r="C14" s="454">
        <f>+SUMMARY!C12</f>
        <v>24459.03206</v>
      </c>
      <c r="D14" s="454">
        <f>+SUMMARY!D12</f>
        <v>0</v>
      </c>
      <c r="E14" s="454">
        <f>+SUMMARY!E12</f>
        <v>203.4</v>
      </c>
      <c r="F14" s="454">
        <f>+SUMMARY!F12</f>
        <v>719.0384146</v>
      </c>
      <c r="G14" s="454">
        <f>+SUMMARY!G12</f>
        <v>2452.242544</v>
      </c>
      <c r="H14" s="455" t="str">
        <f>+SUMMARY!H12</f>
        <v/>
      </c>
      <c r="I14" s="456">
        <f t="shared" si="1"/>
        <v>0.08810332069</v>
      </c>
      <c r="J14" s="457"/>
      <c r="K14" s="379"/>
      <c r="L14" s="317"/>
      <c r="M14" s="317"/>
      <c r="N14" s="317"/>
      <c r="O14" s="317"/>
      <c r="P14" s="317"/>
      <c r="Q14" s="317"/>
      <c r="R14" s="317"/>
      <c r="S14" s="317"/>
      <c r="T14" s="317"/>
      <c r="U14" s="317"/>
      <c r="V14" s="317"/>
      <c r="W14" s="317"/>
      <c r="X14" s="317"/>
      <c r="Y14" s="317"/>
      <c r="Z14" s="317"/>
      <c r="AA14" s="317"/>
      <c r="AB14" s="317"/>
      <c r="AC14" s="317"/>
      <c r="AD14" s="317"/>
    </row>
    <row r="15" ht="22.5" customHeight="1">
      <c r="A15" s="453">
        <f>+SUMMARY!A13</f>
        <v>44354</v>
      </c>
      <c r="B15" s="454">
        <f>+SUMMARY!B13</f>
        <v>18590.1386</v>
      </c>
      <c r="C15" s="454">
        <f>+SUMMARY!C13</f>
        <v>16757.86863</v>
      </c>
      <c r="D15" s="454">
        <f>+SUMMARY!D13</f>
        <v>0</v>
      </c>
      <c r="E15" s="454">
        <f>+SUMMARY!E13</f>
        <v>162.6</v>
      </c>
      <c r="F15" s="454">
        <f>+SUMMARY!F13</f>
        <v>274.2402776</v>
      </c>
      <c r="G15" s="454">
        <f>+SUMMARY!G13</f>
        <v>1395.429697</v>
      </c>
      <c r="H15" s="455" t="str">
        <f>+SUMMARY!H13</f>
        <v>#REF!</v>
      </c>
      <c r="I15" s="456">
        <f t="shared" si="1"/>
        <v>0.07506289904</v>
      </c>
      <c r="J15" s="457"/>
      <c r="K15" s="379"/>
      <c r="L15" s="317"/>
      <c r="M15" s="317"/>
      <c r="N15" s="317"/>
      <c r="O15" s="317"/>
      <c r="P15" s="317"/>
      <c r="Q15" s="317"/>
      <c r="R15" s="317"/>
      <c r="S15" s="317"/>
      <c r="T15" s="317"/>
      <c r="U15" s="317"/>
      <c r="V15" s="317"/>
      <c r="W15" s="317"/>
      <c r="X15" s="317"/>
      <c r="Y15" s="317"/>
      <c r="Z15" s="317"/>
      <c r="AA15" s="317"/>
      <c r="AB15" s="317"/>
      <c r="AC15" s="317"/>
      <c r="AD15" s="317"/>
    </row>
    <row r="16" ht="22.5" customHeight="1">
      <c r="A16" s="453">
        <f>+SUMMARY!A14</f>
        <v>44355</v>
      </c>
      <c r="B16" s="454">
        <f>+SUMMARY!B14</f>
        <v>26302.63816</v>
      </c>
      <c r="C16" s="454">
        <f>+SUMMARY!C14</f>
        <v>22499.51073</v>
      </c>
      <c r="D16" s="454">
        <f>+SUMMARY!D14</f>
        <v>0</v>
      </c>
      <c r="E16" s="454">
        <f>+SUMMARY!E14</f>
        <v>328.8</v>
      </c>
      <c r="F16" s="454">
        <f>+SUMMARY!F14</f>
        <v>985.5691144</v>
      </c>
      <c r="G16" s="454">
        <f>+SUMMARY!G14</f>
        <v>2488.758319</v>
      </c>
      <c r="H16" s="455" t="str">
        <f>+SUMMARY!H14</f>
        <v/>
      </c>
      <c r="I16" s="456">
        <f t="shared" si="1"/>
        <v>0.09462010249</v>
      </c>
      <c r="J16" s="457"/>
      <c r="K16" s="379"/>
      <c r="L16" s="317"/>
      <c r="M16" s="317"/>
      <c r="N16" s="317"/>
      <c r="O16" s="317"/>
      <c r="P16" s="317"/>
      <c r="Q16" s="317"/>
      <c r="R16" s="317"/>
      <c r="S16" s="317"/>
      <c r="T16" s="317"/>
      <c r="U16" s="317"/>
      <c r="V16" s="317"/>
      <c r="W16" s="317"/>
      <c r="X16" s="317"/>
      <c r="Y16" s="317"/>
      <c r="Z16" s="317"/>
      <c r="AA16" s="317"/>
      <c r="AB16" s="317"/>
      <c r="AC16" s="317"/>
      <c r="AD16" s="317"/>
    </row>
    <row r="17" ht="22.5" customHeight="1">
      <c r="A17" s="453">
        <f>+SUMMARY!A15</f>
        <v>44356</v>
      </c>
      <c r="B17" s="454">
        <f>+SUMMARY!B15</f>
        <v>26364.55411</v>
      </c>
      <c r="C17" s="454">
        <f>+SUMMARY!C15</f>
        <v>23918.85103</v>
      </c>
      <c r="D17" s="454">
        <f>+SUMMARY!D15</f>
        <v>0</v>
      </c>
      <c r="E17" s="454">
        <f>+SUMMARY!E15</f>
        <v>152.4</v>
      </c>
      <c r="F17" s="454">
        <f>+SUMMARY!F15</f>
        <v>837.3042642</v>
      </c>
      <c r="G17" s="454">
        <f>+SUMMARY!G15</f>
        <v>1455.998822</v>
      </c>
      <c r="H17" s="455" t="str">
        <f>+SUMMARY!H15</f>
        <v/>
      </c>
      <c r="I17" s="456">
        <f t="shared" si="1"/>
        <v>0.05522561906</v>
      </c>
      <c r="J17" s="457"/>
      <c r="K17" s="379"/>
      <c r="L17" s="317"/>
      <c r="M17" s="317"/>
      <c r="N17" s="317"/>
      <c r="O17" s="317"/>
      <c r="P17" s="317"/>
      <c r="Q17" s="317"/>
      <c r="R17" s="317"/>
      <c r="S17" s="317"/>
      <c r="T17" s="317"/>
      <c r="U17" s="317"/>
      <c r="V17" s="317"/>
      <c r="W17" s="317"/>
      <c r="X17" s="317"/>
      <c r="Y17" s="317"/>
      <c r="Z17" s="317"/>
      <c r="AA17" s="317"/>
      <c r="AB17" s="317"/>
      <c r="AC17" s="317"/>
      <c r="AD17" s="317"/>
    </row>
    <row r="18" ht="22.5" customHeight="1">
      <c r="A18" s="453">
        <f>+SUMMARY!A16</f>
        <v>44357</v>
      </c>
      <c r="B18" s="454">
        <f>+SUMMARY!B16</f>
        <v>33020.12586</v>
      </c>
      <c r="C18" s="454">
        <f>+SUMMARY!C16</f>
        <v>28880.98186</v>
      </c>
      <c r="D18" s="454">
        <f>+SUMMARY!D16</f>
        <v>0</v>
      </c>
      <c r="E18" s="454">
        <f>+SUMMARY!E16</f>
        <v>238.2</v>
      </c>
      <c r="F18" s="454">
        <f>+SUMMARY!F16</f>
        <v>1208.084291</v>
      </c>
      <c r="G18" s="454">
        <f>+SUMMARY!G16</f>
        <v>2692.859711</v>
      </c>
      <c r="H18" s="455" t="str">
        <f>+SUMMARY!H16</f>
        <v/>
      </c>
      <c r="I18" s="456">
        <f t="shared" si="1"/>
        <v>0.0815520729</v>
      </c>
      <c r="J18" s="457"/>
      <c r="K18" s="379"/>
      <c r="L18" s="317"/>
      <c r="M18" s="317"/>
      <c r="N18" s="317"/>
      <c r="O18" s="317"/>
      <c r="P18" s="317"/>
      <c r="Q18" s="317"/>
      <c r="R18" s="317"/>
      <c r="S18" s="317"/>
      <c r="T18" s="317"/>
      <c r="U18" s="317"/>
      <c r="V18" s="317"/>
      <c r="W18" s="317"/>
      <c r="X18" s="317"/>
      <c r="Y18" s="317"/>
      <c r="Z18" s="317"/>
      <c r="AA18" s="317"/>
      <c r="AB18" s="317"/>
      <c r="AC18" s="317"/>
      <c r="AD18" s="317"/>
    </row>
    <row r="19" ht="22.5" customHeight="1">
      <c r="A19" s="453">
        <f>+SUMMARY!A17</f>
        <v>44358</v>
      </c>
      <c r="B19" s="454">
        <f>+SUMMARY!B17</f>
        <v>14859.99189</v>
      </c>
      <c r="C19" s="454">
        <f>+SUMMARY!C17</f>
        <v>12707.00091</v>
      </c>
      <c r="D19" s="454">
        <f>+SUMMARY!D17</f>
        <v>0</v>
      </c>
      <c r="E19" s="454">
        <f>+SUMMARY!E17</f>
        <v>138.6</v>
      </c>
      <c r="F19" s="454">
        <f>+SUMMARY!F17</f>
        <v>786.2242803</v>
      </c>
      <c r="G19" s="454">
        <f>+SUMMARY!G17</f>
        <v>1228.166692</v>
      </c>
      <c r="H19" s="455" t="str">
        <f>+SUMMARY!H17</f>
        <v/>
      </c>
      <c r="I19" s="456">
        <f t="shared" si="1"/>
        <v>0.08264921687</v>
      </c>
      <c r="J19" s="457"/>
      <c r="K19" s="379"/>
      <c r="L19" s="317"/>
      <c r="M19" s="317"/>
      <c r="N19" s="317"/>
      <c r="O19" s="317"/>
      <c r="P19" s="317"/>
      <c r="Q19" s="317"/>
      <c r="R19" s="317"/>
      <c r="S19" s="317"/>
      <c r="T19" s="317"/>
      <c r="U19" s="317"/>
      <c r="V19" s="317"/>
      <c r="W19" s="317"/>
      <c r="X19" s="317"/>
      <c r="Y19" s="317"/>
      <c r="Z19" s="317"/>
      <c r="AA19" s="317"/>
      <c r="AB19" s="317"/>
      <c r="AC19" s="317"/>
      <c r="AD19" s="317"/>
    </row>
    <row r="20" ht="22.5" customHeight="1">
      <c r="A20" s="453">
        <f>+SUMMARY!A18</f>
        <v>44359</v>
      </c>
      <c r="B20" s="454">
        <f>+SUMMARY!B18</f>
        <v>18324.71731</v>
      </c>
      <c r="C20" s="454">
        <f>+SUMMARY!C18</f>
        <v>15995.98773</v>
      </c>
      <c r="D20" s="454">
        <f>+SUMMARY!D18</f>
        <v>0</v>
      </c>
      <c r="E20" s="454">
        <f>+SUMMARY!E18</f>
        <v>203.4</v>
      </c>
      <c r="F20" s="454">
        <f>+SUMMARY!F18</f>
        <v>558.7497036</v>
      </c>
      <c r="G20" s="454">
        <f>+SUMMARY!G18</f>
        <v>1566.57988</v>
      </c>
      <c r="H20" s="455" t="str">
        <f>+SUMMARY!H18</f>
        <v/>
      </c>
      <c r="I20" s="456">
        <f t="shared" si="1"/>
        <v>0.0854899889</v>
      </c>
      <c r="J20" s="457"/>
      <c r="K20" s="379"/>
      <c r="L20" s="317"/>
      <c r="M20" s="317"/>
      <c r="N20" s="317"/>
      <c r="O20" s="317"/>
      <c r="P20" s="317"/>
      <c r="Q20" s="317"/>
      <c r="R20" s="317"/>
      <c r="S20" s="317"/>
      <c r="T20" s="317"/>
      <c r="U20" s="317"/>
      <c r="V20" s="317"/>
      <c r="W20" s="317"/>
      <c r="X20" s="317"/>
      <c r="Y20" s="317"/>
      <c r="Z20" s="317"/>
      <c r="AA20" s="317"/>
      <c r="AB20" s="317"/>
      <c r="AC20" s="317"/>
      <c r="AD20" s="317"/>
    </row>
    <row r="21" ht="22.5" customHeight="1">
      <c r="A21" s="453">
        <f>+SUMMARY!A19</f>
        <v>44361</v>
      </c>
      <c r="B21" s="454">
        <f>+SUMMARY!B19</f>
        <v>23482.246</v>
      </c>
      <c r="C21" s="454">
        <f>+SUMMARY!C19</f>
        <v>22008.36222</v>
      </c>
      <c r="D21" s="454">
        <f>+SUMMARY!D19</f>
        <v>0</v>
      </c>
      <c r="E21" s="454">
        <f>+SUMMARY!E19</f>
        <v>88.8</v>
      </c>
      <c r="F21" s="454">
        <f>+SUMMARY!F19</f>
        <v>566.4113804</v>
      </c>
      <c r="G21" s="454">
        <f>+SUMMARY!G19</f>
        <v>818.6724032</v>
      </c>
      <c r="H21" s="455" t="str">
        <f>+SUMMARY!H19</f>
        <v/>
      </c>
      <c r="I21" s="456">
        <f t="shared" si="1"/>
        <v>0.03486346252</v>
      </c>
      <c r="J21" s="457"/>
      <c r="K21" s="379"/>
      <c r="L21" s="317"/>
      <c r="M21" s="317"/>
      <c r="N21" s="317"/>
      <c r="O21" s="317"/>
      <c r="P21" s="317"/>
      <c r="Q21" s="317"/>
      <c r="R21" s="317"/>
      <c r="S21" s="317"/>
      <c r="T21" s="317"/>
      <c r="U21" s="317"/>
      <c r="V21" s="317"/>
      <c r="W21" s="317"/>
      <c r="X21" s="317"/>
      <c r="Y21" s="317"/>
      <c r="Z21" s="317"/>
      <c r="AA21" s="317"/>
      <c r="AB21" s="317"/>
      <c r="AC21" s="317"/>
      <c r="AD21" s="317"/>
    </row>
    <row r="22" ht="22.5" customHeight="1">
      <c r="A22" s="453">
        <f>+SUMMARY!A20</f>
        <v>44362</v>
      </c>
      <c r="B22" s="454">
        <f>+SUMMARY!B20</f>
        <v>16499.764</v>
      </c>
      <c r="C22" s="454">
        <f>+SUMMARY!C20</f>
        <v>14104.97092</v>
      </c>
      <c r="D22" s="454">
        <f>+SUMMARY!D20</f>
        <v>551.43441</v>
      </c>
      <c r="E22" s="454">
        <f>+SUMMARY!E20</f>
        <v>175.2</v>
      </c>
      <c r="F22" s="454">
        <f>+SUMMARY!F20</f>
        <v>809.7384969</v>
      </c>
      <c r="G22" s="454">
        <f>+SUMMARY!G20</f>
        <v>858.4201691</v>
      </c>
      <c r="H22" s="455" t="str">
        <f>+SUMMARY!H20</f>
        <v/>
      </c>
      <c r="I22" s="456">
        <f t="shared" si="1"/>
        <v>0.05202620893</v>
      </c>
      <c r="J22" s="457"/>
      <c r="K22" s="379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</row>
    <row r="23" ht="22.5" customHeight="1">
      <c r="A23" s="453">
        <f>+SUMMARY!A21</f>
        <v>44363</v>
      </c>
      <c r="B23" s="454">
        <f>+SUMMARY!B21</f>
        <v>31925.2777</v>
      </c>
      <c r="C23" s="454">
        <f>+SUMMARY!C21</f>
        <v>28252.88352</v>
      </c>
      <c r="D23" s="454">
        <f>+SUMMARY!D21</f>
        <v>0</v>
      </c>
      <c r="E23" s="454">
        <f>+SUMMARY!E21</f>
        <v>223.2</v>
      </c>
      <c r="F23" s="454">
        <f>+SUMMARY!F21</f>
        <v>1256.161311</v>
      </c>
      <c r="G23" s="454">
        <f>+SUMMARY!G21</f>
        <v>2193.032869</v>
      </c>
      <c r="H23" s="455" t="str">
        <f>+SUMMARY!H21</f>
        <v/>
      </c>
      <c r="I23" s="456">
        <f t="shared" si="1"/>
        <v>0.0686926795</v>
      </c>
      <c r="J23" s="457"/>
      <c r="K23" s="379"/>
      <c r="L23" s="317"/>
      <c r="M23" s="317"/>
      <c r="N23" s="317"/>
      <c r="O23" s="317"/>
      <c r="P23" s="317"/>
      <c r="Q23" s="317"/>
      <c r="R23" s="317"/>
      <c r="S23" s="317"/>
      <c r="T23" s="317"/>
      <c r="U23" s="317"/>
      <c r="V23" s="317"/>
      <c r="W23" s="317"/>
      <c r="X23" s="317"/>
      <c r="Y23" s="317"/>
      <c r="Z23" s="317"/>
      <c r="AA23" s="317"/>
      <c r="AB23" s="317"/>
      <c r="AC23" s="317"/>
      <c r="AD23" s="317"/>
    </row>
    <row r="24" ht="22.5" customHeight="1">
      <c r="A24" s="453">
        <f>+SUMMARY!A22</f>
        <v>44364</v>
      </c>
      <c r="B24" s="454">
        <f>+SUMMARY!B22</f>
        <v>37706.20397</v>
      </c>
      <c r="C24" s="454">
        <f>+SUMMARY!C22</f>
        <v>33490.41397</v>
      </c>
      <c r="D24" s="454">
        <f>+SUMMARY!D22</f>
        <v>781.470781</v>
      </c>
      <c r="E24" s="454">
        <f>+SUMMARY!E22</f>
        <v>342.6</v>
      </c>
      <c r="F24" s="454">
        <f>+SUMMARY!F22</f>
        <v>1539.788898</v>
      </c>
      <c r="G24" s="454">
        <f>+SUMMARY!G22</f>
        <v>1551.930324</v>
      </c>
      <c r="H24" s="455" t="str">
        <f>+SUMMARY!H22</f>
        <v/>
      </c>
      <c r="I24" s="456">
        <f t="shared" si="1"/>
        <v>0.04115848749</v>
      </c>
      <c r="J24" s="457"/>
      <c r="K24" s="379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</row>
    <row r="25" ht="22.5" customHeight="1">
      <c r="A25" s="453">
        <f>+SUMMARY!A23</f>
        <v>44365</v>
      </c>
      <c r="B25" s="454">
        <f>+SUMMARY!B23</f>
        <v>42274.116</v>
      </c>
      <c r="C25" s="454">
        <f>+SUMMARY!C23</f>
        <v>36351.48707</v>
      </c>
      <c r="D25" s="454">
        <f>+SUMMARY!D23</f>
        <v>0</v>
      </c>
      <c r="E25" s="454">
        <f>+SUMMARY!E23</f>
        <v>357</v>
      </c>
      <c r="F25" s="454">
        <f>+SUMMARY!F23</f>
        <v>1695.6464</v>
      </c>
      <c r="G25" s="454">
        <f>+SUMMARY!G23</f>
        <v>3869.982534</v>
      </c>
      <c r="H25" s="455" t="str">
        <f>+SUMMARY!H23</f>
        <v/>
      </c>
      <c r="I25" s="456">
        <f t="shared" si="1"/>
        <v>0.09154496653</v>
      </c>
      <c r="J25" s="458"/>
      <c r="K25" s="459"/>
      <c r="L25" s="460"/>
      <c r="M25" s="460"/>
      <c r="N25" s="460"/>
      <c r="O25" s="460"/>
      <c r="P25" s="460"/>
      <c r="Q25" s="460"/>
      <c r="R25" s="460"/>
      <c r="S25" s="460"/>
      <c r="T25" s="460"/>
      <c r="U25" s="460"/>
      <c r="V25" s="460"/>
      <c r="W25" s="460"/>
      <c r="X25" s="460"/>
      <c r="Y25" s="460"/>
      <c r="Z25" s="460"/>
      <c r="AA25" s="460"/>
      <c r="AB25" s="460"/>
      <c r="AC25" s="460"/>
      <c r="AD25" s="460"/>
    </row>
    <row r="26" ht="22.5" customHeight="1">
      <c r="A26" s="453">
        <f>+SUMMARY!A24</f>
        <v>44366</v>
      </c>
      <c r="B26" s="454">
        <f>+SUMMARY!B24</f>
        <v>22591.0677</v>
      </c>
      <c r="C26" s="454">
        <f>+SUMMARY!C24</f>
        <v>6390.470613</v>
      </c>
      <c r="D26" s="454">
        <f>+SUMMARY!D24</f>
        <v>0</v>
      </c>
      <c r="E26" s="454">
        <f>+SUMMARY!E24</f>
        <v>234</v>
      </c>
      <c r="F26" s="454">
        <f>+SUMMARY!F24</f>
        <v>697.749892</v>
      </c>
      <c r="G26" s="454">
        <f>+SUMMARY!G24</f>
        <v>15268.8472</v>
      </c>
      <c r="H26" s="455" t="str">
        <f>+SUMMARY!H24</f>
        <v/>
      </c>
      <c r="I26" s="456">
        <f t="shared" si="1"/>
        <v>0.6758798388</v>
      </c>
      <c r="J26" s="457"/>
      <c r="K26" s="379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</row>
    <row r="27" ht="22.5" customHeight="1">
      <c r="A27" s="453">
        <f>+SUMMARY!A25</f>
        <v>44368</v>
      </c>
      <c r="B27" s="454">
        <f>+SUMMARY!B25</f>
        <v>30427.09305</v>
      </c>
      <c r="C27" s="454">
        <f>+SUMMARY!C25</f>
        <v>27468.27035</v>
      </c>
      <c r="D27" s="454">
        <f>+SUMMARY!D25</f>
        <v>0</v>
      </c>
      <c r="E27" s="454">
        <f>+SUMMARY!E25</f>
        <v>444</v>
      </c>
      <c r="F27" s="454">
        <f>+SUMMARY!F25</f>
        <v>568.828196</v>
      </c>
      <c r="G27" s="454">
        <f>+SUMMARY!G25</f>
        <v>1945.994504</v>
      </c>
      <c r="H27" s="455" t="str">
        <f>+SUMMARY!H25</f>
        <v/>
      </c>
      <c r="I27" s="456">
        <f t="shared" si="1"/>
        <v>0.06395597834</v>
      </c>
      <c r="J27" s="457"/>
      <c r="K27" s="379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317"/>
      <c r="AC27" s="317"/>
      <c r="AD27" s="317"/>
    </row>
    <row r="28" ht="22.5" customHeight="1">
      <c r="A28" s="453">
        <f>+SUMMARY!A26</f>
        <v>44369</v>
      </c>
      <c r="B28" s="454">
        <f>+SUMMARY!B26</f>
        <v>38694.12</v>
      </c>
      <c r="C28" s="454">
        <f>+SUMMARY!C26</f>
        <v>35214.0553</v>
      </c>
      <c r="D28" s="454">
        <f>+SUMMARY!D26</f>
        <v>0</v>
      </c>
      <c r="E28" s="454">
        <f>+SUMMARY!E26</f>
        <v>223.8</v>
      </c>
      <c r="F28" s="454">
        <f>+SUMMARY!F26</f>
        <v>831.647566</v>
      </c>
      <c r="G28" s="454">
        <f>+SUMMARY!G26</f>
        <v>2424.617131</v>
      </c>
      <c r="H28" s="455" t="str">
        <f>+SUMMARY!H26</f>
        <v/>
      </c>
      <c r="I28" s="456">
        <f t="shared" si="1"/>
        <v>0.06266112607</v>
      </c>
      <c r="J28" s="457"/>
      <c r="K28" s="379"/>
      <c r="L28" s="317"/>
      <c r="M28" s="317"/>
      <c r="N28" s="317"/>
      <c r="O28" s="317"/>
      <c r="P28" s="317"/>
      <c r="Q28" s="317"/>
      <c r="R28" s="317"/>
      <c r="S28" s="317"/>
      <c r="T28" s="317"/>
      <c r="U28" s="317"/>
      <c r="V28" s="317"/>
      <c r="W28" s="317"/>
      <c r="X28" s="317"/>
      <c r="Y28" s="317"/>
      <c r="Z28" s="317"/>
      <c r="AA28" s="317"/>
      <c r="AB28" s="317"/>
      <c r="AC28" s="317"/>
      <c r="AD28" s="317"/>
    </row>
    <row r="29" ht="22.5" customHeight="1">
      <c r="A29" s="453">
        <f>+SUMMARY!A27</f>
        <v>44370</v>
      </c>
      <c r="B29" s="454">
        <f>+SUMMARY!B27</f>
        <v>34623.82602</v>
      </c>
      <c r="C29" s="454">
        <f>+SUMMARY!C27</f>
        <v>31836.99565</v>
      </c>
      <c r="D29" s="454">
        <f>+SUMMARY!D27</f>
        <v>0</v>
      </c>
      <c r="E29" s="454">
        <f>+SUMMARY!E27</f>
        <v>218.4</v>
      </c>
      <c r="F29" s="454">
        <f>+SUMMARY!F27</f>
        <v>576.0543282</v>
      </c>
      <c r="G29" s="454">
        <f>+SUMMARY!G27</f>
        <v>1992.376037</v>
      </c>
      <c r="H29" s="455" t="str">
        <f>+SUMMARY!H27</f>
        <v/>
      </c>
      <c r="I29" s="456">
        <f t="shared" si="1"/>
        <v>0.05754349723</v>
      </c>
      <c r="J29" s="457"/>
      <c r="K29" s="379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7"/>
      <c r="AC29" s="317"/>
      <c r="AD29" s="317"/>
    </row>
    <row r="30" ht="22.5" customHeight="1">
      <c r="A30" s="453" t="str">
        <f>+SUMMARY!A28</f>
        <v>24/06/2021</v>
      </c>
      <c r="B30" s="454">
        <f>+SUMMARY!B28</f>
        <v>44741.03968</v>
      </c>
      <c r="C30" s="454">
        <f>+SUMMARY!C28</f>
        <v>40035.448</v>
      </c>
      <c r="D30" s="454">
        <f>+SUMMARY!D28</f>
        <v>0</v>
      </c>
      <c r="E30" s="454">
        <f>+SUMMARY!E28</f>
        <v>205.8</v>
      </c>
      <c r="F30" s="454">
        <f>+SUMMARY!F28</f>
        <v>925.5324121</v>
      </c>
      <c r="G30" s="454">
        <f>+SUMMARY!G28</f>
        <v>3574.25927</v>
      </c>
      <c r="H30" s="455" t="str">
        <f>+SUMMARY!H28</f>
        <v/>
      </c>
      <c r="I30" s="456">
        <f t="shared" si="1"/>
        <v>0.07988771149</v>
      </c>
      <c r="J30" s="457"/>
      <c r="K30" s="379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7"/>
      <c r="AC30" s="317"/>
      <c r="AD30" s="317"/>
    </row>
    <row r="31" ht="22.5" customHeight="1">
      <c r="A31" s="453">
        <f>+SUMMARY!A29</f>
        <v>44372</v>
      </c>
      <c r="B31" s="454">
        <f>+SUMMARY!B29</f>
        <v>34273.486</v>
      </c>
      <c r="C31" s="454">
        <f>+SUMMARY!C29</f>
        <v>30120.62113</v>
      </c>
      <c r="D31" s="454">
        <f>+SUMMARY!D29</f>
        <v>0</v>
      </c>
      <c r="E31" s="454">
        <f>+SUMMARY!E29</f>
        <v>120.6</v>
      </c>
      <c r="F31" s="454">
        <f>+SUMMARY!F29</f>
        <v>608.9615812</v>
      </c>
      <c r="G31" s="454">
        <f>+SUMMARY!G29</f>
        <v>3423.303287</v>
      </c>
      <c r="H31" s="455" t="str">
        <f>+SUMMARY!H29</f>
        <v/>
      </c>
      <c r="I31" s="456">
        <f t="shared" si="1"/>
        <v>0.0998819696</v>
      </c>
      <c r="J31" s="457"/>
      <c r="K31" s="379"/>
      <c r="L31" s="317"/>
      <c r="M31" s="317"/>
      <c r="N31" s="317"/>
      <c r="O31" s="317"/>
      <c r="P31" s="317"/>
      <c r="Q31" s="317"/>
      <c r="R31" s="317"/>
      <c r="S31" s="317"/>
      <c r="T31" s="317"/>
      <c r="U31" s="317"/>
      <c r="V31" s="317"/>
      <c r="W31" s="317"/>
      <c r="X31" s="317"/>
      <c r="Y31" s="317"/>
      <c r="Z31" s="317"/>
      <c r="AA31" s="317"/>
      <c r="AB31" s="317"/>
      <c r="AC31" s="317"/>
      <c r="AD31" s="317"/>
    </row>
    <row r="32" ht="22.5" customHeight="1">
      <c r="A32" s="453">
        <f>+SUMMARY!A30</f>
        <v>44373</v>
      </c>
      <c r="B32" s="454">
        <f>+SUMMARY!B30</f>
        <v>37386.8361</v>
      </c>
      <c r="C32" s="454">
        <f>+SUMMARY!C30</f>
        <v>33137.66063</v>
      </c>
      <c r="D32" s="454">
        <f>+SUMMARY!D30</f>
        <v>0</v>
      </c>
      <c r="E32" s="454">
        <f>+SUMMARY!E30</f>
        <v>251.4</v>
      </c>
      <c r="F32" s="454">
        <f>+SUMMARY!F30</f>
        <v>616.5467821</v>
      </c>
      <c r="G32" s="454">
        <f>+SUMMARY!G30</f>
        <v>3381.228687</v>
      </c>
      <c r="H32" s="455" t="str">
        <f>+SUMMARY!H30</f>
        <v/>
      </c>
      <c r="I32" s="456">
        <f t="shared" si="1"/>
        <v>0.09043901651</v>
      </c>
      <c r="J32" s="457"/>
      <c r="K32" s="379"/>
      <c r="L32" s="317"/>
      <c r="M32" s="317"/>
      <c r="N32" s="317"/>
      <c r="O32" s="317"/>
      <c r="P32" s="317"/>
      <c r="Q32" s="317"/>
      <c r="R32" s="317"/>
      <c r="S32" s="317"/>
      <c r="T32" s="317"/>
      <c r="U32" s="317"/>
      <c r="V32" s="317"/>
      <c r="W32" s="317"/>
      <c r="X32" s="317"/>
      <c r="Y32" s="317"/>
      <c r="Z32" s="317"/>
      <c r="AA32" s="317"/>
      <c r="AB32" s="317"/>
      <c r="AC32" s="317"/>
      <c r="AD32" s="317"/>
    </row>
    <row r="33" ht="22.5" customHeight="1">
      <c r="A33" s="453">
        <f>+SUMMARY!A31</f>
        <v>44375</v>
      </c>
      <c r="B33" s="454">
        <f>+SUMMARY!B31</f>
        <v>8552.19</v>
      </c>
      <c r="C33" s="454">
        <f>+SUMMARY!C31</f>
        <v>6108.28509</v>
      </c>
      <c r="D33" s="454">
        <f>+SUMMARY!D31</f>
        <v>0</v>
      </c>
      <c r="E33" s="454">
        <f>+SUMMARY!E31</f>
        <v>28.8</v>
      </c>
      <c r="F33" s="454">
        <f>+SUMMARY!F31</f>
        <v>928.767834</v>
      </c>
      <c r="G33" s="454">
        <f>+SUMMARY!G31</f>
        <v>1486.337076</v>
      </c>
      <c r="H33" s="455" t="str">
        <f>+SUMMARY!H31</f>
        <v/>
      </c>
      <c r="I33" s="456">
        <f t="shared" si="1"/>
        <v>0.1737960775</v>
      </c>
      <c r="J33" s="457"/>
      <c r="K33" s="379"/>
      <c r="L33" s="317"/>
      <c r="M33" s="317"/>
      <c r="N33" s="317"/>
      <c r="O33" s="317"/>
      <c r="P33" s="317"/>
      <c r="Q33" s="317"/>
      <c r="R33" s="317"/>
      <c r="S33" s="317"/>
      <c r="T33" s="317"/>
      <c r="U33" s="317"/>
      <c r="V33" s="317"/>
      <c r="W33" s="317"/>
      <c r="X33" s="317"/>
      <c r="Y33" s="317"/>
      <c r="Z33" s="317"/>
      <c r="AA33" s="317"/>
      <c r="AB33" s="317"/>
      <c r="AC33" s="317"/>
      <c r="AD33" s="317"/>
    </row>
    <row r="34" ht="22.5" customHeight="1">
      <c r="A34" s="453">
        <f>+SUMMARY!A32</f>
        <v>44376</v>
      </c>
      <c r="B34" s="454">
        <f>+SUMMARY!B32</f>
        <v>11417.0055</v>
      </c>
      <c r="C34" s="454">
        <f>+SUMMARY!C32</f>
        <v>10106.20354</v>
      </c>
      <c r="D34" s="454">
        <f>+SUMMARY!D32</f>
        <v>50.456974</v>
      </c>
      <c r="E34" s="454">
        <f>+SUMMARY!E32</f>
        <v>130.2</v>
      </c>
      <c r="F34" s="454">
        <f>+SUMMARY!F32</f>
        <v>445.7031318</v>
      </c>
      <c r="G34" s="454">
        <f>+SUMMARY!G32</f>
        <v>684.4418502</v>
      </c>
      <c r="H34" s="455" t="str">
        <f>+SUMMARY!H32</f>
        <v/>
      </c>
      <c r="I34" s="456">
        <f t="shared" si="1"/>
        <v>0.05994933174</v>
      </c>
      <c r="J34" s="457"/>
      <c r="K34" s="379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  <c r="AC34" s="317"/>
      <c r="AD34" s="317"/>
    </row>
    <row r="35" ht="22.5" customHeight="1">
      <c r="A35" s="453" t="str">
        <f>+SUMMARY!A33</f>
        <v/>
      </c>
      <c r="B35" s="454" t="str">
        <f>+SUMMARY!B33</f>
        <v/>
      </c>
      <c r="C35" s="454" t="str">
        <f>+SUMMARY!C33</f>
        <v/>
      </c>
      <c r="D35" s="454" t="str">
        <f>+SUMMARY!D33</f>
        <v/>
      </c>
      <c r="E35" s="454" t="str">
        <f>+SUMMARY!E33</f>
        <v/>
      </c>
      <c r="F35" s="454" t="str">
        <f>+SUMMARY!F33</f>
        <v/>
      </c>
      <c r="G35" s="454" t="str">
        <f>+SUMMARY!G33</f>
        <v/>
      </c>
      <c r="H35" s="455" t="str">
        <f>+SUMMARY!H33</f>
        <v/>
      </c>
      <c r="I35" s="456" t="str">
        <f t="shared" si="1"/>
        <v>#DIV/0!</v>
      </c>
      <c r="J35" s="457"/>
      <c r="K35" s="379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  <c r="AD35" s="317"/>
    </row>
    <row r="36" ht="22.5" customHeight="1">
      <c r="A36" s="453" t="str">
        <f>+SUMMARY!A34</f>
        <v/>
      </c>
      <c r="B36" s="454" t="str">
        <f>+SUMMARY!B34</f>
        <v/>
      </c>
      <c r="C36" s="454" t="str">
        <f>+SUMMARY!C34</f>
        <v/>
      </c>
      <c r="D36" s="454" t="str">
        <f>+SUMMARY!D34</f>
        <v/>
      </c>
      <c r="E36" s="454" t="str">
        <f>+SUMMARY!E34</f>
        <v/>
      </c>
      <c r="F36" s="454" t="str">
        <f>+SUMMARY!F34</f>
        <v/>
      </c>
      <c r="G36" s="454" t="str">
        <f>+SUMMARY!G34</f>
        <v/>
      </c>
      <c r="H36" s="455" t="str">
        <f>+SUMMARY!H34</f>
        <v/>
      </c>
      <c r="I36" s="456" t="str">
        <f t="shared" si="1"/>
        <v>#DIV/0!</v>
      </c>
      <c r="J36" s="457"/>
      <c r="K36" s="379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D36" s="317"/>
    </row>
    <row r="37" ht="22.5" customHeight="1">
      <c r="A37" s="453" t="str">
        <f>+SUMMARY!A35</f>
        <v/>
      </c>
      <c r="B37" s="454" t="str">
        <f>+SUMMARY!B35</f>
        <v/>
      </c>
      <c r="C37" s="454" t="str">
        <f>+SUMMARY!C35</f>
        <v/>
      </c>
      <c r="D37" s="454" t="str">
        <f>+SUMMARY!D35</f>
        <v/>
      </c>
      <c r="E37" s="454" t="str">
        <f>+SUMMARY!E35</f>
        <v/>
      </c>
      <c r="F37" s="454" t="str">
        <f>+SUMMARY!F35</f>
        <v/>
      </c>
      <c r="G37" s="454" t="str">
        <f>+SUMMARY!G35</f>
        <v/>
      </c>
      <c r="H37" s="455" t="str">
        <f>+SUMMARY!H35</f>
        <v/>
      </c>
      <c r="I37" s="456" t="str">
        <f t="shared" si="1"/>
        <v>#DIV/0!</v>
      </c>
      <c r="J37" s="457"/>
      <c r="K37" s="379"/>
      <c r="L37" s="317"/>
      <c r="M37" s="317"/>
      <c r="N37" s="317"/>
      <c r="O37" s="317"/>
      <c r="P37" s="317"/>
      <c r="Q37" s="317"/>
      <c r="R37" s="317"/>
      <c r="S37" s="317"/>
      <c r="T37" s="317"/>
      <c r="U37" s="317"/>
      <c r="V37" s="317"/>
      <c r="W37" s="317"/>
      <c r="X37" s="317"/>
      <c r="Y37" s="317"/>
      <c r="Z37" s="317"/>
      <c r="AA37" s="317"/>
      <c r="AB37" s="317"/>
      <c r="AC37" s="317"/>
      <c r="AD37" s="317"/>
    </row>
    <row r="38" ht="30.0" customHeight="1">
      <c r="A38" s="461" t="s">
        <v>250</v>
      </c>
      <c r="B38" s="462" t="str">
        <f t="shared" ref="B38:G38" si="2">SUM(B8:B37)</f>
        <v>#ERROR!</v>
      </c>
      <c r="C38" s="462" t="str">
        <f t="shared" si="2"/>
        <v>#ERROR!</v>
      </c>
      <c r="D38" s="462" t="str">
        <f t="shared" si="2"/>
        <v>#ERROR!</v>
      </c>
      <c r="E38" s="462" t="str">
        <f t="shared" si="2"/>
        <v>#ERROR!</v>
      </c>
      <c r="F38" s="462" t="str">
        <f t="shared" si="2"/>
        <v>#ERROR!</v>
      </c>
      <c r="G38" s="462" t="str">
        <f t="shared" si="2"/>
        <v>#ERROR!</v>
      </c>
      <c r="H38" s="463" t="str">
        <f>+SUMMARY!H36</f>
        <v/>
      </c>
      <c r="I38" s="464" t="str">
        <f>+G38/B38</f>
        <v>#ERROR!</v>
      </c>
      <c r="J38" s="465"/>
      <c r="K38" s="317"/>
      <c r="L38" s="317"/>
      <c r="M38" s="317"/>
      <c r="N38" s="317"/>
      <c r="O38" s="317"/>
      <c r="P38" s="317"/>
      <c r="Q38" s="317"/>
      <c r="R38" s="317"/>
      <c r="S38" s="317"/>
      <c r="T38" s="317"/>
      <c r="U38" s="317"/>
      <c r="V38" s="317"/>
      <c r="W38" s="317"/>
      <c r="X38" s="317"/>
      <c r="Y38" s="317"/>
      <c r="Z38" s="317"/>
      <c r="AA38" s="317"/>
      <c r="AB38" s="317"/>
      <c r="AC38" s="317"/>
      <c r="AD38" s="317"/>
    </row>
    <row r="39" ht="24.75" customHeight="1">
      <c r="A39" s="466" t="s">
        <v>49</v>
      </c>
      <c r="B39" s="358"/>
      <c r="C39" s="467" t="str">
        <f>+C38/B38</f>
        <v>#ERROR!</v>
      </c>
      <c r="D39" s="467" t="str">
        <f>+D38/B38</f>
        <v>#ERROR!</v>
      </c>
      <c r="E39" s="467" t="str">
        <f>+E38/B38</f>
        <v>#ERROR!</v>
      </c>
      <c r="F39" s="467" t="str">
        <f>+F38/B38</f>
        <v>#ERROR!</v>
      </c>
      <c r="G39" s="468" t="str">
        <f>+G38/B38</f>
        <v>#ERROR!</v>
      </c>
      <c r="H39" s="469" t="str">
        <f>+SUMMARY!H37</f>
        <v/>
      </c>
      <c r="I39" s="377"/>
      <c r="J39" s="470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</row>
    <row r="40" ht="24.75" customHeight="1">
      <c r="A40" s="471" t="s">
        <v>251</v>
      </c>
      <c r="B40" s="472"/>
      <c r="C40" s="473"/>
      <c r="D40" s="473">
        <v>0.0053</v>
      </c>
      <c r="E40" s="473">
        <v>0.0084</v>
      </c>
      <c r="F40" s="473"/>
      <c r="G40" s="474">
        <v>0.0061</v>
      </c>
      <c r="H40" s="475"/>
      <c r="I40" s="317"/>
      <c r="J40" s="317"/>
      <c r="K40" s="317"/>
      <c r="L40" s="317"/>
      <c r="M40" s="317"/>
      <c r="N40" s="317"/>
      <c r="O40" s="317"/>
      <c r="P40" s="317"/>
      <c r="Q40" s="317"/>
      <c r="R40" s="317"/>
      <c r="S40" s="317"/>
      <c r="T40" s="317"/>
      <c r="U40" s="317"/>
      <c r="V40" s="317"/>
      <c r="W40" s="317"/>
      <c r="X40" s="317"/>
      <c r="Y40" s="317"/>
      <c r="Z40" s="317"/>
      <c r="AA40" s="317"/>
      <c r="AB40" s="317"/>
      <c r="AC40" s="317"/>
      <c r="AD40" s="317"/>
    </row>
    <row r="41" ht="40.5" customHeight="1">
      <c r="A41" s="476"/>
      <c r="B41" s="317"/>
      <c r="C41" s="317"/>
      <c r="D41" s="317" t="s">
        <v>252</v>
      </c>
      <c r="E41" s="317"/>
      <c r="F41" s="370" t="str">
        <f>+D38+E38+F38+G38</f>
        <v>#ERROR!</v>
      </c>
      <c r="G41" s="317"/>
      <c r="H41" s="47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</row>
    <row r="42" ht="20.25" customHeight="1">
      <c r="A42" s="476"/>
      <c r="B42" s="317"/>
      <c r="C42" s="317"/>
      <c r="D42" s="317" t="s">
        <v>253</v>
      </c>
      <c r="E42" s="317"/>
      <c r="F42" s="372" t="str">
        <f>+F41/B38</f>
        <v>#ERROR!</v>
      </c>
      <c r="G42" s="317"/>
      <c r="H42" s="47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</row>
    <row r="43" ht="20.25" customHeight="1">
      <c r="A43" s="476"/>
      <c r="B43" s="317"/>
      <c r="C43" s="317"/>
      <c r="D43" s="317" t="s">
        <v>254</v>
      </c>
      <c r="E43" s="317"/>
      <c r="F43" s="372" t="str">
        <f t="shared" ref="F43:F44" si="3">+D39+E39+G39</f>
        <v>#ERROR!</v>
      </c>
      <c r="G43" s="317"/>
      <c r="H43" s="477"/>
      <c r="I43" s="317"/>
      <c r="J43" s="317"/>
      <c r="K43" s="317"/>
      <c r="L43" s="317"/>
      <c r="M43" s="317"/>
      <c r="N43" s="317"/>
      <c r="O43" s="317"/>
      <c r="P43" s="317"/>
      <c r="Q43" s="317"/>
      <c r="R43" s="317"/>
      <c r="S43" s="317"/>
      <c r="T43" s="317"/>
      <c r="U43" s="317"/>
      <c r="V43" s="317"/>
      <c r="W43" s="317"/>
      <c r="X43" s="317"/>
      <c r="Y43" s="317"/>
      <c r="Z43" s="317"/>
      <c r="AA43" s="317"/>
      <c r="AB43" s="317"/>
      <c r="AC43" s="317"/>
      <c r="AD43" s="317"/>
    </row>
    <row r="44" ht="20.25" customHeight="1">
      <c r="A44" s="476"/>
      <c r="B44" s="317"/>
      <c r="C44" s="362" t="s">
        <v>255</v>
      </c>
      <c r="D44" s="362"/>
      <c r="E44" s="362"/>
      <c r="F44" s="365">
        <f t="shared" si="3"/>
        <v>0.0198</v>
      </c>
      <c r="G44" s="317"/>
      <c r="H44" s="477"/>
      <c r="I44" s="317"/>
      <c r="J44" s="317"/>
      <c r="K44" s="317"/>
      <c r="L44" s="317"/>
      <c r="M44" s="317"/>
      <c r="N44" s="317"/>
      <c r="O44" s="317"/>
      <c r="P44" s="317"/>
      <c r="Q44" s="317"/>
      <c r="R44" s="317"/>
      <c r="S44" s="317"/>
      <c r="T44" s="317"/>
      <c r="U44" s="317"/>
      <c r="V44" s="317"/>
      <c r="W44" s="317"/>
      <c r="X44" s="317"/>
      <c r="Y44" s="317"/>
      <c r="Z44" s="317"/>
      <c r="AA44" s="317"/>
      <c r="AB44" s="317"/>
      <c r="AC44" s="317"/>
      <c r="AD44" s="317"/>
    </row>
    <row r="45" ht="20.25" customHeight="1">
      <c r="A45" s="476" t="s">
        <v>256</v>
      </c>
      <c r="B45" s="317"/>
      <c r="C45" s="317"/>
      <c r="D45" s="374">
        <v>9.0</v>
      </c>
      <c r="E45" s="317"/>
      <c r="F45" s="317"/>
      <c r="G45" s="317"/>
      <c r="H45" s="477"/>
      <c r="I45" s="317"/>
      <c r="J45" s="317"/>
      <c r="K45" s="317"/>
      <c r="L45" s="317"/>
      <c r="M45" s="317"/>
      <c r="N45" s="317"/>
      <c r="O45" s="317"/>
      <c r="P45" s="317"/>
      <c r="Q45" s="317"/>
      <c r="R45" s="317"/>
      <c r="S45" s="317"/>
      <c r="T45" s="317"/>
      <c r="U45" s="317"/>
      <c r="V45" s="317"/>
      <c r="W45" s="317"/>
      <c r="X45" s="317"/>
      <c r="Y45" s="317"/>
      <c r="Z45" s="317"/>
      <c r="AA45" s="317"/>
      <c r="AB45" s="317"/>
      <c r="AC45" s="317"/>
      <c r="AD45" s="317"/>
    </row>
    <row r="46" ht="20.25" customHeight="1">
      <c r="A46" s="476"/>
      <c r="B46" s="317"/>
      <c r="C46" s="317" t="s">
        <v>257</v>
      </c>
      <c r="D46" s="375" t="str">
        <f t="shared" ref="D46:E46" si="4">+$D$45*D38</f>
        <v>#ERROR!</v>
      </c>
      <c r="E46" s="375" t="str">
        <f t="shared" si="4"/>
        <v>#ERROR!</v>
      </c>
      <c r="F46" s="375"/>
      <c r="G46" s="375" t="str">
        <f>+$D$45*G38</f>
        <v>#ERROR!</v>
      </c>
      <c r="H46" s="477"/>
      <c r="I46" s="317"/>
      <c r="J46" s="317"/>
      <c r="K46" s="317"/>
      <c r="L46" s="317"/>
      <c r="M46" s="317"/>
      <c r="N46" s="317"/>
      <c r="O46" s="317"/>
      <c r="P46" s="317"/>
      <c r="Q46" s="317"/>
      <c r="R46" s="317"/>
      <c r="S46" s="317"/>
      <c r="T46" s="317"/>
      <c r="U46" s="317"/>
      <c r="V46" s="317"/>
      <c r="W46" s="317"/>
      <c r="X46" s="317"/>
      <c r="Y46" s="317"/>
      <c r="Z46" s="317"/>
      <c r="AA46" s="317"/>
      <c r="AB46" s="317"/>
      <c r="AC46" s="317"/>
      <c r="AD46" s="317"/>
    </row>
    <row r="47" ht="21.0" customHeight="1">
      <c r="A47" s="478"/>
      <c r="B47" s="377"/>
      <c r="C47" s="377"/>
      <c r="D47" s="377"/>
      <c r="E47" s="377"/>
      <c r="F47" s="377"/>
      <c r="G47" s="377"/>
      <c r="H47" s="479"/>
      <c r="I47" s="317"/>
      <c r="J47" s="317"/>
      <c r="K47" s="317"/>
      <c r="L47" s="317"/>
      <c r="M47" s="317"/>
      <c r="N47" s="317"/>
      <c r="O47" s="317"/>
      <c r="P47" s="317"/>
      <c r="Q47" s="317"/>
      <c r="R47" s="317"/>
      <c r="S47" s="317"/>
      <c r="T47" s="317"/>
      <c r="U47" s="317"/>
      <c r="V47" s="317"/>
      <c r="W47" s="317"/>
      <c r="X47" s="317"/>
      <c r="Y47" s="317"/>
      <c r="Z47" s="317"/>
      <c r="AA47" s="317"/>
      <c r="AB47" s="317"/>
      <c r="AC47" s="317"/>
      <c r="AD47" s="317"/>
    </row>
    <row r="48" ht="20.25" customHeight="1">
      <c r="A48" s="317"/>
      <c r="B48" s="317"/>
      <c r="C48" s="317"/>
      <c r="D48" s="317"/>
      <c r="E48" s="317"/>
      <c r="F48" s="317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</row>
    <row r="49" ht="20.25" customHeight="1">
      <c r="A49" s="317"/>
      <c r="B49" s="317"/>
      <c r="C49" s="317"/>
      <c r="D49" s="317"/>
      <c r="E49" s="317"/>
      <c r="F49" s="379"/>
      <c r="G49" s="317"/>
      <c r="H49" s="317"/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</row>
    <row r="50" ht="20.25" customHeight="1">
      <c r="A50" s="317"/>
      <c r="B50" s="317"/>
      <c r="C50" s="317"/>
      <c r="D50" s="317"/>
      <c r="E50" s="379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</row>
    <row r="51" ht="20.25" customHeight="1">
      <c r="A51" s="317"/>
      <c r="B51" s="317"/>
      <c r="C51" s="317"/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</row>
    <row r="52" ht="20.25" customHeight="1">
      <c r="A52" s="317"/>
      <c r="B52" s="317"/>
      <c r="C52" s="317"/>
      <c r="D52" s="317"/>
      <c r="E52" s="317"/>
      <c r="F52" s="317"/>
      <c r="G52" s="317"/>
      <c r="H52" s="317"/>
      <c r="I52" s="317"/>
      <c r="J52" s="317"/>
      <c r="K52" s="317"/>
      <c r="L52" s="317"/>
      <c r="M52" s="317"/>
      <c r="N52" s="317"/>
      <c r="O52" s="317"/>
      <c r="P52" s="317"/>
      <c r="Q52" s="317"/>
      <c r="R52" s="317"/>
      <c r="S52" s="317"/>
      <c r="T52" s="317"/>
      <c r="U52" s="317"/>
      <c r="V52" s="317"/>
      <c r="W52" s="317"/>
      <c r="X52" s="317"/>
      <c r="Y52" s="317"/>
      <c r="Z52" s="317"/>
      <c r="AA52" s="317"/>
      <c r="AB52" s="317"/>
      <c r="AC52" s="317"/>
      <c r="AD52" s="317"/>
    </row>
    <row r="53" ht="20.25" customHeight="1">
      <c r="A53" s="317"/>
      <c r="B53" s="317"/>
      <c r="C53" s="317"/>
      <c r="D53" s="317"/>
      <c r="E53" s="317"/>
      <c r="F53" s="317"/>
      <c r="G53" s="317"/>
      <c r="H53" s="317"/>
      <c r="I53" s="317"/>
      <c r="J53" s="317"/>
      <c r="K53" s="317"/>
      <c r="L53" s="317"/>
      <c r="M53" s="317"/>
      <c r="N53" s="317"/>
      <c r="O53" s="317"/>
      <c r="P53" s="317"/>
      <c r="Q53" s="317"/>
      <c r="R53" s="317"/>
      <c r="S53" s="317"/>
      <c r="T53" s="317"/>
      <c r="U53" s="317"/>
      <c r="V53" s="317"/>
      <c r="W53" s="317"/>
      <c r="X53" s="317"/>
      <c r="Y53" s="317"/>
      <c r="Z53" s="317"/>
      <c r="AA53" s="317"/>
      <c r="AB53" s="317"/>
      <c r="AC53" s="317"/>
      <c r="AD53" s="317"/>
    </row>
    <row r="54" ht="20.25" customHeight="1">
      <c r="A54" s="317"/>
      <c r="B54" s="317"/>
      <c r="C54" s="317"/>
      <c r="D54" s="317"/>
      <c r="E54" s="317"/>
      <c r="F54" s="317"/>
      <c r="G54" s="317"/>
      <c r="H54" s="317"/>
      <c r="I54" s="317"/>
      <c r="J54" s="317"/>
      <c r="K54" s="317"/>
      <c r="L54" s="317"/>
      <c r="M54" s="317"/>
      <c r="N54" s="317"/>
      <c r="O54" s="317"/>
      <c r="P54" s="317"/>
      <c r="Q54" s="317"/>
      <c r="R54" s="317"/>
      <c r="S54" s="317"/>
      <c r="T54" s="317"/>
      <c r="U54" s="317"/>
      <c r="V54" s="317"/>
      <c r="W54" s="317"/>
      <c r="X54" s="317"/>
      <c r="Y54" s="317"/>
      <c r="Z54" s="317"/>
      <c r="AA54" s="317"/>
      <c r="AB54" s="317"/>
      <c r="AC54" s="317"/>
      <c r="AD54" s="317"/>
    </row>
    <row r="55" ht="20.25" customHeight="1">
      <c r="A55" s="317"/>
      <c r="B55" s="317"/>
      <c r="C55" s="317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</row>
    <row r="56" ht="20.25" customHeight="1">
      <c r="A56" s="317"/>
      <c r="B56" s="317"/>
      <c r="C56" s="317"/>
      <c r="D56" s="317"/>
      <c r="E56" s="317"/>
      <c r="F56" s="317"/>
      <c r="G56" s="317"/>
      <c r="H56" s="317"/>
      <c r="I56" s="317"/>
      <c r="J56" s="317"/>
      <c r="K56" s="317"/>
      <c r="L56" s="317"/>
      <c r="M56" s="317"/>
      <c r="N56" s="317"/>
      <c r="O56" s="317"/>
      <c r="P56" s="317"/>
      <c r="Q56" s="317"/>
      <c r="R56" s="317"/>
      <c r="S56" s="317"/>
      <c r="T56" s="317"/>
      <c r="U56" s="317"/>
      <c r="V56" s="317"/>
      <c r="W56" s="317"/>
      <c r="X56" s="317"/>
      <c r="Y56" s="317"/>
      <c r="Z56" s="317"/>
      <c r="AA56" s="317"/>
      <c r="AB56" s="317"/>
      <c r="AC56" s="317"/>
      <c r="AD56" s="317"/>
    </row>
    <row r="57" ht="20.25" customHeight="1">
      <c r="A57" s="317"/>
      <c r="B57" s="317"/>
      <c r="C57" s="317"/>
      <c r="D57" s="317"/>
      <c r="E57" s="317"/>
      <c r="F57" s="317"/>
      <c r="G57" s="317"/>
      <c r="H57" s="317"/>
      <c r="I57" s="317"/>
      <c r="J57" s="317"/>
      <c r="K57" s="317"/>
      <c r="L57" s="317"/>
      <c r="M57" s="317"/>
      <c r="N57" s="317"/>
      <c r="O57" s="317"/>
      <c r="P57" s="317"/>
      <c r="Q57" s="317"/>
      <c r="R57" s="317"/>
      <c r="S57" s="317"/>
      <c r="T57" s="317"/>
      <c r="U57" s="317"/>
      <c r="V57" s="317"/>
      <c r="W57" s="317"/>
      <c r="X57" s="317"/>
      <c r="Y57" s="317"/>
      <c r="Z57" s="317"/>
      <c r="AA57" s="317"/>
      <c r="AB57" s="317"/>
      <c r="AC57" s="317"/>
      <c r="AD57" s="317"/>
    </row>
    <row r="58" ht="20.25" customHeight="1">
      <c r="A58" s="317"/>
      <c r="B58" s="317"/>
      <c r="C58" s="317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7"/>
      <c r="T58" s="317"/>
      <c r="U58" s="317"/>
      <c r="V58" s="317"/>
      <c r="W58" s="317"/>
      <c r="X58" s="317"/>
      <c r="Y58" s="317"/>
      <c r="Z58" s="317"/>
      <c r="AA58" s="317"/>
      <c r="AB58" s="317"/>
      <c r="AC58" s="317"/>
      <c r="AD58" s="317"/>
    </row>
    <row r="59" ht="20.25" customHeight="1">
      <c r="A59" s="317"/>
      <c r="B59" s="317"/>
      <c r="C59" s="317"/>
      <c r="D59" s="317"/>
      <c r="E59" s="317"/>
      <c r="F59" s="317"/>
      <c r="G59" s="317"/>
      <c r="H59" s="317"/>
      <c r="I59" s="317"/>
      <c r="J59" s="317"/>
      <c r="K59" s="317"/>
      <c r="L59" s="317"/>
      <c r="M59" s="317"/>
      <c r="N59" s="317"/>
      <c r="O59" s="317"/>
      <c r="P59" s="317"/>
      <c r="Q59" s="317"/>
      <c r="R59" s="317"/>
      <c r="S59" s="317"/>
      <c r="T59" s="317"/>
      <c r="U59" s="317"/>
      <c r="V59" s="317"/>
      <c r="W59" s="317"/>
      <c r="X59" s="317"/>
      <c r="Y59" s="317"/>
      <c r="Z59" s="317"/>
      <c r="AA59" s="317"/>
      <c r="AB59" s="317"/>
      <c r="AC59" s="317"/>
      <c r="AD59" s="317"/>
    </row>
    <row r="60" ht="20.25" customHeight="1">
      <c r="A60" s="317"/>
      <c r="B60" s="317"/>
      <c r="C60" s="317"/>
      <c r="D60" s="317"/>
      <c r="E60" s="317"/>
      <c r="F60" s="317"/>
      <c r="G60" s="317"/>
      <c r="H60" s="317"/>
      <c r="I60" s="317"/>
      <c r="J60" s="317"/>
      <c r="K60" s="317"/>
      <c r="L60" s="317"/>
      <c r="M60" s="317"/>
      <c r="N60" s="317"/>
      <c r="O60" s="317"/>
      <c r="P60" s="317"/>
      <c r="Q60" s="317"/>
      <c r="R60" s="317"/>
      <c r="S60" s="317"/>
      <c r="T60" s="317"/>
      <c r="U60" s="317"/>
      <c r="V60" s="317"/>
      <c r="W60" s="317"/>
      <c r="X60" s="317"/>
      <c r="Y60" s="317"/>
      <c r="Z60" s="317"/>
      <c r="AA60" s="317"/>
      <c r="AB60" s="317"/>
      <c r="AC60" s="317"/>
      <c r="AD60" s="317"/>
    </row>
    <row r="61" ht="20.25" customHeight="1">
      <c r="A61" s="317"/>
      <c r="B61" s="317"/>
      <c r="C61" s="317"/>
      <c r="D61" s="317"/>
      <c r="E61" s="317"/>
      <c r="F61" s="317"/>
      <c r="G61" s="317"/>
      <c r="H61" s="317"/>
      <c r="I61" s="317"/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</row>
    <row r="62" ht="20.25" customHeight="1">
      <c r="A62" s="317"/>
      <c r="B62" s="317"/>
      <c r="C62" s="317"/>
      <c r="D62" s="317"/>
      <c r="E62" s="317"/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</row>
    <row r="63" ht="20.25" customHeight="1">
      <c r="A63" s="317"/>
      <c r="B63" s="317"/>
      <c r="C63" s="317"/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</row>
    <row r="64" ht="20.25" customHeight="1">
      <c r="A64" s="317"/>
      <c r="B64" s="317"/>
      <c r="C64" s="317"/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</row>
    <row r="65" ht="20.25" customHeight="1">
      <c r="A65" s="317"/>
      <c r="B65" s="317"/>
      <c r="C65" s="317"/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</row>
    <row r="66" ht="20.25" customHeight="1">
      <c r="A66" s="317"/>
      <c r="B66" s="317"/>
      <c r="C66" s="317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</row>
    <row r="67" ht="20.25" customHeight="1">
      <c r="A67" s="317"/>
      <c r="B67" s="317"/>
      <c r="C67" s="317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</row>
    <row r="68" ht="20.25" customHeight="1">
      <c r="A68" s="317"/>
      <c r="B68" s="317"/>
      <c r="C68" s="317"/>
      <c r="D68" s="317"/>
      <c r="E68" s="317"/>
      <c r="F68" s="317"/>
      <c r="G68" s="317"/>
      <c r="H68" s="317"/>
      <c r="I68" s="317"/>
      <c r="J68" s="317"/>
      <c r="K68" s="317"/>
      <c r="L68" s="317"/>
      <c r="M68" s="317"/>
      <c r="N68" s="317"/>
      <c r="O68" s="317"/>
      <c r="P68" s="317"/>
      <c r="Q68" s="317"/>
      <c r="R68" s="317"/>
      <c r="S68" s="317"/>
      <c r="T68" s="317"/>
      <c r="U68" s="317"/>
      <c r="V68" s="317"/>
      <c r="W68" s="317"/>
      <c r="X68" s="317"/>
      <c r="Y68" s="317"/>
      <c r="Z68" s="317"/>
      <c r="AA68" s="317"/>
      <c r="AB68" s="317"/>
      <c r="AC68" s="317"/>
      <c r="AD68" s="317"/>
    </row>
    <row r="69" ht="20.25" customHeight="1">
      <c r="A69" s="317"/>
      <c r="B69" s="317"/>
      <c r="C69" s="317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</row>
    <row r="70" ht="20.25" customHeight="1">
      <c r="A70" s="317"/>
      <c r="B70" s="317"/>
      <c r="C70" s="317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7"/>
      <c r="T70" s="317"/>
      <c r="U70" s="317"/>
      <c r="V70" s="317"/>
      <c r="W70" s="317"/>
      <c r="X70" s="317"/>
      <c r="Y70" s="317"/>
      <c r="Z70" s="317"/>
      <c r="AA70" s="317"/>
      <c r="AB70" s="317"/>
      <c r="AC70" s="317"/>
      <c r="AD70" s="317"/>
    </row>
    <row r="71" ht="20.25" customHeight="1">
      <c r="A71" s="317"/>
      <c r="B71" s="317"/>
      <c r="C71" s="317"/>
      <c r="D71" s="317"/>
      <c r="E71" s="317"/>
      <c r="F71" s="317"/>
      <c r="G71" s="317"/>
      <c r="H71" s="317"/>
      <c r="I71" s="317"/>
      <c r="J71" s="317"/>
      <c r="K71" s="317"/>
      <c r="L71" s="317"/>
      <c r="M71" s="317"/>
      <c r="N71" s="317"/>
      <c r="O71" s="317"/>
      <c r="P71" s="317"/>
      <c r="Q71" s="317"/>
      <c r="R71" s="317"/>
      <c r="S71" s="317"/>
      <c r="T71" s="317"/>
      <c r="U71" s="317"/>
      <c r="V71" s="317"/>
      <c r="W71" s="317"/>
      <c r="X71" s="317"/>
      <c r="Y71" s="317"/>
      <c r="Z71" s="317"/>
      <c r="AA71" s="317"/>
      <c r="AB71" s="317"/>
      <c r="AC71" s="317"/>
      <c r="AD71" s="317"/>
    </row>
    <row r="72" ht="20.25" customHeight="1">
      <c r="A72" s="317"/>
      <c r="B72" s="317"/>
      <c r="C72" s="317"/>
      <c r="D72" s="317"/>
      <c r="E72" s="317"/>
      <c r="F72" s="317"/>
      <c r="G72" s="317"/>
      <c r="H72" s="317"/>
      <c r="I72" s="317"/>
      <c r="J72" s="317"/>
      <c r="K72" s="317"/>
      <c r="L72" s="317"/>
      <c r="M72" s="317"/>
      <c r="N72" s="317"/>
      <c r="O72" s="317"/>
      <c r="P72" s="317"/>
      <c r="Q72" s="317"/>
      <c r="R72" s="317"/>
      <c r="S72" s="317"/>
      <c r="T72" s="317"/>
      <c r="U72" s="317"/>
      <c r="V72" s="317"/>
      <c r="W72" s="317"/>
      <c r="X72" s="317"/>
      <c r="Y72" s="317"/>
      <c r="Z72" s="317"/>
      <c r="AA72" s="317"/>
      <c r="AB72" s="317"/>
      <c r="AC72" s="317"/>
      <c r="AD72" s="317"/>
    </row>
    <row r="73" ht="20.25" customHeight="1">
      <c r="A73" s="317"/>
      <c r="B73" s="317"/>
      <c r="C73" s="317"/>
      <c r="D73" s="317"/>
      <c r="E73" s="317"/>
      <c r="F73" s="317"/>
      <c r="G73" s="317"/>
      <c r="H73" s="317"/>
      <c r="I73" s="317"/>
      <c r="J73" s="317"/>
      <c r="K73" s="317"/>
      <c r="L73" s="317"/>
      <c r="M73" s="317"/>
      <c r="N73" s="317"/>
      <c r="O73" s="317"/>
      <c r="P73" s="317"/>
      <c r="Q73" s="317"/>
      <c r="R73" s="317"/>
      <c r="S73" s="317"/>
      <c r="T73" s="317"/>
      <c r="U73" s="317"/>
      <c r="V73" s="317"/>
      <c r="W73" s="317"/>
      <c r="X73" s="317"/>
      <c r="Y73" s="317"/>
      <c r="Z73" s="317"/>
      <c r="AA73" s="317"/>
      <c r="AB73" s="317"/>
      <c r="AC73" s="317"/>
      <c r="AD73" s="317"/>
    </row>
    <row r="74" ht="20.25" customHeight="1">
      <c r="A74" s="317"/>
      <c r="B74" s="317"/>
      <c r="C74" s="317"/>
      <c r="D74" s="317"/>
      <c r="E74" s="317"/>
      <c r="F74" s="317"/>
      <c r="G74" s="317"/>
      <c r="H74" s="317"/>
      <c r="I74" s="317"/>
      <c r="J74" s="317"/>
      <c r="K74" s="317"/>
      <c r="L74" s="317"/>
      <c r="M74" s="317"/>
      <c r="N74" s="317"/>
      <c r="O74" s="317"/>
      <c r="P74" s="317"/>
      <c r="Q74" s="317"/>
      <c r="R74" s="317"/>
      <c r="S74" s="317"/>
      <c r="T74" s="317"/>
      <c r="U74" s="317"/>
      <c r="V74" s="317"/>
      <c r="W74" s="317"/>
      <c r="X74" s="317"/>
      <c r="Y74" s="317"/>
      <c r="Z74" s="317"/>
      <c r="AA74" s="317"/>
      <c r="AB74" s="317"/>
      <c r="AC74" s="317"/>
      <c r="AD74" s="317"/>
    </row>
    <row r="75" ht="20.25" customHeight="1">
      <c r="A75" s="317"/>
      <c r="B75" s="317"/>
      <c r="C75" s="317"/>
      <c r="D75" s="317"/>
      <c r="E75" s="317"/>
      <c r="F75" s="317"/>
      <c r="G75" s="317"/>
      <c r="H75" s="317"/>
      <c r="I75" s="317"/>
      <c r="J75" s="317"/>
      <c r="K75" s="317"/>
      <c r="L75" s="317"/>
      <c r="M75" s="317"/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7"/>
      <c r="AA75" s="317"/>
      <c r="AB75" s="317"/>
      <c r="AC75" s="317"/>
      <c r="AD75" s="317"/>
    </row>
    <row r="76" ht="20.25" customHeight="1">
      <c r="A76" s="317"/>
      <c r="B76" s="317"/>
      <c r="C76" s="317"/>
      <c r="D76" s="317"/>
      <c r="E76" s="317"/>
      <c r="F76" s="317"/>
      <c r="G76" s="317"/>
      <c r="H76" s="317"/>
      <c r="I76" s="317"/>
      <c r="J76" s="317"/>
      <c r="K76" s="317"/>
      <c r="L76" s="317"/>
      <c r="M76" s="317"/>
      <c r="N76" s="317"/>
      <c r="O76" s="317"/>
      <c r="P76" s="317"/>
      <c r="Q76" s="317"/>
      <c r="R76" s="317"/>
      <c r="S76" s="317"/>
      <c r="T76" s="317"/>
      <c r="U76" s="317"/>
      <c r="V76" s="317"/>
      <c r="W76" s="317"/>
      <c r="X76" s="317"/>
      <c r="Y76" s="317"/>
      <c r="Z76" s="317"/>
      <c r="AA76" s="317"/>
      <c r="AB76" s="317"/>
      <c r="AC76" s="317"/>
      <c r="AD76" s="317"/>
    </row>
    <row r="77" ht="20.25" customHeight="1">
      <c r="A77" s="317"/>
      <c r="B77" s="317"/>
      <c r="C77" s="317"/>
      <c r="D77" s="317"/>
      <c r="E77" s="317"/>
      <c r="F77" s="317"/>
      <c r="G77" s="317"/>
      <c r="H77" s="317"/>
      <c r="I77" s="317"/>
      <c r="J77" s="317"/>
      <c r="K77" s="317"/>
      <c r="L77" s="317"/>
      <c r="M77" s="317"/>
      <c r="N77" s="317"/>
      <c r="O77" s="317"/>
      <c r="P77" s="317"/>
      <c r="Q77" s="317"/>
      <c r="R77" s="317"/>
      <c r="S77" s="317"/>
      <c r="T77" s="317"/>
      <c r="U77" s="317"/>
      <c r="V77" s="317"/>
      <c r="W77" s="317"/>
      <c r="X77" s="317"/>
      <c r="Y77" s="317"/>
      <c r="Z77" s="317"/>
      <c r="AA77" s="317"/>
      <c r="AB77" s="317"/>
      <c r="AC77" s="317"/>
      <c r="AD77" s="317"/>
    </row>
    <row r="78" ht="20.25" customHeight="1">
      <c r="A78" s="317"/>
      <c r="B78" s="317"/>
      <c r="C78" s="317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7"/>
      <c r="T78" s="317"/>
      <c r="U78" s="317"/>
      <c r="V78" s="317"/>
      <c r="W78" s="317"/>
      <c r="X78" s="317"/>
      <c r="Y78" s="317"/>
      <c r="Z78" s="317"/>
      <c r="AA78" s="317"/>
      <c r="AB78" s="317"/>
      <c r="AC78" s="317"/>
      <c r="AD78" s="317"/>
    </row>
    <row r="79" ht="20.25" customHeight="1">
      <c r="A79" s="317"/>
      <c r="B79" s="317"/>
      <c r="C79" s="317"/>
      <c r="D79" s="317"/>
      <c r="E79" s="317"/>
      <c r="F79" s="317"/>
      <c r="G79" s="317"/>
      <c r="H79" s="317"/>
      <c r="I79" s="317"/>
      <c r="J79" s="317"/>
      <c r="K79" s="317"/>
      <c r="L79" s="317"/>
      <c r="M79" s="317"/>
      <c r="N79" s="317"/>
      <c r="O79" s="317"/>
      <c r="P79" s="317"/>
      <c r="Q79" s="317"/>
      <c r="R79" s="317"/>
      <c r="S79" s="317"/>
      <c r="T79" s="317"/>
      <c r="U79" s="317"/>
      <c r="V79" s="317"/>
      <c r="W79" s="317"/>
      <c r="X79" s="317"/>
      <c r="Y79" s="317"/>
      <c r="Z79" s="317"/>
      <c r="AA79" s="317"/>
      <c r="AB79" s="317"/>
      <c r="AC79" s="317"/>
      <c r="AD79" s="317"/>
    </row>
    <row r="80" ht="20.25" customHeight="1">
      <c r="A80" s="317"/>
      <c r="B80" s="317"/>
      <c r="C80" s="317"/>
      <c r="D80" s="317"/>
      <c r="E80" s="317"/>
      <c r="F80" s="317"/>
      <c r="G80" s="317"/>
      <c r="H80" s="317"/>
      <c r="I80" s="317"/>
      <c r="J80" s="317"/>
      <c r="K80" s="317"/>
      <c r="L80" s="317"/>
      <c r="M80" s="317"/>
      <c r="N80" s="317"/>
      <c r="O80" s="317"/>
      <c r="P80" s="317"/>
      <c r="Q80" s="317"/>
      <c r="R80" s="317"/>
      <c r="S80" s="317"/>
      <c r="T80" s="317"/>
      <c r="U80" s="317"/>
      <c r="V80" s="317"/>
      <c r="W80" s="317"/>
      <c r="X80" s="317"/>
      <c r="Y80" s="317"/>
      <c r="Z80" s="317"/>
      <c r="AA80" s="317"/>
      <c r="AB80" s="317"/>
      <c r="AC80" s="317"/>
      <c r="AD80" s="317"/>
    </row>
    <row r="81" ht="20.25" customHeight="1">
      <c r="A81" s="317"/>
      <c r="B81" s="317"/>
      <c r="C81" s="317"/>
      <c r="D81" s="317"/>
      <c r="E81" s="317"/>
      <c r="F81" s="317"/>
      <c r="G81" s="317"/>
      <c r="H81" s="317"/>
      <c r="I81" s="317"/>
      <c r="J81" s="317"/>
      <c r="K81" s="317"/>
      <c r="L81" s="317"/>
      <c r="M81" s="317"/>
      <c r="N81" s="317"/>
      <c r="O81" s="317"/>
      <c r="P81" s="317"/>
      <c r="Q81" s="317"/>
      <c r="R81" s="317"/>
      <c r="S81" s="317"/>
      <c r="T81" s="317"/>
      <c r="U81" s="317"/>
      <c r="V81" s="317"/>
      <c r="W81" s="317"/>
      <c r="X81" s="317"/>
      <c r="Y81" s="317"/>
      <c r="Z81" s="317"/>
      <c r="AA81" s="317"/>
      <c r="AB81" s="317"/>
      <c r="AC81" s="317"/>
      <c r="AD81" s="317"/>
    </row>
    <row r="82" ht="20.25" customHeight="1">
      <c r="A82" s="317"/>
      <c r="B82" s="317"/>
      <c r="C82" s="317"/>
      <c r="D82" s="317"/>
      <c r="E82" s="317"/>
      <c r="F82" s="317"/>
      <c r="G82" s="317"/>
      <c r="H82" s="317"/>
      <c r="I82" s="317"/>
      <c r="J82" s="317"/>
      <c r="K82" s="317"/>
      <c r="L82" s="317"/>
      <c r="M82" s="317"/>
      <c r="N82" s="317"/>
      <c r="O82" s="317"/>
      <c r="P82" s="317"/>
      <c r="Q82" s="317"/>
      <c r="R82" s="317"/>
      <c r="S82" s="317"/>
      <c r="T82" s="317"/>
      <c r="U82" s="317"/>
      <c r="V82" s="317"/>
      <c r="W82" s="317"/>
      <c r="X82" s="317"/>
      <c r="Y82" s="317"/>
      <c r="Z82" s="317"/>
      <c r="AA82" s="317"/>
      <c r="AB82" s="317"/>
      <c r="AC82" s="317"/>
      <c r="AD82" s="317"/>
    </row>
    <row r="83" ht="20.25" customHeight="1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</row>
    <row r="84" ht="20.25" customHeight="1">
      <c r="A84" s="317"/>
      <c r="B84" s="317"/>
      <c r="C84" s="317"/>
      <c r="D84" s="317"/>
      <c r="E84" s="317"/>
      <c r="F84" s="317"/>
      <c r="G84" s="317"/>
      <c r="H84" s="317"/>
      <c r="I84" s="317"/>
      <c r="J84" s="317"/>
      <c r="K84" s="317"/>
      <c r="L84" s="317"/>
      <c r="M84" s="317"/>
      <c r="N84" s="317"/>
      <c r="O84" s="317"/>
      <c r="P84" s="317"/>
      <c r="Q84" s="317"/>
      <c r="R84" s="317"/>
      <c r="S84" s="317"/>
      <c r="T84" s="317"/>
      <c r="U84" s="317"/>
      <c r="V84" s="317"/>
      <c r="W84" s="317"/>
      <c r="X84" s="317"/>
      <c r="Y84" s="317"/>
      <c r="Z84" s="317"/>
      <c r="AA84" s="317"/>
      <c r="AB84" s="317"/>
      <c r="AC84" s="317"/>
      <c r="AD84" s="317"/>
    </row>
    <row r="85" ht="20.25" customHeight="1">
      <c r="A85" s="317"/>
      <c r="B85" s="317"/>
      <c r="C85" s="317"/>
      <c r="D85" s="317"/>
      <c r="E85" s="317"/>
      <c r="F85" s="317"/>
      <c r="G85" s="317"/>
      <c r="H85" s="317"/>
      <c r="I85" s="317"/>
      <c r="J85" s="317"/>
      <c r="K85" s="317"/>
      <c r="L85" s="317"/>
      <c r="M85" s="317"/>
      <c r="N85" s="317"/>
      <c r="O85" s="317"/>
      <c r="P85" s="317"/>
      <c r="Q85" s="317"/>
      <c r="R85" s="317"/>
      <c r="S85" s="317"/>
      <c r="T85" s="317"/>
      <c r="U85" s="317"/>
      <c r="V85" s="317"/>
      <c r="W85" s="317"/>
      <c r="X85" s="317"/>
      <c r="Y85" s="317"/>
      <c r="Z85" s="317"/>
      <c r="AA85" s="317"/>
      <c r="AB85" s="317"/>
      <c r="AC85" s="317"/>
      <c r="AD85" s="317"/>
    </row>
    <row r="86" ht="20.25" customHeight="1">
      <c r="A86" s="317"/>
      <c r="B86" s="317"/>
      <c r="C86" s="317"/>
      <c r="D86" s="317"/>
      <c r="E86" s="317"/>
      <c r="F86" s="317"/>
      <c r="G86" s="317"/>
      <c r="H86" s="317"/>
      <c r="I86" s="317"/>
      <c r="J86" s="317"/>
      <c r="K86" s="317"/>
      <c r="L86" s="317"/>
      <c r="M86" s="317"/>
      <c r="N86" s="317"/>
      <c r="O86" s="317"/>
      <c r="P86" s="317"/>
      <c r="Q86" s="317"/>
      <c r="R86" s="317"/>
      <c r="S86" s="317"/>
      <c r="T86" s="317"/>
      <c r="U86" s="317"/>
      <c r="V86" s="317"/>
      <c r="W86" s="317"/>
      <c r="X86" s="317"/>
      <c r="Y86" s="317"/>
      <c r="Z86" s="317"/>
      <c r="AA86" s="317"/>
      <c r="AB86" s="317"/>
      <c r="AC86" s="317"/>
      <c r="AD86" s="317"/>
    </row>
    <row r="87" ht="20.25" customHeight="1">
      <c r="A87" s="317"/>
      <c r="B87" s="317"/>
      <c r="C87" s="317"/>
      <c r="D87" s="317"/>
      <c r="E87" s="317"/>
      <c r="F87" s="317"/>
      <c r="G87" s="317"/>
      <c r="H87" s="317"/>
      <c r="I87" s="317"/>
      <c r="J87" s="317"/>
      <c r="K87" s="317"/>
      <c r="L87" s="317"/>
      <c r="M87" s="317"/>
      <c r="N87" s="317"/>
      <c r="O87" s="317"/>
      <c r="P87" s="317"/>
      <c r="Q87" s="317"/>
      <c r="R87" s="317"/>
      <c r="S87" s="317"/>
      <c r="T87" s="317"/>
      <c r="U87" s="317"/>
      <c r="V87" s="317"/>
      <c r="W87" s="317"/>
      <c r="X87" s="317"/>
      <c r="Y87" s="317"/>
      <c r="Z87" s="317"/>
      <c r="AA87" s="317"/>
      <c r="AB87" s="317"/>
      <c r="AC87" s="317"/>
      <c r="AD87" s="317"/>
    </row>
    <row r="88" ht="20.25" customHeight="1">
      <c r="A88" s="317"/>
      <c r="B88" s="317"/>
      <c r="C88" s="317"/>
      <c r="D88" s="317"/>
      <c r="E88" s="317"/>
      <c r="F88" s="317"/>
      <c r="G88" s="317"/>
      <c r="H88" s="317"/>
      <c r="I88" s="317"/>
      <c r="J88" s="317"/>
      <c r="K88" s="317"/>
      <c r="L88" s="317"/>
      <c r="M88" s="317"/>
      <c r="N88" s="317"/>
      <c r="O88" s="317"/>
      <c r="P88" s="317"/>
      <c r="Q88" s="317"/>
      <c r="R88" s="317"/>
      <c r="S88" s="317"/>
      <c r="T88" s="317"/>
      <c r="U88" s="317"/>
      <c r="V88" s="317"/>
      <c r="W88" s="317"/>
      <c r="X88" s="317"/>
      <c r="Y88" s="317"/>
      <c r="Z88" s="317"/>
      <c r="AA88" s="317"/>
      <c r="AB88" s="317"/>
      <c r="AC88" s="317"/>
      <c r="AD88" s="317"/>
    </row>
    <row r="89" ht="20.25" customHeight="1">
      <c r="A89" s="317"/>
      <c r="B89" s="317"/>
      <c r="C89" s="317"/>
      <c r="D89" s="317"/>
      <c r="E89" s="317"/>
      <c r="F89" s="317"/>
      <c r="G89" s="317"/>
      <c r="H89" s="317"/>
      <c r="I89" s="317"/>
      <c r="J89" s="317"/>
      <c r="K89" s="317"/>
      <c r="L89" s="317"/>
      <c r="M89" s="317"/>
      <c r="N89" s="317"/>
      <c r="O89" s="317"/>
      <c r="P89" s="317"/>
      <c r="Q89" s="317"/>
      <c r="R89" s="317"/>
      <c r="S89" s="317"/>
      <c r="T89" s="317"/>
      <c r="U89" s="317"/>
      <c r="V89" s="317"/>
      <c r="W89" s="317"/>
      <c r="X89" s="317"/>
      <c r="Y89" s="317"/>
      <c r="Z89" s="317"/>
      <c r="AA89" s="317"/>
      <c r="AB89" s="317"/>
      <c r="AC89" s="317"/>
      <c r="AD89" s="317"/>
    </row>
    <row r="90" ht="20.25" customHeight="1">
      <c r="A90" s="317"/>
      <c r="B90" s="317"/>
      <c r="C90" s="317"/>
      <c r="D90" s="317"/>
      <c r="E90" s="317"/>
      <c r="F90" s="317"/>
      <c r="G90" s="317"/>
      <c r="H90" s="317"/>
      <c r="I90" s="317"/>
      <c r="J90" s="317"/>
      <c r="K90" s="317"/>
      <c r="L90" s="317"/>
      <c r="M90" s="317"/>
      <c r="N90" s="317"/>
      <c r="O90" s="317"/>
      <c r="P90" s="317"/>
      <c r="Q90" s="317"/>
      <c r="R90" s="317"/>
      <c r="S90" s="317"/>
      <c r="T90" s="317"/>
      <c r="U90" s="317"/>
      <c r="V90" s="317"/>
      <c r="W90" s="317"/>
      <c r="X90" s="317"/>
      <c r="Y90" s="317"/>
      <c r="Z90" s="317"/>
      <c r="AA90" s="317"/>
      <c r="AB90" s="317"/>
      <c r="AC90" s="317"/>
      <c r="AD90" s="317"/>
    </row>
    <row r="91" ht="20.25" customHeight="1">
      <c r="A91" s="317"/>
      <c r="B91" s="317"/>
      <c r="C91" s="317"/>
      <c r="D91" s="317"/>
      <c r="E91" s="317"/>
      <c r="F91" s="317"/>
      <c r="G91" s="317"/>
      <c r="H91" s="317"/>
      <c r="I91" s="317"/>
      <c r="J91" s="317"/>
      <c r="K91" s="317"/>
      <c r="L91" s="317"/>
      <c r="M91" s="317"/>
      <c r="N91" s="317"/>
      <c r="O91" s="317"/>
      <c r="P91" s="317"/>
      <c r="Q91" s="317"/>
      <c r="R91" s="317"/>
      <c r="S91" s="317"/>
      <c r="T91" s="317"/>
      <c r="U91" s="317"/>
      <c r="V91" s="317"/>
      <c r="W91" s="317"/>
      <c r="X91" s="317"/>
      <c r="Y91" s="317"/>
      <c r="Z91" s="317"/>
      <c r="AA91" s="317"/>
      <c r="AB91" s="317"/>
      <c r="AC91" s="317"/>
      <c r="AD91" s="317"/>
    </row>
    <row r="92" ht="20.25" customHeight="1">
      <c r="A92" s="317"/>
      <c r="B92" s="317"/>
      <c r="C92" s="317"/>
      <c r="D92" s="317"/>
      <c r="E92" s="317"/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7"/>
      <c r="AC92" s="317"/>
      <c r="AD92" s="317"/>
    </row>
    <row r="93" ht="20.25" customHeight="1">
      <c r="A93" s="317"/>
      <c r="B93" s="317"/>
      <c r="C93" s="317"/>
      <c r="D93" s="317"/>
      <c r="E93" s="317"/>
      <c r="F93" s="317"/>
      <c r="G93" s="317"/>
      <c r="H93" s="317"/>
      <c r="I93" s="317"/>
      <c r="J93" s="317"/>
      <c r="K93" s="317"/>
      <c r="L93" s="317"/>
      <c r="M93" s="317"/>
      <c r="N93" s="317"/>
      <c r="O93" s="317"/>
      <c r="P93" s="317"/>
      <c r="Q93" s="317"/>
      <c r="R93" s="317"/>
      <c r="S93" s="317"/>
      <c r="T93" s="317"/>
      <c r="U93" s="317"/>
      <c r="V93" s="317"/>
      <c r="W93" s="317"/>
      <c r="X93" s="317"/>
      <c r="Y93" s="317"/>
      <c r="Z93" s="317"/>
      <c r="AA93" s="317"/>
      <c r="AB93" s="317"/>
      <c r="AC93" s="317"/>
      <c r="AD93" s="317"/>
    </row>
    <row r="94" ht="20.25" customHeight="1">
      <c r="A94" s="317"/>
      <c r="B94" s="317"/>
      <c r="C94" s="317"/>
      <c r="D94" s="317"/>
      <c r="E94" s="317"/>
      <c r="F94" s="317"/>
      <c r="G94" s="317"/>
      <c r="H94" s="317"/>
      <c r="I94" s="317"/>
      <c r="J94" s="317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  <c r="V94" s="317"/>
      <c r="W94" s="317"/>
      <c r="X94" s="317"/>
      <c r="Y94" s="317"/>
      <c r="Z94" s="317"/>
      <c r="AA94" s="317"/>
      <c r="AB94" s="317"/>
      <c r="AC94" s="317"/>
      <c r="AD94" s="317"/>
    </row>
    <row r="95" ht="20.25" customHeight="1">
      <c r="A95" s="317"/>
      <c r="B95" s="317"/>
      <c r="C95" s="317"/>
      <c r="D95" s="317"/>
      <c r="E95" s="317"/>
      <c r="F95" s="317"/>
      <c r="G95" s="317"/>
      <c r="H95" s="317"/>
      <c r="I95" s="317"/>
      <c r="J95" s="317"/>
      <c r="K95" s="317"/>
      <c r="L95" s="317"/>
      <c r="M95" s="317"/>
      <c r="N95" s="317"/>
      <c r="O95" s="317"/>
      <c r="P95" s="317"/>
      <c r="Q95" s="317"/>
      <c r="R95" s="317"/>
      <c r="S95" s="317"/>
      <c r="T95" s="317"/>
      <c r="U95" s="317"/>
      <c r="V95" s="317"/>
      <c r="W95" s="317"/>
      <c r="X95" s="317"/>
      <c r="Y95" s="317"/>
      <c r="Z95" s="317"/>
      <c r="AA95" s="317"/>
      <c r="AB95" s="317"/>
      <c r="AC95" s="317"/>
      <c r="AD95" s="317"/>
    </row>
    <row r="96" ht="20.25" customHeight="1">
      <c r="A96" s="317"/>
      <c r="B96" s="317"/>
      <c r="C96" s="317"/>
      <c r="D96" s="317"/>
      <c r="E96" s="317"/>
      <c r="F96" s="317"/>
      <c r="G96" s="317"/>
      <c r="H96" s="317"/>
      <c r="I96" s="317"/>
      <c r="J96" s="317"/>
      <c r="K96" s="317"/>
      <c r="L96" s="317"/>
      <c r="M96" s="317"/>
      <c r="N96" s="317"/>
      <c r="O96" s="317"/>
      <c r="P96" s="317"/>
      <c r="Q96" s="317"/>
      <c r="R96" s="317"/>
      <c r="S96" s="317"/>
      <c r="T96" s="317"/>
      <c r="U96" s="317"/>
      <c r="V96" s="317"/>
      <c r="W96" s="317"/>
      <c r="X96" s="317"/>
      <c r="Y96" s="317"/>
      <c r="Z96" s="317"/>
      <c r="AA96" s="317"/>
      <c r="AB96" s="317"/>
      <c r="AC96" s="317"/>
      <c r="AD96" s="317"/>
    </row>
    <row r="97" ht="20.25" customHeight="1">
      <c r="A97" s="317"/>
      <c r="B97" s="317"/>
      <c r="C97" s="317"/>
      <c r="D97" s="317"/>
      <c r="E97" s="317"/>
      <c r="F97" s="317"/>
      <c r="G97" s="317"/>
      <c r="H97" s="317"/>
      <c r="I97" s="317"/>
      <c r="J97" s="317"/>
      <c r="K97" s="317"/>
      <c r="L97" s="317"/>
      <c r="M97" s="317"/>
      <c r="N97" s="317"/>
      <c r="O97" s="317"/>
      <c r="P97" s="317"/>
      <c r="Q97" s="317"/>
      <c r="R97" s="317"/>
      <c r="S97" s="317"/>
      <c r="T97" s="317"/>
      <c r="U97" s="317"/>
      <c r="V97" s="317"/>
      <c r="W97" s="317"/>
      <c r="X97" s="317"/>
      <c r="Y97" s="317"/>
      <c r="Z97" s="317"/>
      <c r="AA97" s="317"/>
      <c r="AB97" s="317"/>
      <c r="AC97" s="317"/>
      <c r="AD97" s="317"/>
    </row>
    <row r="98" ht="20.25" customHeight="1">
      <c r="A98" s="317"/>
      <c r="B98" s="317"/>
      <c r="C98" s="317"/>
      <c r="D98" s="317"/>
      <c r="E98" s="317"/>
      <c r="F98" s="317"/>
      <c r="G98" s="317"/>
      <c r="H98" s="317"/>
      <c r="I98" s="317"/>
      <c r="J98" s="317"/>
      <c r="K98" s="317"/>
      <c r="L98" s="317"/>
      <c r="M98" s="317"/>
      <c r="N98" s="317"/>
      <c r="O98" s="317"/>
      <c r="P98" s="317"/>
      <c r="Q98" s="317"/>
      <c r="R98" s="317"/>
      <c r="S98" s="317"/>
      <c r="T98" s="317"/>
      <c r="U98" s="317"/>
      <c r="V98" s="317"/>
      <c r="W98" s="317"/>
      <c r="X98" s="317"/>
      <c r="Y98" s="317"/>
      <c r="Z98" s="317"/>
      <c r="AA98" s="317"/>
      <c r="AB98" s="317"/>
      <c r="AC98" s="317"/>
      <c r="AD98" s="317"/>
    </row>
    <row r="99" ht="20.25" customHeight="1">
      <c r="A99" s="317"/>
      <c r="B99" s="317"/>
      <c r="C99" s="317"/>
      <c r="D99" s="317"/>
      <c r="E99" s="317"/>
      <c r="F99" s="317"/>
      <c r="G99" s="317"/>
      <c r="H99" s="317"/>
      <c r="I99" s="317"/>
      <c r="J99" s="317"/>
      <c r="K99" s="317"/>
      <c r="L99" s="317"/>
      <c r="M99" s="317"/>
      <c r="N99" s="317"/>
      <c r="O99" s="317"/>
      <c r="P99" s="317"/>
      <c r="Q99" s="317"/>
      <c r="R99" s="317"/>
      <c r="S99" s="317"/>
      <c r="T99" s="317"/>
      <c r="U99" s="317"/>
      <c r="V99" s="317"/>
      <c r="W99" s="317"/>
      <c r="X99" s="317"/>
      <c r="Y99" s="317"/>
      <c r="Z99" s="317"/>
      <c r="AA99" s="317"/>
      <c r="AB99" s="317"/>
      <c r="AC99" s="317"/>
      <c r="AD99" s="317"/>
    </row>
    <row r="100" ht="20.25" customHeight="1">
      <c r="A100" s="317"/>
      <c r="B100" s="317"/>
      <c r="C100" s="317"/>
      <c r="D100" s="317"/>
      <c r="E100" s="317"/>
      <c r="F100" s="317"/>
      <c r="G100" s="317"/>
      <c r="H100" s="317"/>
      <c r="I100" s="317"/>
      <c r="J100" s="317"/>
      <c r="K100" s="317"/>
      <c r="L100" s="317"/>
      <c r="M100" s="317"/>
      <c r="N100" s="317"/>
      <c r="O100" s="317"/>
      <c r="P100" s="317"/>
      <c r="Q100" s="317"/>
      <c r="R100" s="317"/>
      <c r="S100" s="317"/>
      <c r="T100" s="317"/>
      <c r="U100" s="317"/>
      <c r="V100" s="317"/>
      <c r="W100" s="317"/>
      <c r="X100" s="317"/>
      <c r="Y100" s="317"/>
      <c r="Z100" s="317"/>
      <c r="AA100" s="317"/>
      <c r="AB100" s="317"/>
      <c r="AC100" s="317"/>
      <c r="AD100" s="317"/>
    </row>
    <row r="101" ht="20.25" customHeight="1">
      <c r="A101" s="317"/>
      <c r="B101" s="317"/>
      <c r="C101" s="317"/>
      <c r="D101" s="317"/>
      <c r="E101" s="317"/>
      <c r="F101" s="317"/>
      <c r="G101" s="317"/>
      <c r="H101" s="317"/>
      <c r="I101" s="317"/>
      <c r="J101" s="317"/>
      <c r="K101" s="317"/>
      <c r="L101" s="317"/>
      <c r="M101" s="317"/>
      <c r="N101" s="317"/>
      <c r="O101" s="317"/>
      <c r="P101" s="317"/>
      <c r="Q101" s="317"/>
      <c r="R101" s="317"/>
      <c r="S101" s="317"/>
      <c r="T101" s="317"/>
      <c r="U101" s="317"/>
      <c r="V101" s="317"/>
      <c r="W101" s="317"/>
      <c r="X101" s="317"/>
      <c r="Y101" s="317"/>
      <c r="Z101" s="317"/>
      <c r="AA101" s="317"/>
      <c r="AB101" s="317"/>
      <c r="AC101" s="317"/>
      <c r="AD101" s="317"/>
    </row>
    <row r="102" ht="20.25" customHeight="1">
      <c r="A102" s="317"/>
      <c r="B102" s="317"/>
      <c r="C102" s="317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7"/>
      <c r="T102" s="317"/>
      <c r="U102" s="317"/>
      <c r="V102" s="317"/>
      <c r="W102" s="317"/>
      <c r="X102" s="317"/>
      <c r="Y102" s="317"/>
      <c r="Z102" s="317"/>
      <c r="AA102" s="317"/>
      <c r="AB102" s="317"/>
      <c r="AC102" s="317"/>
      <c r="AD102" s="317"/>
    </row>
    <row r="103" ht="20.25" customHeight="1">
      <c r="A103" s="317"/>
      <c r="B103" s="317"/>
      <c r="C103" s="317"/>
      <c r="D103" s="317"/>
      <c r="E103" s="317"/>
      <c r="F103" s="317"/>
      <c r="G103" s="317"/>
      <c r="H103" s="317"/>
      <c r="I103" s="317"/>
      <c r="J103" s="317"/>
      <c r="K103" s="317"/>
      <c r="L103" s="317"/>
      <c r="M103" s="317"/>
      <c r="N103" s="317"/>
      <c r="O103" s="317"/>
      <c r="P103" s="317"/>
      <c r="Q103" s="317"/>
      <c r="R103" s="317"/>
      <c r="S103" s="317"/>
      <c r="T103" s="317"/>
      <c r="U103" s="317"/>
      <c r="V103" s="317"/>
      <c r="W103" s="317"/>
      <c r="X103" s="317"/>
      <c r="Y103" s="317"/>
      <c r="Z103" s="317"/>
      <c r="AA103" s="317"/>
      <c r="AB103" s="317"/>
      <c r="AC103" s="317"/>
      <c r="AD103" s="317"/>
    </row>
    <row r="104" ht="20.25" customHeight="1">
      <c r="A104" s="317"/>
      <c r="B104" s="317"/>
      <c r="C104" s="317"/>
      <c r="D104" s="317"/>
      <c r="E104" s="317"/>
      <c r="F104" s="317"/>
      <c r="G104" s="317"/>
      <c r="H104" s="317"/>
      <c r="I104" s="317"/>
      <c r="J104" s="317"/>
      <c r="K104" s="317"/>
      <c r="L104" s="317"/>
      <c r="M104" s="317"/>
      <c r="N104" s="317"/>
      <c r="O104" s="317"/>
      <c r="P104" s="317"/>
      <c r="Q104" s="317"/>
      <c r="R104" s="317"/>
      <c r="S104" s="317"/>
      <c r="T104" s="317"/>
      <c r="U104" s="317"/>
      <c r="V104" s="317"/>
      <c r="W104" s="317"/>
      <c r="X104" s="317"/>
      <c r="Y104" s="317"/>
      <c r="Z104" s="317"/>
      <c r="AA104" s="317"/>
      <c r="AB104" s="317"/>
      <c r="AC104" s="317"/>
      <c r="AD104" s="317"/>
    </row>
    <row r="105" ht="20.25" customHeight="1">
      <c r="A105" s="317"/>
      <c r="B105" s="317"/>
      <c r="C105" s="317"/>
      <c r="D105" s="317"/>
      <c r="E105" s="317"/>
      <c r="F105" s="317"/>
      <c r="G105" s="317"/>
      <c r="H105" s="317"/>
      <c r="I105" s="317"/>
      <c r="J105" s="317"/>
      <c r="K105" s="317"/>
      <c r="L105" s="317"/>
      <c r="M105" s="317"/>
      <c r="N105" s="317"/>
      <c r="O105" s="317"/>
      <c r="P105" s="317"/>
      <c r="Q105" s="317"/>
      <c r="R105" s="317"/>
      <c r="S105" s="317"/>
      <c r="T105" s="317"/>
      <c r="U105" s="317"/>
      <c r="V105" s="317"/>
      <c r="W105" s="317"/>
      <c r="X105" s="317"/>
      <c r="Y105" s="317"/>
      <c r="Z105" s="317"/>
      <c r="AA105" s="317"/>
      <c r="AB105" s="317"/>
      <c r="AC105" s="317"/>
      <c r="AD105" s="317"/>
    </row>
    <row r="106" ht="20.25" customHeight="1">
      <c r="A106" s="317"/>
      <c r="B106" s="317"/>
      <c r="C106" s="317"/>
      <c r="D106" s="317"/>
      <c r="E106" s="317"/>
      <c r="F106" s="317"/>
      <c r="G106" s="317"/>
      <c r="H106" s="317"/>
      <c r="I106" s="317"/>
      <c r="J106" s="317"/>
      <c r="K106" s="317"/>
      <c r="L106" s="317"/>
      <c r="M106" s="317"/>
      <c r="N106" s="317"/>
      <c r="O106" s="317"/>
      <c r="P106" s="317"/>
      <c r="Q106" s="317"/>
      <c r="R106" s="317"/>
      <c r="S106" s="317"/>
      <c r="T106" s="317"/>
      <c r="U106" s="317"/>
      <c r="V106" s="317"/>
      <c r="W106" s="317"/>
      <c r="X106" s="317"/>
      <c r="Y106" s="317"/>
      <c r="Z106" s="317"/>
      <c r="AA106" s="317"/>
      <c r="AB106" s="317"/>
      <c r="AC106" s="317"/>
      <c r="AD106" s="317"/>
    </row>
    <row r="107" ht="20.25" customHeight="1">
      <c r="A107" s="317"/>
      <c r="B107" s="317"/>
      <c r="C107" s="317"/>
      <c r="D107" s="317"/>
      <c r="E107" s="317"/>
      <c r="F107" s="317"/>
      <c r="G107" s="317"/>
      <c r="H107" s="317"/>
      <c r="I107" s="317"/>
      <c r="J107" s="317"/>
      <c r="K107" s="317"/>
      <c r="L107" s="317"/>
      <c r="M107" s="317"/>
      <c r="N107" s="317"/>
      <c r="O107" s="317"/>
      <c r="P107" s="317"/>
      <c r="Q107" s="317"/>
      <c r="R107" s="317"/>
      <c r="S107" s="317"/>
      <c r="T107" s="317"/>
      <c r="U107" s="317"/>
      <c r="V107" s="317"/>
      <c r="W107" s="317"/>
      <c r="X107" s="317"/>
      <c r="Y107" s="317"/>
      <c r="Z107" s="317"/>
      <c r="AA107" s="317"/>
      <c r="AB107" s="317"/>
      <c r="AC107" s="317"/>
      <c r="AD107" s="317"/>
    </row>
    <row r="108" ht="20.25" customHeight="1">
      <c r="A108" s="317"/>
      <c r="B108" s="317"/>
      <c r="C108" s="317"/>
      <c r="D108" s="317"/>
      <c r="E108" s="317"/>
      <c r="F108" s="317"/>
      <c r="G108" s="317"/>
      <c r="H108" s="317"/>
      <c r="I108" s="317"/>
      <c r="J108" s="317"/>
      <c r="K108" s="317"/>
      <c r="L108" s="317"/>
      <c r="M108" s="317"/>
      <c r="N108" s="317"/>
      <c r="O108" s="317"/>
      <c r="P108" s="317"/>
      <c r="Q108" s="317"/>
      <c r="R108" s="317"/>
      <c r="S108" s="317"/>
      <c r="T108" s="317"/>
      <c r="U108" s="317"/>
      <c r="V108" s="317"/>
      <c r="W108" s="317"/>
      <c r="X108" s="317"/>
      <c r="Y108" s="317"/>
      <c r="Z108" s="317"/>
      <c r="AA108" s="317"/>
      <c r="AB108" s="317"/>
      <c r="AC108" s="317"/>
      <c r="AD108" s="317"/>
    </row>
    <row r="109" ht="20.25" customHeight="1">
      <c r="A109" s="317"/>
      <c r="B109" s="317"/>
      <c r="C109" s="317"/>
      <c r="D109" s="317"/>
      <c r="E109" s="317"/>
      <c r="F109" s="317"/>
      <c r="G109" s="317"/>
      <c r="H109" s="317"/>
      <c r="I109" s="317"/>
      <c r="J109" s="317"/>
      <c r="K109" s="317"/>
      <c r="L109" s="317"/>
      <c r="M109" s="317"/>
      <c r="N109" s="317"/>
      <c r="O109" s="317"/>
      <c r="P109" s="317"/>
      <c r="Q109" s="317"/>
      <c r="R109" s="317"/>
      <c r="S109" s="317"/>
      <c r="T109" s="317"/>
      <c r="U109" s="317"/>
      <c r="V109" s="317"/>
      <c r="W109" s="317"/>
      <c r="X109" s="317"/>
      <c r="Y109" s="317"/>
      <c r="Z109" s="317"/>
      <c r="AA109" s="317"/>
      <c r="AB109" s="317"/>
      <c r="AC109" s="317"/>
      <c r="AD109" s="317"/>
    </row>
    <row r="110" ht="20.25" customHeight="1">
      <c r="A110" s="317"/>
      <c r="B110" s="317"/>
      <c r="C110" s="317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7"/>
      <c r="T110" s="317"/>
      <c r="U110" s="317"/>
      <c r="V110" s="317"/>
      <c r="W110" s="317"/>
      <c r="X110" s="317"/>
      <c r="Y110" s="317"/>
      <c r="Z110" s="317"/>
      <c r="AA110" s="317"/>
      <c r="AB110" s="317"/>
      <c r="AC110" s="317"/>
      <c r="AD110" s="317"/>
    </row>
    <row r="111" ht="20.25" customHeight="1">
      <c r="A111" s="317"/>
      <c r="B111" s="317"/>
      <c r="C111" s="317"/>
      <c r="D111" s="317"/>
      <c r="E111" s="317"/>
      <c r="F111" s="317"/>
      <c r="G111" s="317"/>
      <c r="H111" s="317"/>
      <c r="I111" s="317"/>
      <c r="J111" s="317"/>
      <c r="K111" s="317"/>
      <c r="L111" s="317"/>
      <c r="M111" s="317"/>
      <c r="N111" s="317"/>
      <c r="O111" s="317"/>
      <c r="P111" s="317"/>
      <c r="Q111" s="317"/>
      <c r="R111" s="317"/>
      <c r="S111" s="317"/>
      <c r="T111" s="317"/>
      <c r="U111" s="317"/>
      <c r="V111" s="317"/>
      <c r="W111" s="317"/>
      <c r="X111" s="317"/>
      <c r="Y111" s="317"/>
      <c r="Z111" s="317"/>
      <c r="AA111" s="317"/>
      <c r="AB111" s="317"/>
      <c r="AC111" s="317"/>
      <c r="AD111" s="317"/>
    </row>
    <row r="112" ht="20.25" customHeight="1">
      <c r="A112" s="317"/>
      <c r="B112" s="317"/>
      <c r="C112" s="317"/>
      <c r="D112" s="317"/>
      <c r="E112" s="317"/>
      <c r="F112" s="317"/>
      <c r="G112" s="317"/>
      <c r="H112" s="317"/>
      <c r="I112" s="317"/>
      <c r="J112" s="317"/>
      <c r="K112" s="317"/>
      <c r="L112" s="317"/>
      <c r="M112" s="317"/>
      <c r="N112" s="317"/>
      <c r="O112" s="317"/>
      <c r="P112" s="317"/>
      <c r="Q112" s="317"/>
      <c r="R112" s="317"/>
      <c r="S112" s="317"/>
      <c r="T112" s="317"/>
      <c r="U112" s="317"/>
      <c r="V112" s="317"/>
      <c r="W112" s="317"/>
      <c r="X112" s="317"/>
      <c r="Y112" s="317"/>
      <c r="Z112" s="317"/>
      <c r="AA112" s="317"/>
      <c r="AB112" s="317"/>
      <c r="AC112" s="317"/>
      <c r="AD112" s="317"/>
    </row>
    <row r="113" ht="20.25" customHeight="1">
      <c r="A113" s="317"/>
      <c r="B113" s="317"/>
      <c r="C113" s="317"/>
      <c r="D113" s="317"/>
      <c r="E113" s="317"/>
      <c r="F113" s="317"/>
      <c r="G113" s="317"/>
      <c r="H113" s="317"/>
      <c r="I113" s="317"/>
      <c r="J113" s="317"/>
      <c r="K113" s="317"/>
      <c r="L113" s="317"/>
      <c r="M113" s="317"/>
      <c r="N113" s="317"/>
      <c r="O113" s="317"/>
      <c r="P113" s="317"/>
      <c r="Q113" s="317"/>
      <c r="R113" s="317"/>
      <c r="S113" s="317"/>
      <c r="T113" s="317"/>
      <c r="U113" s="317"/>
      <c r="V113" s="317"/>
      <c r="W113" s="317"/>
      <c r="X113" s="317"/>
      <c r="Y113" s="317"/>
      <c r="Z113" s="317"/>
      <c r="AA113" s="317"/>
      <c r="AB113" s="317"/>
      <c r="AC113" s="317"/>
      <c r="AD113" s="317"/>
    </row>
    <row r="114" ht="20.25" customHeight="1">
      <c r="A114" s="317"/>
      <c r="B114" s="317"/>
      <c r="C114" s="317"/>
      <c r="D114" s="317"/>
      <c r="E114" s="317"/>
      <c r="F114" s="317"/>
      <c r="G114" s="317"/>
      <c r="H114" s="317"/>
      <c r="I114" s="317"/>
      <c r="J114" s="317"/>
      <c r="K114" s="317"/>
      <c r="L114" s="317"/>
      <c r="M114" s="317"/>
      <c r="N114" s="317"/>
      <c r="O114" s="317"/>
      <c r="P114" s="317"/>
      <c r="Q114" s="317"/>
      <c r="R114" s="317"/>
      <c r="S114" s="317"/>
      <c r="T114" s="317"/>
      <c r="U114" s="317"/>
      <c r="V114" s="317"/>
      <c r="W114" s="317"/>
      <c r="X114" s="317"/>
      <c r="Y114" s="317"/>
      <c r="Z114" s="317"/>
      <c r="AA114" s="317"/>
      <c r="AB114" s="317"/>
      <c r="AC114" s="317"/>
      <c r="AD114" s="317"/>
    </row>
    <row r="115" ht="20.25" customHeight="1">
      <c r="A115" s="317"/>
      <c r="B115" s="317"/>
      <c r="C115" s="317"/>
      <c r="D115" s="317"/>
      <c r="E115" s="317"/>
      <c r="F115" s="317"/>
      <c r="G115" s="317"/>
      <c r="H115" s="317"/>
      <c r="I115" s="317"/>
      <c r="J115" s="317"/>
      <c r="K115" s="317"/>
      <c r="L115" s="317"/>
      <c r="M115" s="317"/>
      <c r="N115" s="317"/>
      <c r="O115" s="317"/>
      <c r="P115" s="317"/>
      <c r="Q115" s="317"/>
      <c r="R115" s="317"/>
      <c r="S115" s="317"/>
      <c r="T115" s="317"/>
      <c r="U115" s="317"/>
      <c r="V115" s="317"/>
      <c r="W115" s="317"/>
      <c r="X115" s="317"/>
      <c r="Y115" s="317"/>
      <c r="Z115" s="317"/>
      <c r="AA115" s="317"/>
      <c r="AB115" s="317"/>
      <c r="AC115" s="317"/>
      <c r="AD115" s="317"/>
    </row>
    <row r="116" ht="20.25" customHeight="1">
      <c r="A116" s="317"/>
      <c r="B116" s="317"/>
      <c r="C116" s="317"/>
      <c r="D116" s="317"/>
      <c r="E116" s="317"/>
      <c r="F116" s="317"/>
      <c r="G116" s="317"/>
      <c r="H116" s="317"/>
      <c r="I116" s="317"/>
      <c r="J116" s="317"/>
      <c r="K116" s="317"/>
      <c r="L116" s="317"/>
      <c r="M116" s="317"/>
      <c r="N116" s="317"/>
      <c r="O116" s="317"/>
      <c r="P116" s="317"/>
      <c r="Q116" s="317"/>
      <c r="R116" s="317"/>
      <c r="S116" s="317"/>
      <c r="T116" s="317"/>
      <c r="U116" s="317"/>
      <c r="V116" s="317"/>
      <c r="W116" s="317"/>
      <c r="X116" s="317"/>
      <c r="Y116" s="317"/>
      <c r="Z116" s="317"/>
      <c r="AA116" s="317"/>
      <c r="AB116" s="317"/>
      <c r="AC116" s="317"/>
      <c r="AD116" s="317"/>
    </row>
    <row r="117" ht="20.25" customHeight="1">
      <c r="A117" s="317"/>
      <c r="B117" s="317"/>
      <c r="C117" s="317"/>
      <c r="D117" s="317"/>
      <c r="E117" s="317"/>
      <c r="F117" s="317"/>
      <c r="G117" s="317"/>
      <c r="H117" s="317"/>
      <c r="I117" s="317"/>
      <c r="J117" s="317"/>
      <c r="K117" s="317"/>
      <c r="L117" s="317"/>
      <c r="M117" s="317"/>
      <c r="N117" s="317"/>
      <c r="O117" s="317"/>
      <c r="P117" s="317"/>
      <c r="Q117" s="317"/>
      <c r="R117" s="317"/>
      <c r="S117" s="317"/>
      <c r="T117" s="317"/>
      <c r="U117" s="317"/>
      <c r="V117" s="317"/>
      <c r="W117" s="317"/>
      <c r="X117" s="317"/>
      <c r="Y117" s="317"/>
      <c r="Z117" s="317"/>
      <c r="AA117" s="317"/>
      <c r="AB117" s="317"/>
      <c r="AC117" s="317"/>
      <c r="AD117" s="317"/>
    </row>
    <row r="118" ht="20.25" customHeight="1">
      <c r="A118" s="317"/>
      <c r="B118" s="317"/>
      <c r="C118" s="317"/>
      <c r="D118" s="317"/>
      <c r="E118" s="317"/>
      <c r="F118" s="317"/>
      <c r="G118" s="317"/>
      <c r="H118" s="317"/>
      <c r="I118" s="317"/>
      <c r="J118" s="317"/>
      <c r="K118" s="317"/>
      <c r="L118" s="317"/>
      <c r="M118" s="317"/>
      <c r="N118" s="317"/>
      <c r="O118" s="317"/>
      <c r="P118" s="317"/>
      <c r="Q118" s="317"/>
      <c r="R118" s="317"/>
      <c r="S118" s="317"/>
      <c r="T118" s="317"/>
      <c r="U118" s="317"/>
      <c r="V118" s="317"/>
      <c r="W118" s="317"/>
      <c r="X118" s="317"/>
      <c r="Y118" s="317"/>
      <c r="Z118" s="317"/>
      <c r="AA118" s="317"/>
      <c r="AB118" s="317"/>
      <c r="AC118" s="317"/>
      <c r="AD118" s="317"/>
    </row>
    <row r="119" ht="20.25" customHeight="1">
      <c r="A119" s="317"/>
      <c r="B119" s="317"/>
      <c r="C119" s="317"/>
      <c r="D119" s="317"/>
      <c r="E119" s="317"/>
      <c r="F119" s="317"/>
      <c r="G119" s="317"/>
      <c r="H119" s="317"/>
      <c r="I119" s="317"/>
      <c r="J119" s="317"/>
      <c r="K119" s="317"/>
      <c r="L119" s="317"/>
      <c r="M119" s="317"/>
      <c r="N119" s="317"/>
      <c r="O119" s="317"/>
      <c r="P119" s="317"/>
      <c r="Q119" s="317"/>
      <c r="R119" s="317"/>
      <c r="S119" s="317"/>
      <c r="T119" s="317"/>
      <c r="U119" s="317"/>
      <c r="V119" s="317"/>
      <c r="W119" s="317"/>
      <c r="X119" s="317"/>
      <c r="Y119" s="317"/>
      <c r="Z119" s="317"/>
      <c r="AA119" s="317"/>
      <c r="AB119" s="317"/>
      <c r="AC119" s="317"/>
      <c r="AD119" s="317"/>
    </row>
    <row r="120" ht="20.25" customHeight="1">
      <c r="A120" s="317"/>
      <c r="B120" s="317"/>
      <c r="C120" s="317"/>
      <c r="D120" s="317"/>
      <c r="E120" s="317"/>
      <c r="F120" s="317"/>
      <c r="G120" s="317"/>
      <c r="H120" s="317"/>
      <c r="I120" s="317"/>
      <c r="J120" s="317"/>
      <c r="K120" s="317"/>
      <c r="L120" s="317"/>
      <c r="M120" s="317"/>
      <c r="N120" s="317"/>
      <c r="O120" s="317"/>
      <c r="P120" s="317"/>
      <c r="Q120" s="317"/>
      <c r="R120" s="317"/>
      <c r="S120" s="317"/>
      <c r="T120" s="317"/>
      <c r="U120" s="317"/>
      <c r="V120" s="317"/>
      <c r="W120" s="317"/>
      <c r="X120" s="317"/>
      <c r="Y120" s="317"/>
      <c r="Z120" s="317"/>
      <c r="AA120" s="317"/>
      <c r="AB120" s="317"/>
      <c r="AC120" s="317"/>
      <c r="AD120" s="317"/>
    </row>
    <row r="121" ht="20.25" customHeight="1">
      <c r="A121" s="317"/>
      <c r="B121" s="317"/>
      <c r="C121" s="317"/>
      <c r="D121" s="317"/>
      <c r="E121" s="317"/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7"/>
      <c r="AC121" s="317"/>
      <c r="AD121" s="317"/>
    </row>
    <row r="122" ht="20.25" customHeight="1">
      <c r="A122" s="317"/>
      <c r="B122" s="317"/>
      <c r="C122" s="317"/>
      <c r="D122" s="317"/>
      <c r="E122" s="317"/>
      <c r="F122" s="317"/>
      <c r="G122" s="317"/>
      <c r="H122" s="317"/>
      <c r="I122" s="317"/>
      <c r="J122" s="317"/>
      <c r="K122" s="317"/>
      <c r="L122" s="317"/>
      <c r="M122" s="317"/>
      <c r="N122" s="317"/>
      <c r="O122" s="317"/>
      <c r="P122" s="317"/>
      <c r="Q122" s="317"/>
      <c r="R122" s="317"/>
      <c r="S122" s="317"/>
      <c r="T122" s="317"/>
      <c r="U122" s="317"/>
      <c r="V122" s="317"/>
      <c r="W122" s="317"/>
      <c r="X122" s="317"/>
      <c r="Y122" s="317"/>
      <c r="Z122" s="317"/>
      <c r="AA122" s="317"/>
      <c r="AB122" s="317"/>
      <c r="AC122" s="317"/>
      <c r="AD122" s="317"/>
    </row>
    <row r="123" ht="20.25" customHeight="1">
      <c r="A123" s="317"/>
      <c r="B123" s="317"/>
      <c r="C123" s="317"/>
      <c r="D123" s="317"/>
      <c r="E123" s="317"/>
      <c r="F123" s="317"/>
      <c r="G123" s="317"/>
      <c r="H123" s="317"/>
      <c r="I123" s="317"/>
      <c r="J123" s="317"/>
      <c r="K123" s="317"/>
      <c r="L123" s="317"/>
      <c r="M123" s="317"/>
      <c r="N123" s="317"/>
      <c r="O123" s="317"/>
      <c r="P123" s="317"/>
      <c r="Q123" s="317"/>
      <c r="R123" s="317"/>
      <c r="S123" s="317"/>
      <c r="T123" s="317"/>
      <c r="U123" s="317"/>
      <c r="V123" s="317"/>
      <c r="W123" s="317"/>
      <c r="X123" s="317"/>
      <c r="Y123" s="317"/>
      <c r="Z123" s="317"/>
      <c r="AA123" s="317"/>
      <c r="AB123" s="317"/>
      <c r="AC123" s="317"/>
      <c r="AD123" s="317"/>
    </row>
    <row r="124" ht="20.25" customHeight="1">
      <c r="A124" s="317"/>
      <c r="B124" s="317"/>
      <c r="C124" s="317"/>
      <c r="D124" s="317"/>
      <c r="E124" s="317"/>
      <c r="F124" s="317"/>
      <c r="G124" s="317"/>
      <c r="H124" s="317"/>
      <c r="I124" s="317"/>
      <c r="J124" s="317"/>
      <c r="K124" s="317"/>
      <c r="L124" s="317"/>
      <c r="M124" s="317"/>
      <c r="N124" s="317"/>
      <c r="O124" s="317"/>
      <c r="P124" s="317"/>
      <c r="Q124" s="317"/>
      <c r="R124" s="317"/>
      <c r="S124" s="317"/>
      <c r="T124" s="317"/>
      <c r="U124" s="317"/>
      <c r="V124" s="317"/>
      <c r="W124" s="317"/>
      <c r="X124" s="317"/>
      <c r="Y124" s="317"/>
      <c r="Z124" s="317"/>
      <c r="AA124" s="317"/>
      <c r="AB124" s="317"/>
      <c r="AC124" s="317"/>
      <c r="AD124" s="317"/>
    </row>
    <row r="125" ht="20.25" customHeight="1">
      <c r="A125" s="317"/>
      <c r="B125" s="317"/>
      <c r="C125" s="317"/>
      <c r="D125" s="317"/>
      <c r="E125" s="317"/>
      <c r="F125" s="317"/>
      <c r="G125" s="317"/>
      <c r="H125" s="317"/>
      <c r="I125" s="317"/>
      <c r="J125" s="317"/>
      <c r="K125" s="317"/>
      <c r="L125" s="317"/>
      <c r="M125" s="317"/>
      <c r="N125" s="317"/>
      <c r="O125" s="317"/>
      <c r="P125" s="317"/>
      <c r="Q125" s="317"/>
      <c r="R125" s="317"/>
      <c r="S125" s="317"/>
      <c r="T125" s="317"/>
      <c r="U125" s="317"/>
      <c r="V125" s="317"/>
      <c r="W125" s="317"/>
      <c r="X125" s="317"/>
      <c r="Y125" s="317"/>
      <c r="Z125" s="317"/>
      <c r="AA125" s="317"/>
      <c r="AB125" s="317"/>
      <c r="AC125" s="317"/>
      <c r="AD125" s="317"/>
    </row>
    <row r="126" ht="20.25" customHeight="1">
      <c r="A126" s="317"/>
      <c r="B126" s="317"/>
      <c r="C126" s="317"/>
      <c r="D126" s="317"/>
      <c r="E126" s="317"/>
      <c r="F126" s="317"/>
      <c r="G126" s="317"/>
      <c r="H126" s="317"/>
      <c r="I126" s="317"/>
      <c r="J126" s="317"/>
      <c r="K126" s="317"/>
      <c r="L126" s="317"/>
      <c r="M126" s="317"/>
      <c r="N126" s="317"/>
      <c r="O126" s="317"/>
      <c r="P126" s="317"/>
      <c r="Q126" s="317"/>
      <c r="R126" s="317"/>
      <c r="S126" s="317"/>
      <c r="T126" s="317"/>
      <c r="U126" s="317"/>
      <c r="V126" s="317"/>
      <c r="W126" s="317"/>
      <c r="X126" s="317"/>
      <c r="Y126" s="317"/>
      <c r="Z126" s="317"/>
      <c r="AA126" s="317"/>
      <c r="AB126" s="317"/>
      <c r="AC126" s="317"/>
      <c r="AD126" s="317"/>
    </row>
    <row r="127" ht="20.25" customHeight="1">
      <c r="A127" s="317"/>
      <c r="B127" s="317"/>
      <c r="C127" s="317"/>
      <c r="D127" s="317"/>
      <c r="E127" s="317"/>
      <c r="F127" s="317"/>
      <c r="G127" s="317"/>
      <c r="H127" s="317"/>
      <c r="I127" s="317"/>
      <c r="J127" s="317"/>
      <c r="K127" s="317"/>
      <c r="L127" s="317"/>
      <c r="M127" s="317"/>
      <c r="N127" s="317"/>
      <c r="O127" s="317"/>
      <c r="P127" s="317"/>
      <c r="Q127" s="317"/>
      <c r="R127" s="317"/>
      <c r="S127" s="317"/>
      <c r="T127" s="317"/>
      <c r="U127" s="317"/>
      <c r="V127" s="317"/>
      <c r="W127" s="317"/>
      <c r="X127" s="317"/>
      <c r="Y127" s="317"/>
      <c r="Z127" s="317"/>
      <c r="AA127" s="317"/>
      <c r="AB127" s="317"/>
      <c r="AC127" s="317"/>
      <c r="AD127" s="317"/>
    </row>
    <row r="128" ht="20.25" customHeight="1">
      <c r="A128" s="317"/>
      <c r="B128" s="317"/>
      <c r="C128" s="317"/>
      <c r="D128" s="317"/>
      <c r="E128" s="317"/>
      <c r="F128" s="317"/>
      <c r="G128" s="317"/>
      <c r="H128" s="317"/>
      <c r="I128" s="317"/>
      <c r="J128" s="317"/>
      <c r="K128" s="317"/>
      <c r="L128" s="317"/>
      <c r="M128" s="317"/>
      <c r="N128" s="317"/>
      <c r="O128" s="317"/>
      <c r="P128" s="317"/>
      <c r="Q128" s="317"/>
      <c r="R128" s="317"/>
      <c r="S128" s="317"/>
      <c r="T128" s="317"/>
      <c r="U128" s="317"/>
      <c r="V128" s="317"/>
      <c r="W128" s="317"/>
      <c r="X128" s="317"/>
      <c r="Y128" s="317"/>
      <c r="Z128" s="317"/>
      <c r="AA128" s="317"/>
      <c r="AB128" s="317"/>
      <c r="AC128" s="317"/>
      <c r="AD128" s="317"/>
    </row>
    <row r="129" ht="20.25" customHeight="1">
      <c r="A129" s="317"/>
      <c r="B129" s="317"/>
      <c r="C129" s="317"/>
      <c r="D129" s="317"/>
      <c r="E129" s="317"/>
      <c r="F129" s="317"/>
      <c r="G129" s="317"/>
      <c r="H129" s="317"/>
      <c r="I129" s="317"/>
      <c r="J129" s="317"/>
      <c r="K129" s="317"/>
      <c r="L129" s="317"/>
      <c r="M129" s="317"/>
      <c r="N129" s="317"/>
      <c r="O129" s="317"/>
      <c r="P129" s="317"/>
      <c r="Q129" s="317"/>
      <c r="R129" s="317"/>
      <c r="S129" s="317"/>
      <c r="T129" s="317"/>
      <c r="U129" s="317"/>
      <c r="V129" s="317"/>
      <c r="W129" s="317"/>
      <c r="X129" s="317"/>
      <c r="Y129" s="317"/>
      <c r="Z129" s="317"/>
      <c r="AA129" s="317"/>
      <c r="AB129" s="317"/>
      <c r="AC129" s="317"/>
      <c r="AD129" s="317"/>
    </row>
    <row r="130" ht="20.25" customHeight="1">
      <c r="A130" s="317"/>
      <c r="B130" s="317"/>
      <c r="C130" s="317"/>
      <c r="D130" s="317"/>
      <c r="E130" s="317"/>
      <c r="F130" s="317"/>
      <c r="G130" s="317"/>
      <c r="H130" s="317"/>
      <c r="I130" s="317"/>
      <c r="J130" s="317"/>
      <c r="K130" s="317"/>
      <c r="L130" s="317"/>
      <c r="M130" s="317"/>
      <c r="N130" s="317"/>
      <c r="O130" s="317"/>
      <c r="P130" s="317"/>
      <c r="Q130" s="317"/>
      <c r="R130" s="317"/>
      <c r="S130" s="317"/>
      <c r="T130" s="317"/>
      <c r="U130" s="317"/>
      <c r="V130" s="317"/>
      <c r="W130" s="317"/>
      <c r="X130" s="317"/>
      <c r="Y130" s="317"/>
      <c r="Z130" s="317"/>
      <c r="AA130" s="317"/>
      <c r="AB130" s="317"/>
      <c r="AC130" s="317"/>
      <c r="AD130" s="317"/>
    </row>
    <row r="131" ht="20.25" customHeight="1">
      <c r="A131" s="317"/>
      <c r="B131" s="317"/>
      <c r="C131" s="317"/>
      <c r="D131" s="317"/>
      <c r="E131" s="317"/>
      <c r="F131" s="317"/>
      <c r="G131" s="317"/>
      <c r="H131" s="317"/>
      <c r="I131" s="317"/>
      <c r="J131" s="317"/>
      <c r="K131" s="317"/>
      <c r="L131" s="317"/>
      <c r="M131" s="317"/>
      <c r="N131" s="317"/>
      <c r="O131" s="317"/>
      <c r="P131" s="317"/>
      <c r="Q131" s="317"/>
      <c r="R131" s="317"/>
      <c r="S131" s="317"/>
      <c r="T131" s="317"/>
      <c r="U131" s="317"/>
      <c r="V131" s="317"/>
      <c r="W131" s="317"/>
      <c r="X131" s="317"/>
      <c r="Y131" s="317"/>
      <c r="Z131" s="317"/>
      <c r="AA131" s="317"/>
      <c r="AB131" s="317"/>
      <c r="AC131" s="317"/>
      <c r="AD131" s="317"/>
    </row>
    <row r="132" ht="20.25" customHeight="1">
      <c r="A132" s="317"/>
      <c r="B132" s="317"/>
      <c r="C132" s="317"/>
      <c r="D132" s="317"/>
      <c r="E132" s="317"/>
      <c r="F132" s="317"/>
      <c r="G132" s="317"/>
      <c r="H132" s="317"/>
      <c r="I132" s="317"/>
      <c r="J132" s="317"/>
      <c r="K132" s="317"/>
      <c r="L132" s="317"/>
      <c r="M132" s="317"/>
      <c r="N132" s="317"/>
      <c r="O132" s="317"/>
      <c r="P132" s="317"/>
      <c r="Q132" s="317"/>
      <c r="R132" s="317"/>
      <c r="S132" s="317"/>
      <c r="T132" s="317"/>
      <c r="U132" s="317"/>
      <c r="V132" s="317"/>
      <c r="W132" s="317"/>
      <c r="X132" s="317"/>
      <c r="Y132" s="317"/>
      <c r="Z132" s="317"/>
      <c r="AA132" s="317"/>
      <c r="AB132" s="317"/>
      <c r="AC132" s="317"/>
      <c r="AD132" s="317"/>
    </row>
    <row r="133" ht="20.25" customHeight="1">
      <c r="A133" s="317"/>
      <c r="B133" s="317"/>
      <c r="C133" s="317"/>
      <c r="D133" s="317"/>
      <c r="E133" s="317"/>
      <c r="F133" s="317"/>
      <c r="G133" s="317"/>
      <c r="H133" s="317"/>
      <c r="I133" s="317"/>
      <c r="J133" s="317"/>
      <c r="K133" s="317"/>
      <c r="L133" s="317"/>
      <c r="M133" s="317"/>
      <c r="N133" s="317"/>
      <c r="O133" s="317"/>
      <c r="P133" s="317"/>
      <c r="Q133" s="317"/>
      <c r="R133" s="317"/>
      <c r="S133" s="317"/>
      <c r="T133" s="317"/>
      <c r="U133" s="317"/>
      <c r="V133" s="317"/>
      <c r="W133" s="317"/>
      <c r="X133" s="317"/>
      <c r="Y133" s="317"/>
      <c r="Z133" s="317"/>
      <c r="AA133" s="317"/>
      <c r="AB133" s="317"/>
      <c r="AC133" s="317"/>
      <c r="AD133" s="317"/>
    </row>
    <row r="134" ht="20.25" customHeight="1">
      <c r="A134" s="317"/>
      <c r="B134" s="317"/>
      <c r="C134" s="317"/>
      <c r="D134" s="317"/>
      <c r="E134" s="317"/>
      <c r="F134" s="317"/>
      <c r="G134" s="317"/>
      <c r="H134" s="317"/>
      <c r="I134" s="317"/>
      <c r="J134" s="317"/>
      <c r="K134" s="317"/>
      <c r="L134" s="317"/>
      <c r="M134" s="317"/>
      <c r="N134" s="317"/>
      <c r="O134" s="317"/>
      <c r="P134" s="317"/>
      <c r="Q134" s="317"/>
      <c r="R134" s="317"/>
      <c r="S134" s="317"/>
      <c r="T134" s="317"/>
      <c r="U134" s="317"/>
      <c r="V134" s="317"/>
      <c r="W134" s="317"/>
      <c r="X134" s="317"/>
      <c r="Y134" s="317"/>
      <c r="Z134" s="317"/>
      <c r="AA134" s="317"/>
      <c r="AB134" s="317"/>
      <c r="AC134" s="317"/>
      <c r="AD134" s="317"/>
    </row>
    <row r="135" ht="20.25" customHeight="1">
      <c r="A135" s="317"/>
      <c r="B135" s="317"/>
      <c r="C135" s="317"/>
      <c r="D135" s="317"/>
      <c r="E135" s="317"/>
      <c r="F135" s="317"/>
      <c r="G135" s="317"/>
      <c r="H135" s="317"/>
      <c r="I135" s="317"/>
      <c r="J135" s="317"/>
      <c r="K135" s="317"/>
      <c r="L135" s="317"/>
      <c r="M135" s="317"/>
      <c r="N135" s="317"/>
      <c r="O135" s="317"/>
      <c r="P135" s="317"/>
      <c r="Q135" s="317"/>
      <c r="R135" s="317"/>
      <c r="S135" s="317"/>
      <c r="T135" s="317"/>
      <c r="U135" s="317"/>
      <c r="V135" s="317"/>
      <c r="W135" s="317"/>
      <c r="X135" s="317"/>
      <c r="Y135" s="317"/>
      <c r="Z135" s="317"/>
      <c r="AA135" s="317"/>
      <c r="AB135" s="317"/>
      <c r="AC135" s="317"/>
      <c r="AD135" s="317"/>
    </row>
    <row r="136" ht="20.25" customHeight="1">
      <c r="A136" s="317"/>
      <c r="B136" s="317"/>
      <c r="C136" s="317"/>
      <c r="D136" s="317"/>
      <c r="E136" s="317"/>
      <c r="F136" s="317"/>
      <c r="G136" s="317"/>
      <c r="H136" s="317"/>
      <c r="I136" s="317"/>
      <c r="J136" s="317"/>
      <c r="K136" s="317"/>
      <c r="L136" s="317"/>
      <c r="M136" s="317"/>
      <c r="N136" s="317"/>
      <c r="O136" s="317"/>
      <c r="P136" s="317"/>
      <c r="Q136" s="317"/>
      <c r="R136" s="317"/>
      <c r="S136" s="317"/>
      <c r="T136" s="317"/>
      <c r="U136" s="317"/>
      <c r="V136" s="317"/>
      <c r="W136" s="317"/>
      <c r="X136" s="317"/>
      <c r="Y136" s="317"/>
      <c r="Z136" s="317"/>
      <c r="AA136" s="317"/>
      <c r="AB136" s="317"/>
      <c r="AC136" s="317"/>
      <c r="AD136" s="317"/>
    </row>
    <row r="137" ht="20.25" customHeight="1">
      <c r="A137" s="317"/>
      <c r="B137" s="317"/>
      <c r="C137" s="317"/>
      <c r="D137" s="317"/>
      <c r="E137" s="317"/>
      <c r="F137" s="317"/>
      <c r="G137" s="317"/>
      <c r="H137" s="317"/>
      <c r="I137" s="317"/>
      <c r="J137" s="317"/>
      <c r="K137" s="317"/>
      <c r="L137" s="317"/>
      <c r="M137" s="317"/>
      <c r="N137" s="317"/>
      <c r="O137" s="317"/>
      <c r="P137" s="317"/>
      <c r="Q137" s="317"/>
      <c r="R137" s="317"/>
      <c r="S137" s="317"/>
      <c r="T137" s="317"/>
      <c r="U137" s="317"/>
      <c r="V137" s="317"/>
      <c r="W137" s="317"/>
      <c r="X137" s="317"/>
      <c r="Y137" s="317"/>
      <c r="Z137" s="317"/>
      <c r="AA137" s="317"/>
      <c r="AB137" s="317"/>
      <c r="AC137" s="317"/>
      <c r="AD137" s="317"/>
    </row>
    <row r="138" ht="20.25" customHeight="1">
      <c r="A138" s="317"/>
      <c r="B138" s="317"/>
      <c r="C138" s="317"/>
      <c r="D138" s="317"/>
      <c r="E138" s="317"/>
      <c r="F138" s="317"/>
      <c r="G138" s="317"/>
      <c r="H138" s="317"/>
      <c r="I138" s="317"/>
      <c r="J138" s="317"/>
      <c r="K138" s="317"/>
      <c r="L138" s="317"/>
      <c r="M138" s="317"/>
      <c r="N138" s="317"/>
      <c r="O138" s="317"/>
      <c r="P138" s="317"/>
      <c r="Q138" s="317"/>
      <c r="R138" s="317"/>
      <c r="S138" s="317"/>
      <c r="T138" s="317"/>
      <c r="U138" s="317"/>
      <c r="V138" s="317"/>
      <c r="W138" s="317"/>
      <c r="X138" s="317"/>
      <c r="Y138" s="317"/>
      <c r="Z138" s="317"/>
      <c r="AA138" s="317"/>
      <c r="AB138" s="317"/>
      <c r="AC138" s="317"/>
      <c r="AD138" s="317"/>
    </row>
    <row r="139" ht="20.25" customHeight="1">
      <c r="A139" s="317"/>
      <c r="B139" s="317"/>
      <c r="C139" s="317"/>
      <c r="D139" s="317"/>
      <c r="E139" s="317"/>
      <c r="F139" s="317"/>
      <c r="G139" s="317"/>
      <c r="H139" s="317"/>
      <c r="I139" s="317"/>
      <c r="J139" s="317"/>
      <c r="K139" s="317"/>
      <c r="L139" s="317"/>
      <c r="M139" s="317"/>
      <c r="N139" s="317"/>
      <c r="O139" s="317"/>
      <c r="P139" s="317"/>
      <c r="Q139" s="317"/>
      <c r="R139" s="317"/>
      <c r="S139" s="317"/>
      <c r="T139" s="317"/>
      <c r="U139" s="317"/>
      <c r="V139" s="317"/>
      <c r="W139" s="317"/>
      <c r="X139" s="317"/>
      <c r="Y139" s="317"/>
      <c r="Z139" s="317"/>
      <c r="AA139" s="317"/>
      <c r="AB139" s="317"/>
      <c r="AC139" s="317"/>
      <c r="AD139" s="317"/>
    </row>
    <row r="140" ht="20.25" customHeight="1">
      <c r="A140" s="317"/>
      <c r="B140" s="317"/>
      <c r="C140" s="317"/>
      <c r="D140" s="317"/>
      <c r="E140" s="317"/>
      <c r="F140" s="317"/>
      <c r="G140" s="317"/>
      <c r="H140" s="317"/>
      <c r="I140" s="317"/>
      <c r="J140" s="317"/>
      <c r="K140" s="317"/>
      <c r="L140" s="317"/>
      <c r="M140" s="317"/>
      <c r="N140" s="317"/>
      <c r="O140" s="317"/>
      <c r="P140" s="317"/>
      <c r="Q140" s="317"/>
      <c r="R140" s="317"/>
      <c r="S140" s="317"/>
      <c r="T140" s="317"/>
      <c r="U140" s="317"/>
      <c r="V140" s="317"/>
      <c r="W140" s="317"/>
      <c r="X140" s="317"/>
      <c r="Y140" s="317"/>
      <c r="Z140" s="317"/>
      <c r="AA140" s="317"/>
      <c r="AB140" s="317"/>
      <c r="AC140" s="317"/>
      <c r="AD140" s="317"/>
    </row>
    <row r="141" ht="20.25" customHeight="1">
      <c r="A141" s="317"/>
      <c r="B141" s="317"/>
      <c r="C141" s="317"/>
      <c r="D141" s="317"/>
      <c r="E141" s="317"/>
      <c r="F141" s="317"/>
      <c r="G141" s="317"/>
      <c r="H141" s="317"/>
      <c r="I141" s="317"/>
      <c r="J141" s="317"/>
      <c r="K141" s="317"/>
      <c r="L141" s="317"/>
      <c r="M141" s="317"/>
      <c r="N141" s="317"/>
      <c r="O141" s="317"/>
      <c r="P141" s="317"/>
      <c r="Q141" s="317"/>
      <c r="R141" s="317"/>
      <c r="S141" s="317"/>
      <c r="T141" s="317"/>
      <c r="U141" s="317"/>
      <c r="V141" s="317"/>
      <c r="W141" s="317"/>
      <c r="X141" s="317"/>
      <c r="Y141" s="317"/>
      <c r="Z141" s="317"/>
      <c r="AA141" s="317"/>
      <c r="AB141" s="317"/>
      <c r="AC141" s="317"/>
      <c r="AD141" s="317"/>
    </row>
    <row r="142" ht="20.25" customHeight="1">
      <c r="A142" s="317"/>
      <c r="B142" s="317"/>
      <c r="C142" s="317"/>
      <c r="D142" s="317"/>
      <c r="E142" s="317"/>
      <c r="F142" s="317"/>
      <c r="G142" s="317"/>
      <c r="H142" s="317"/>
      <c r="I142" s="317"/>
      <c r="J142" s="317"/>
      <c r="K142" s="317"/>
      <c r="L142" s="317"/>
      <c r="M142" s="317"/>
      <c r="N142" s="317"/>
      <c r="O142" s="317"/>
      <c r="P142" s="317"/>
      <c r="Q142" s="317"/>
      <c r="R142" s="317"/>
      <c r="S142" s="317"/>
      <c r="T142" s="317"/>
      <c r="U142" s="317"/>
      <c r="V142" s="317"/>
      <c r="W142" s="317"/>
      <c r="X142" s="317"/>
      <c r="Y142" s="317"/>
      <c r="Z142" s="317"/>
      <c r="AA142" s="317"/>
      <c r="AB142" s="317"/>
      <c r="AC142" s="317"/>
      <c r="AD142" s="317"/>
    </row>
    <row r="143" ht="20.25" customHeight="1">
      <c r="A143" s="317"/>
      <c r="B143" s="317"/>
      <c r="C143" s="317"/>
      <c r="D143" s="317"/>
      <c r="E143" s="317"/>
      <c r="F143" s="317"/>
      <c r="G143" s="317"/>
      <c r="H143" s="317"/>
      <c r="I143" s="317"/>
      <c r="J143" s="317"/>
      <c r="K143" s="317"/>
      <c r="L143" s="317"/>
      <c r="M143" s="317"/>
      <c r="N143" s="317"/>
      <c r="O143" s="317"/>
      <c r="P143" s="317"/>
      <c r="Q143" s="317"/>
      <c r="R143" s="317"/>
      <c r="S143" s="317"/>
      <c r="T143" s="317"/>
      <c r="U143" s="317"/>
      <c r="V143" s="317"/>
      <c r="W143" s="317"/>
      <c r="X143" s="317"/>
      <c r="Y143" s="317"/>
      <c r="Z143" s="317"/>
      <c r="AA143" s="317"/>
      <c r="AB143" s="317"/>
      <c r="AC143" s="317"/>
      <c r="AD143" s="317"/>
    </row>
    <row r="144" ht="20.25" customHeight="1">
      <c r="A144" s="317"/>
      <c r="B144" s="317"/>
      <c r="C144" s="317"/>
      <c r="D144" s="317"/>
      <c r="E144" s="317"/>
      <c r="F144" s="317"/>
      <c r="G144" s="317"/>
      <c r="H144" s="317"/>
      <c r="I144" s="317"/>
      <c r="J144" s="317"/>
      <c r="K144" s="317"/>
      <c r="L144" s="317"/>
      <c r="M144" s="317"/>
      <c r="N144" s="317"/>
      <c r="O144" s="317"/>
      <c r="P144" s="317"/>
      <c r="Q144" s="317"/>
      <c r="R144" s="317"/>
      <c r="S144" s="317"/>
      <c r="T144" s="317"/>
      <c r="U144" s="317"/>
      <c r="V144" s="317"/>
      <c r="W144" s="317"/>
      <c r="X144" s="317"/>
      <c r="Y144" s="317"/>
      <c r="Z144" s="317"/>
      <c r="AA144" s="317"/>
      <c r="AB144" s="317"/>
      <c r="AC144" s="317"/>
      <c r="AD144" s="317"/>
    </row>
    <row r="145" ht="20.25" customHeight="1">
      <c r="A145" s="317"/>
      <c r="B145" s="317"/>
      <c r="C145" s="317"/>
      <c r="D145" s="317"/>
      <c r="E145" s="317"/>
      <c r="F145" s="317"/>
      <c r="G145" s="317"/>
      <c r="H145" s="317"/>
      <c r="I145" s="317"/>
      <c r="J145" s="317"/>
      <c r="K145" s="317"/>
      <c r="L145" s="317"/>
      <c r="M145" s="317"/>
      <c r="N145" s="317"/>
      <c r="O145" s="317"/>
      <c r="P145" s="317"/>
      <c r="Q145" s="317"/>
      <c r="R145" s="317"/>
      <c r="S145" s="317"/>
      <c r="T145" s="317"/>
      <c r="U145" s="317"/>
      <c r="V145" s="317"/>
      <c r="W145" s="317"/>
      <c r="X145" s="317"/>
      <c r="Y145" s="317"/>
      <c r="Z145" s="317"/>
      <c r="AA145" s="317"/>
      <c r="AB145" s="317"/>
      <c r="AC145" s="317"/>
      <c r="AD145" s="317"/>
    </row>
    <row r="146" ht="20.25" customHeight="1">
      <c r="A146" s="317"/>
      <c r="B146" s="317"/>
      <c r="C146" s="317"/>
      <c r="D146" s="317"/>
      <c r="E146" s="317"/>
      <c r="F146" s="317"/>
      <c r="G146" s="317"/>
      <c r="H146" s="317"/>
      <c r="I146" s="317"/>
      <c r="J146" s="317"/>
      <c r="K146" s="317"/>
      <c r="L146" s="317"/>
      <c r="M146" s="317"/>
      <c r="N146" s="317"/>
      <c r="O146" s="317"/>
      <c r="P146" s="317"/>
      <c r="Q146" s="317"/>
      <c r="R146" s="317"/>
      <c r="S146" s="317"/>
      <c r="T146" s="317"/>
      <c r="U146" s="317"/>
      <c r="V146" s="317"/>
      <c r="W146" s="317"/>
      <c r="X146" s="317"/>
      <c r="Y146" s="317"/>
      <c r="Z146" s="317"/>
      <c r="AA146" s="317"/>
      <c r="AB146" s="317"/>
      <c r="AC146" s="317"/>
      <c r="AD146" s="317"/>
    </row>
    <row r="147" ht="20.25" customHeight="1">
      <c r="A147" s="317"/>
      <c r="B147" s="317"/>
      <c r="C147" s="317"/>
      <c r="D147" s="317"/>
      <c r="E147" s="317"/>
      <c r="F147" s="317"/>
      <c r="G147" s="317"/>
      <c r="H147" s="317"/>
      <c r="I147" s="317"/>
      <c r="J147" s="317"/>
      <c r="K147" s="317"/>
      <c r="L147" s="317"/>
      <c r="M147" s="317"/>
      <c r="N147" s="317"/>
      <c r="O147" s="317"/>
      <c r="P147" s="317"/>
      <c r="Q147" s="317"/>
      <c r="R147" s="317"/>
      <c r="S147" s="317"/>
      <c r="T147" s="317"/>
      <c r="U147" s="317"/>
      <c r="V147" s="317"/>
      <c r="W147" s="317"/>
      <c r="X147" s="317"/>
      <c r="Y147" s="317"/>
      <c r="Z147" s="317"/>
      <c r="AA147" s="317"/>
      <c r="AB147" s="317"/>
      <c r="AC147" s="317"/>
      <c r="AD147" s="317"/>
    </row>
    <row r="148" ht="20.25" customHeight="1">
      <c r="A148" s="317"/>
      <c r="B148" s="317"/>
      <c r="C148" s="317"/>
      <c r="D148" s="317"/>
      <c r="E148" s="317"/>
      <c r="F148" s="317"/>
      <c r="G148" s="317"/>
      <c r="H148" s="317"/>
      <c r="I148" s="317"/>
      <c r="J148" s="317"/>
      <c r="K148" s="317"/>
      <c r="L148" s="317"/>
      <c r="M148" s="317"/>
      <c r="N148" s="317"/>
      <c r="O148" s="317"/>
      <c r="P148" s="317"/>
      <c r="Q148" s="317"/>
      <c r="R148" s="317"/>
      <c r="S148" s="317"/>
      <c r="T148" s="317"/>
      <c r="U148" s="317"/>
      <c r="V148" s="317"/>
      <c r="W148" s="317"/>
      <c r="X148" s="317"/>
      <c r="Y148" s="317"/>
      <c r="Z148" s="317"/>
      <c r="AA148" s="317"/>
      <c r="AB148" s="317"/>
      <c r="AC148" s="317"/>
      <c r="AD148" s="317"/>
    </row>
    <row r="149" ht="20.25" customHeight="1">
      <c r="A149" s="317"/>
      <c r="B149" s="317"/>
      <c r="C149" s="317"/>
      <c r="D149" s="317"/>
      <c r="E149" s="317"/>
      <c r="F149" s="317"/>
      <c r="G149" s="317"/>
      <c r="H149" s="317"/>
      <c r="I149" s="317"/>
      <c r="J149" s="317"/>
      <c r="K149" s="317"/>
      <c r="L149" s="317"/>
      <c r="M149" s="317"/>
      <c r="N149" s="317"/>
      <c r="O149" s="317"/>
      <c r="P149" s="317"/>
      <c r="Q149" s="317"/>
      <c r="R149" s="317"/>
      <c r="S149" s="317"/>
      <c r="T149" s="317"/>
      <c r="U149" s="317"/>
      <c r="V149" s="317"/>
      <c r="W149" s="317"/>
      <c r="X149" s="317"/>
      <c r="Y149" s="317"/>
      <c r="Z149" s="317"/>
      <c r="AA149" s="317"/>
      <c r="AB149" s="317"/>
      <c r="AC149" s="317"/>
      <c r="AD149" s="317"/>
    </row>
    <row r="150" ht="20.25" customHeight="1">
      <c r="A150" s="317"/>
      <c r="B150" s="317"/>
      <c r="C150" s="317"/>
      <c r="D150" s="317"/>
      <c r="E150" s="317"/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7"/>
      <c r="AC150" s="317"/>
      <c r="AD150" s="317"/>
    </row>
    <row r="151" ht="20.25" customHeight="1">
      <c r="A151" s="317"/>
      <c r="B151" s="317"/>
      <c r="C151" s="317"/>
      <c r="D151" s="317"/>
      <c r="E151" s="317"/>
      <c r="F151" s="317"/>
      <c r="G151" s="317"/>
      <c r="H151" s="317"/>
      <c r="I151" s="317"/>
      <c r="J151" s="317"/>
      <c r="K151" s="317"/>
      <c r="L151" s="317"/>
      <c r="M151" s="317"/>
      <c r="N151" s="317"/>
      <c r="O151" s="317"/>
      <c r="P151" s="317"/>
      <c r="Q151" s="317"/>
      <c r="R151" s="317"/>
      <c r="S151" s="317"/>
      <c r="T151" s="317"/>
      <c r="U151" s="317"/>
      <c r="V151" s="317"/>
      <c r="W151" s="317"/>
      <c r="X151" s="317"/>
      <c r="Y151" s="317"/>
      <c r="Z151" s="317"/>
      <c r="AA151" s="317"/>
      <c r="AB151" s="317"/>
      <c r="AC151" s="317"/>
      <c r="AD151" s="317"/>
    </row>
    <row r="152" ht="20.25" customHeight="1">
      <c r="A152" s="317"/>
      <c r="B152" s="317"/>
      <c r="C152" s="317"/>
      <c r="D152" s="317"/>
      <c r="E152" s="317"/>
      <c r="F152" s="317"/>
      <c r="G152" s="317"/>
      <c r="H152" s="317"/>
      <c r="I152" s="317"/>
      <c r="J152" s="317"/>
      <c r="K152" s="317"/>
      <c r="L152" s="317"/>
      <c r="M152" s="317"/>
      <c r="N152" s="317"/>
      <c r="O152" s="317"/>
      <c r="P152" s="317"/>
      <c r="Q152" s="317"/>
      <c r="R152" s="317"/>
      <c r="S152" s="317"/>
      <c r="T152" s="317"/>
      <c r="U152" s="317"/>
      <c r="V152" s="317"/>
      <c r="W152" s="317"/>
      <c r="X152" s="317"/>
      <c r="Y152" s="317"/>
      <c r="Z152" s="317"/>
      <c r="AA152" s="317"/>
      <c r="AB152" s="317"/>
      <c r="AC152" s="317"/>
      <c r="AD152" s="317"/>
    </row>
    <row r="153" ht="20.25" customHeight="1">
      <c r="A153" s="317"/>
      <c r="B153" s="317"/>
      <c r="C153" s="317"/>
      <c r="D153" s="317"/>
      <c r="E153" s="317"/>
      <c r="F153" s="317"/>
      <c r="G153" s="317"/>
      <c r="H153" s="317"/>
      <c r="I153" s="317"/>
      <c r="J153" s="317"/>
      <c r="K153" s="317"/>
      <c r="L153" s="317"/>
      <c r="M153" s="317"/>
      <c r="N153" s="317"/>
      <c r="O153" s="317"/>
      <c r="P153" s="317"/>
      <c r="Q153" s="317"/>
      <c r="R153" s="317"/>
      <c r="S153" s="317"/>
      <c r="T153" s="317"/>
      <c r="U153" s="317"/>
      <c r="V153" s="317"/>
      <c r="W153" s="317"/>
      <c r="X153" s="317"/>
      <c r="Y153" s="317"/>
      <c r="Z153" s="317"/>
      <c r="AA153" s="317"/>
      <c r="AB153" s="317"/>
      <c r="AC153" s="317"/>
      <c r="AD153" s="317"/>
    </row>
    <row r="154" ht="20.25" customHeight="1">
      <c r="A154" s="317"/>
      <c r="B154" s="317"/>
      <c r="C154" s="317"/>
      <c r="D154" s="317"/>
      <c r="E154" s="317"/>
      <c r="F154" s="317"/>
      <c r="G154" s="317"/>
      <c r="H154" s="317"/>
      <c r="I154" s="317"/>
      <c r="J154" s="317"/>
      <c r="K154" s="317"/>
      <c r="L154" s="317"/>
      <c r="M154" s="317"/>
      <c r="N154" s="317"/>
      <c r="O154" s="317"/>
      <c r="P154" s="317"/>
      <c r="Q154" s="317"/>
      <c r="R154" s="317"/>
      <c r="S154" s="317"/>
      <c r="T154" s="317"/>
      <c r="U154" s="317"/>
      <c r="V154" s="317"/>
      <c r="W154" s="317"/>
      <c r="X154" s="317"/>
      <c r="Y154" s="317"/>
      <c r="Z154" s="317"/>
      <c r="AA154" s="317"/>
      <c r="AB154" s="317"/>
      <c r="AC154" s="317"/>
      <c r="AD154" s="317"/>
    </row>
    <row r="155" ht="20.25" customHeight="1">
      <c r="A155" s="317"/>
      <c r="B155" s="317"/>
      <c r="C155" s="317"/>
      <c r="D155" s="317"/>
      <c r="E155" s="317"/>
      <c r="F155" s="317"/>
      <c r="G155" s="317"/>
      <c r="H155" s="317"/>
      <c r="I155" s="317"/>
      <c r="J155" s="317"/>
      <c r="K155" s="317"/>
      <c r="L155" s="317"/>
      <c r="M155" s="317"/>
      <c r="N155" s="317"/>
      <c r="O155" s="317"/>
      <c r="P155" s="317"/>
      <c r="Q155" s="317"/>
      <c r="R155" s="317"/>
      <c r="S155" s="317"/>
      <c r="T155" s="317"/>
      <c r="U155" s="317"/>
      <c r="V155" s="317"/>
      <c r="W155" s="317"/>
      <c r="X155" s="317"/>
      <c r="Y155" s="317"/>
      <c r="Z155" s="317"/>
      <c r="AA155" s="317"/>
      <c r="AB155" s="317"/>
      <c r="AC155" s="317"/>
      <c r="AD155" s="317"/>
    </row>
    <row r="156" ht="20.25" customHeight="1">
      <c r="A156" s="317"/>
      <c r="B156" s="317"/>
      <c r="C156" s="317"/>
      <c r="D156" s="317"/>
      <c r="E156" s="317"/>
      <c r="F156" s="317"/>
      <c r="G156" s="317"/>
      <c r="H156" s="317"/>
      <c r="I156" s="317"/>
      <c r="J156" s="317"/>
      <c r="K156" s="317"/>
      <c r="L156" s="317"/>
      <c r="M156" s="317"/>
      <c r="N156" s="317"/>
      <c r="O156" s="317"/>
      <c r="P156" s="317"/>
      <c r="Q156" s="317"/>
      <c r="R156" s="317"/>
      <c r="S156" s="317"/>
      <c r="T156" s="317"/>
      <c r="U156" s="317"/>
      <c r="V156" s="317"/>
      <c r="W156" s="317"/>
      <c r="X156" s="317"/>
      <c r="Y156" s="317"/>
      <c r="Z156" s="317"/>
      <c r="AA156" s="317"/>
      <c r="AB156" s="317"/>
      <c r="AC156" s="317"/>
      <c r="AD156" s="317"/>
    </row>
    <row r="157" ht="20.25" customHeight="1">
      <c r="A157" s="317"/>
      <c r="B157" s="317"/>
      <c r="C157" s="317"/>
      <c r="D157" s="317"/>
      <c r="E157" s="317"/>
      <c r="F157" s="317"/>
      <c r="G157" s="317"/>
      <c r="H157" s="317"/>
      <c r="I157" s="317"/>
      <c r="J157" s="317"/>
      <c r="K157" s="317"/>
      <c r="L157" s="317"/>
      <c r="M157" s="317"/>
      <c r="N157" s="317"/>
      <c r="O157" s="317"/>
      <c r="P157" s="317"/>
      <c r="Q157" s="317"/>
      <c r="R157" s="317"/>
      <c r="S157" s="317"/>
      <c r="T157" s="317"/>
      <c r="U157" s="317"/>
      <c r="V157" s="317"/>
      <c r="W157" s="317"/>
      <c r="X157" s="317"/>
      <c r="Y157" s="317"/>
      <c r="Z157" s="317"/>
      <c r="AA157" s="317"/>
      <c r="AB157" s="317"/>
      <c r="AC157" s="317"/>
      <c r="AD157" s="317"/>
    </row>
    <row r="158" ht="20.25" customHeight="1">
      <c r="A158" s="317"/>
      <c r="B158" s="317"/>
      <c r="C158" s="317"/>
      <c r="D158" s="317"/>
      <c r="E158" s="317"/>
      <c r="F158" s="317"/>
      <c r="G158" s="317"/>
      <c r="H158" s="317"/>
      <c r="I158" s="317"/>
      <c r="J158" s="317"/>
      <c r="K158" s="317"/>
      <c r="L158" s="317"/>
      <c r="M158" s="317"/>
      <c r="N158" s="317"/>
      <c r="O158" s="317"/>
      <c r="P158" s="317"/>
      <c r="Q158" s="317"/>
      <c r="R158" s="317"/>
      <c r="S158" s="317"/>
      <c r="T158" s="317"/>
      <c r="U158" s="317"/>
      <c r="V158" s="317"/>
      <c r="W158" s="317"/>
      <c r="X158" s="317"/>
      <c r="Y158" s="317"/>
      <c r="Z158" s="317"/>
      <c r="AA158" s="317"/>
      <c r="AB158" s="317"/>
      <c r="AC158" s="317"/>
      <c r="AD158" s="317"/>
    </row>
    <row r="159" ht="20.25" customHeight="1">
      <c r="A159" s="317"/>
      <c r="B159" s="317"/>
      <c r="C159" s="317"/>
      <c r="D159" s="317"/>
      <c r="E159" s="317"/>
      <c r="F159" s="317"/>
      <c r="G159" s="317"/>
      <c r="H159" s="317"/>
      <c r="I159" s="317"/>
      <c r="J159" s="317"/>
      <c r="K159" s="317"/>
      <c r="L159" s="317"/>
      <c r="M159" s="317"/>
      <c r="N159" s="317"/>
      <c r="O159" s="317"/>
      <c r="P159" s="317"/>
      <c r="Q159" s="317"/>
      <c r="R159" s="317"/>
      <c r="S159" s="317"/>
      <c r="T159" s="317"/>
      <c r="U159" s="317"/>
      <c r="V159" s="317"/>
      <c r="W159" s="317"/>
      <c r="X159" s="317"/>
      <c r="Y159" s="317"/>
      <c r="Z159" s="317"/>
      <c r="AA159" s="317"/>
      <c r="AB159" s="317"/>
      <c r="AC159" s="317"/>
      <c r="AD159" s="317"/>
    </row>
    <row r="160" ht="20.25" customHeight="1">
      <c r="A160" s="317"/>
      <c r="B160" s="317"/>
      <c r="C160" s="317"/>
      <c r="D160" s="317"/>
      <c r="E160" s="317"/>
      <c r="F160" s="317"/>
      <c r="G160" s="317"/>
      <c r="H160" s="317"/>
      <c r="I160" s="317"/>
      <c r="J160" s="317"/>
      <c r="K160" s="317"/>
      <c r="L160" s="317"/>
      <c r="M160" s="317"/>
      <c r="N160" s="317"/>
      <c r="O160" s="317"/>
      <c r="P160" s="317"/>
      <c r="Q160" s="317"/>
      <c r="R160" s="317"/>
      <c r="S160" s="317"/>
      <c r="T160" s="317"/>
      <c r="U160" s="317"/>
      <c r="V160" s="317"/>
      <c r="W160" s="317"/>
      <c r="X160" s="317"/>
      <c r="Y160" s="317"/>
      <c r="Z160" s="317"/>
      <c r="AA160" s="317"/>
      <c r="AB160" s="317"/>
      <c r="AC160" s="317"/>
      <c r="AD160" s="317"/>
    </row>
    <row r="161" ht="20.25" customHeight="1">
      <c r="A161" s="317"/>
      <c r="B161" s="317"/>
      <c r="C161" s="317"/>
      <c r="D161" s="317"/>
      <c r="E161" s="317"/>
      <c r="F161" s="317"/>
      <c r="G161" s="317"/>
      <c r="H161" s="317"/>
      <c r="I161" s="317"/>
      <c r="J161" s="317"/>
      <c r="K161" s="317"/>
      <c r="L161" s="317"/>
      <c r="M161" s="317"/>
      <c r="N161" s="317"/>
      <c r="O161" s="317"/>
      <c r="P161" s="317"/>
      <c r="Q161" s="317"/>
      <c r="R161" s="317"/>
      <c r="S161" s="317"/>
      <c r="T161" s="317"/>
      <c r="U161" s="317"/>
      <c r="V161" s="317"/>
      <c r="W161" s="317"/>
      <c r="X161" s="317"/>
      <c r="Y161" s="317"/>
      <c r="Z161" s="317"/>
      <c r="AA161" s="317"/>
      <c r="AB161" s="317"/>
      <c r="AC161" s="317"/>
      <c r="AD161" s="317"/>
    </row>
    <row r="162" ht="20.25" customHeight="1">
      <c r="A162" s="317"/>
      <c r="B162" s="317"/>
      <c r="C162" s="317"/>
      <c r="D162" s="317"/>
      <c r="E162" s="317"/>
      <c r="F162" s="317"/>
      <c r="G162" s="317"/>
      <c r="H162" s="317"/>
      <c r="I162" s="317"/>
      <c r="J162" s="317"/>
      <c r="K162" s="317"/>
      <c r="L162" s="317"/>
      <c r="M162" s="317"/>
      <c r="N162" s="317"/>
      <c r="O162" s="317"/>
      <c r="P162" s="317"/>
      <c r="Q162" s="317"/>
      <c r="R162" s="317"/>
      <c r="S162" s="317"/>
      <c r="T162" s="317"/>
      <c r="U162" s="317"/>
      <c r="V162" s="317"/>
      <c r="W162" s="317"/>
      <c r="X162" s="317"/>
      <c r="Y162" s="317"/>
      <c r="Z162" s="317"/>
      <c r="AA162" s="317"/>
      <c r="AB162" s="317"/>
      <c r="AC162" s="317"/>
      <c r="AD162" s="317"/>
    </row>
    <row r="163" ht="20.25" customHeight="1">
      <c r="A163" s="317"/>
      <c r="B163" s="317"/>
      <c r="C163" s="317"/>
      <c r="D163" s="317"/>
      <c r="E163" s="317"/>
      <c r="F163" s="317"/>
      <c r="G163" s="317"/>
      <c r="H163" s="317"/>
      <c r="I163" s="317"/>
      <c r="J163" s="317"/>
      <c r="K163" s="317"/>
      <c r="L163" s="317"/>
      <c r="M163" s="317"/>
      <c r="N163" s="317"/>
      <c r="O163" s="317"/>
      <c r="P163" s="317"/>
      <c r="Q163" s="317"/>
      <c r="R163" s="317"/>
      <c r="S163" s="317"/>
      <c r="T163" s="317"/>
      <c r="U163" s="317"/>
      <c r="V163" s="317"/>
      <c r="W163" s="317"/>
      <c r="X163" s="317"/>
      <c r="Y163" s="317"/>
      <c r="Z163" s="317"/>
      <c r="AA163" s="317"/>
      <c r="AB163" s="317"/>
      <c r="AC163" s="317"/>
      <c r="AD163" s="317"/>
    </row>
    <row r="164" ht="20.25" customHeight="1">
      <c r="A164" s="317"/>
      <c r="B164" s="317"/>
      <c r="C164" s="317"/>
      <c r="D164" s="317"/>
      <c r="E164" s="317"/>
      <c r="F164" s="317"/>
      <c r="G164" s="317"/>
      <c r="H164" s="317"/>
      <c r="I164" s="317"/>
      <c r="J164" s="317"/>
      <c r="K164" s="317"/>
      <c r="L164" s="317"/>
      <c r="M164" s="317"/>
      <c r="N164" s="317"/>
      <c r="O164" s="317"/>
      <c r="P164" s="317"/>
      <c r="Q164" s="317"/>
      <c r="R164" s="317"/>
      <c r="S164" s="317"/>
      <c r="T164" s="317"/>
      <c r="U164" s="317"/>
      <c r="V164" s="317"/>
      <c r="W164" s="317"/>
      <c r="X164" s="317"/>
      <c r="Y164" s="317"/>
      <c r="Z164" s="317"/>
      <c r="AA164" s="317"/>
      <c r="AB164" s="317"/>
      <c r="AC164" s="317"/>
      <c r="AD164" s="317"/>
    </row>
    <row r="165" ht="20.25" customHeight="1">
      <c r="A165" s="317"/>
      <c r="B165" s="317"/>
      <c r="C165" s="317"/>
      <c r="D165" s="317"/>
      <c r="E165" s="317"/>
      <c r="F165" s="317"/>
      <c r="G165" s="317"/>
      <c r="H165" s="317"/>
      <c r="I165" s="317"/>
      <c r="J165" s="317"/>
      <c r="K165" s="317"/>
      <c r="L165" s="317"/>
      <c r="M165" s="317"/>
      <c r="N165" s="317"/>
      <c r="O165" s="317"/>
      <c r="P165" s="317"/>
      <c r="Q165" s="317"/>
      <c r="R165" s="317"/>
      <c r="S165" s="317"/>
      <c r="T165" s="317"/>
      <c r="U165" s="317"/>
      <c r="V165" s="317"/>
      <c r="W165" s="317"/>
      <c r="X165" s="317"/>
      <c r="Y165" s="317"/>
      <c r="Z165" s="317"/>
      <c r="AA165" s="317"/>
      <c r="AB165" s="317"/>
      <c r="AC165" s="317"/>
      <c r="AD165" s="317"/>
    </row>
    <row r="166" ht="20.25" customHeight="1">
      <c r="A166" s="317"/>
      <c r="B166" s="317"/>
      <c r="C166" s="317"/>
      <c r="D166" s="317"/>
      <c r="E166" s="317"/>
      <c r="F166" s="317"/>
      <c r="G166" s="317"/>
      <c r="H166" s="317"/>
      <c r="I166" s="317"/>
      <c r="J166" s="317"/>
      <c r="K166" s="317"/>
      <c r="L166" s="317"/>
      <c r="M166" s="317"/>
      <c r="N166" s="317"/>
      <c r="O166" s="317"/>
      <c r="P166" s="317"/>
      <c r="Q166" s="317"/>
      <c r="R166" s="317"/>
      <c r="S166" s="317"/>
      <c r="T166" s="317"/>
      <c r="U166" s="317"/>
      <c r="V166" s="317"/>
      <c r="W166" s="317"/>
      <c r="X166" s="317"/>
      <c r="Y166" s="317"/>
      <c r="Z166" s="317"/>
      <c r="AA166" s="317"/>
      <c r="AB166" s="317"/>
      <c r="AC166" s="317"/>
      <c r="AD166" s="317"/>
    </row>
    <row r="167" ht="20.25" customHeight="1">
      <c r="A167" s="317"/>
      <c r="B167" s="317"/>
      <c r="C167" s="317"/>
      <c r="D167" s="317"/>
      <c r="E167" s="317"/>
      <c r="F167" s="317"/>
      <c r="G167" s="317"/>
      <c r="H167" s="317"/>
      <c r="I167" s="317"/>
      <c r="J167" s="317"/>
      <c r="K167" s="317"/>
      <c r="L167" s="317"/>
      <c r="M167" s="317"/>
      <c r="N167" s="317"/>
      <c r="O167" s="317"/>
      <c r="P167" s="317"/>
      <c r="Q167" s="317"/>
      <c r="R167" s="317"/>
      <c r="S167" s="317"/>
      <c r="T167" s="317"/>
      <c r="U167" s="317"/>
      <c r="V167" s="317"/>
      <c r="W167" s="317"/>
      <c r="X167" s="317"/>
      <c r="Y167" s="317"/>
      <c r="Z167" s="317"/>
      <c r="AA167" s="317"/>
      <c r="AB167" s="317"/>
      <c r="AC167" s="317"/>
      <c r="AD167" s="317"/>
    </row>
    <row r="168" ht="20.25" customHeight="1">
      <c r="A168" s="317"/>
      <c r="B168" s="317"/>
      <c r="C168" s="317"/>
      <c r="D168" s="317"/>
      <c r="E168" s="317"/>
      <c r="F168" s="317"/>
      <c r="G168" s="317"/>
      <c r="H168" s="317"/>
      <c r="I168" s="317"/>
      <c r="J168" s="317"/>
      <c r="K168" s="317"/>
      <c r="L168" s="317"/>
      <c r="M168" s="317"/>
      <c r="N168" s="317"/>
      <c r="O168" s="317"/>
      <c r="P168" s="317"/>
      <c r="Q168" s="317"/>
      <c r="R168" s="317"/>
      <c r="S168" s="317"/>
      <c r="T168" s="317"/>
      <c r="U168" s="317"/>
      <c r="V168" s="317"/>
      <c r="W168" s="317"/>
      <c r="X168" s="317"/>
      <c r="Y168" s="317"/>
      <c r="Z168" s="317"/>
      <c r="AA168" s="317"/>
      <c r="AB168" s="317"/>
      <c r="AC168" s="317"/>
      <c r="AD168" s="317"/>
    </row>
    <row r="169" ht="20.25" customHeight="1">
      <c r="A169" s="317"/>
      <c r="B169" s="317"/>
      <c r="C169" s="317"/>
      <c r="D169" s="317"/>
      <c r="E169" s="317"/>
      <c r="F169" s="317"/>
      <c r="G169" s="317"/>
      <c r="H169" s="317"/>
      <c r="I169" s="317"/>
      <c r="J169" s="317"/>
      <c r="K169" s="317"/>
      <c r="L169" s="317"/>
      <c r="M169" s="317"/>
      <c r="N169" s="317"/>
      <c r="O169" s="317"/>
      <c r="P169" s="317"/>
      <c r="Q169" s="317"/>
      <c r="R169" s="317"/>
      <c r="S169" s="317"/>
      <c r="T169" s="317"/>
      <c r="U169" s="317"/>
      <c r="V169" s="317"/>
      <c r="W169" s="317"/>
      <c r="X169" s="317"/>
      <c r="Y169" s="317"/>
      <c r="Z169" s="317"/>
      <c r="AA169" s="317"/>
      <c r="AB169" s="317"/>
      <c r="AC169" s="317"/>
      <c r="AD169" s="317"/>
    </row>
    <row r="170" ht="20.25" customHeight="1">
      <c r="A170" s="317"/>
      <c r="B170" s="317"/>
      <c r="C170" s="317"/>
      <c r="D170" s="317"/>
      <c r="E170" s="317"/>
      <c r="F170" s="317"/>
      <c r="G170" s="317"/>
      <c r="H170" s="317"/>
      <c r="I170" s="317"/>
      <c r="J170" s="317"/>
      <c r="K170" s="317"/>
      <c r="L170" s="317"/>
      <c r="M170" s="317"/>
      <c r="N170" s="317"/>
      <c r="O170" s="317"/>
      <c r="P170" s="317"/>
      <c r="Q170" s="317"/>
      <c r="R170" s="317"/>
      <c r="S170" s="317"/>
      <c r="T170" s="317"/>
      <c r="U170" s="317"/>
      <c r="V170" s="317"/>
      <c r="W170" s="317"/>
      <c r="X170" s="317"/>
      <c r="Y170" s="317"/>
      <c r="Z170" s="317"/>
      <c r="AA170" s="317"/>
      <c r="AB170" s="317"/>
      <c r="AC170" s="317"/>
      <c r="AD170" s="317"/>
    </row>
    <row r="171" ht="20.25" customHeight="1">
      <c r="A171" s="317"/>
      <c r="B171" s="317"/>
      <c r="C171" s="317"/>
      <c r="D171" s="317"/>
      <c r="E171" s="317"/>
      <c r="F171" s="317"/>
      <c r="G171" s="317"/>
      <c r="H171" s="317"/>
      <c r="I171" s="317"/>
      <c r="J171" s="317"/>
      <c r="K171" s="317"/>
      <c r="L171" s="317"/>
      <c r="M171" s="317"/>
      <c r="N171" s="317"/>
      <c r="O171" s="317"/>
      <c r="P171" s="317"/>
      <c r="Q171" s="317"/>
      <c r="R171" s="317"/>
      <c r="S171" s="317"/>
      <c r="T171" s="317"/>
      <c r="U171" s="317"/>
      <c r="V171" s="317"/>
      <c r="W171" s="317"/>
      <c r="X171" s="317"/>
      <c r="Y171" s="317"/>
      <c r="Z171" s="317"/>
      <c r="AA171" s="317"/>
      <c r="AB171" s="317"/>
      <c r="AC171" s="317"/>
      <c r="AD171" s="317"/>
    </row>
    <row r="172" ht="20.25" customHeight="1">
      <c r="A172" s="317"/>
      <c r="B172" s="317"/>
      <c r="C172" s="317"/>
      <c r="D172" s="317"/>
      <c r="E172" s="317"/>
      <c r="F172" s="317"/>
      <c r="G172" s="317"/>
      <c r="H172" s="317"/>
      <c r="I172" s="317"/>
      <c r="J172" s="317"/>
      <c r="K172" s="317"/>
      <c r="L172" s="317"/>
      <c r="M172" s="317"/>
      <c r="N172" s="317"/>
      <c r="O172" s="317"/>
      <c r="P172" s="317"/>
      <c r="Q172" s="317"/>
      <c r="R172" s="317"/>
      <c r="S172" s="317"/>
      <c r="T172" s="317"/>
      <c r="U172" s="317"/>
      <c r="V172" s="317"/>
      <c r="W172" s="317"/>
      <c r="X172" s="317"/>
      <c r="Y172" s="317"/>
      <c r="Z172" s="317"/>
      <c r="AA172" s="317"/>
      <c r="AB172" s="317"/>
      <c r="AC172" s="317"/>
      <c r="AD172" s="317"/>
    </row>
    <row r="173" ht="20.25" customHeight="1">
      <c r="A173" s="317"/>
      <c r="B173" s="317"/>
      <c r="C173" s="317"/>
      <c r="D173" s="317"/>
      <c r="E173" s="317"/>
      <c r="F173" s="317"/>
      <c r="G173" s="317"/>
      <c r="H173" s="317"/>
      <c r="I173" s="317"/>
      <c r="J173" s="317"/>
      <c r="K173" s="317"/>
      <c r="L173" s="317"/>
      <c r="M173" s="317"/>
      <c r="N173" s="317"/>
      <c r="O173" s="317"/>
      <c r="P173" s="317"/>
      <c r="Q173" s="317"/>
      <c r="R173" s="317"/>
      <c r="S173" s="317"/>
      <c r="T173" s="317"/>
      <c r="U173" s="317"/>
      <c r="V173" s="317"/>
      <c r="W173" s="317"/>
      <c r="X173" s="317"/>
      <c r="Y173" s="317"/>
      <c r="Z173" s="317"/>
      <c r="AA173" s="317"/>
      <c r="AB173" s="317"/>
      <c r="AC173" s="317"/>
      <c r="AD173" s="317"/>
    </row>
    <row r="174" ht="20.25" customHeight="1">
      <c r="A174" s="317"/>
      <c r="B174" s="317"/>
      <c r="C174" s="317"/>
      <c r="D174" s="317"/>
      <c r="E174" s="317"/>
      <c r="F174" s="317"/>
      <c r="G174" s="317"/>
      <c r="H174" s="317"/>
      <c r="I174" s="317"/>
      <c r="J174" s="317"/>
      <c r="K174" s="317"/>
      <c r="L174" s="317"/>
      <c r="M174" s="317"/>
      <c r="N174" s="317"/>
      <c r="O174" s="317"/>
      <c r="P174" s="317"/>
      <c r="Q174" s="317"/>
      <c r="R174" s="317"/>
      <c r="S174" s="317"/>
      <c r="T174" s="317"/>
      <c r="U174" s="317"/>
      <c r="V174" s="317"/>
      <c r="W174" s="317"/>
      <c r="X174" s="317"/>
      <c r="Y174" s="317"/>
      <c r="Z174" s="317"/>
      <c r="AA174" s="317"/>
      <c r="AB174" s="317"/>
      <c r="AC174" s="317"/>
      <c r="AD174" s="317"/>
    </row>
    <row r="175" ht="20.25" customHeight="1">
      <c r="A175" s="317"/>
      <c r="B175" s="317"/>
      <c r="C175" s="317"/>
      <c r="D175" s="317"/>
      <c r="E175" s="317"/>
      <c r="F175" s="317"/>
      <c r="G175" s="317"/>
      <c r="H175" s="317"/>
      <c r="I175" s="317"/>
      <c r="J175" s="317"/>
      <c r="K175" s="317"/>
      <c r="L175" s="317"/>
      <c r="M175" s="317"/>
      <c r="N175" s="317"/>
      <c r="O175" s="317"/>
      <c r="P175" s="317"/>
      <c r="Q175" s="317"/>
      <c r="R175" s="317"/>
      <c r="S175" s="317"/>
      <c r="T175" s="317"/>
      <c r="U175" s="317"/>
      <c r="V175" s="317"/>
      <c r="W175" s="317"/>
      <c r="X175" s="317"/>
      <c r="Y175" s="317"/>
      <c r="Z175" s="317"/>
      <c r="AA175" s="317"/>
      <c r="AB175" s="317"/>
      <c r="AC175" s="317"/>
      <c r="AD175" s="317"/>
    </row>
    <row r="176" ht="20.25" customHeight="1">
      <c r="A176" s="317"/>
      <c r="B176" s="317"/>
      <c r="C176" s="317"/>
      <c r="D176" s="317"/>
      <c r="E176" s="317"/>
      <c r="F176" s="317"/>
      <c r="G176" s="317"/>
      <c r="H176" s="317"/>
      <c r="I176" s="317"/>
      <c r="J176" s="317"/>
      <c r="K176" s="317"/>
      <c r="L176" s="317"/>
      <c r="M176" s="317"/>
      <c r="N176" s="317"/>
      <c r="O176" s="317"/>
      <c r="P176" s="317"/>
      <c r="Q176" s="317"/>
      <c r="R176" s="317"/>
      <c r="S176" s="317"/>
      <c r="T176" s="317"/>
      <c r="U176" s="317"/>
      <c r="V176" s="317"/>
      <c r="W176" s="317"/>
      <c r="X176" s="317"/>
      <c r="Y176" s="317"/>
      <c r="Z176" s="317"/>
      <c r="AA176" s="317"/>
      <c r="AB176" s="317"/>
      <c r="AC176" s="317"/>
      <c r="AD176" s="317"/>
    </row>
    <row r="177" ht="20.25" customHeight="1">
      <c r="A177" s="317"/>
      <c r="B177" s="317"/>
      <c r="C177" s="317"/>
      <c r="D177" s="317"/>
      <c r="E177" s="317"/>
      <c r="F177" s="317"/>
      <c r="G177" s="317"/>
      <c r="H177" s="317"/>
      <c r="I177" s="317"/>
      <c r="J177" s="317"/>
      <c r="K177" s="317"/>
      <c r="L177" s="317"/>
      <c r="M177" s="317"/>
      <c r="N177" s="317"/>
      <c r="O177" s="317"/>
      <c r="P177" s="317"/>
      <c r="Q177" s="317"/>
      <c r="R177" s="317"/>
      <c r="S177" s="317"/>
      <c r="T177" s="317"/>
      <c r="U177" s="317"/>
      <c r="V177" s="317"/>
      <c r="W177" s="317"/>
      <c r="X177" s="317"/>
      <c r="Y177" s="317"/>
      <c r="Z177" s="317"/>
      <c r="AA177" s="317"/>
      <c r="AB177" s="317"/>
      <c r="AC177" s="317"/>
      <c r="AD177" s="317"/>
    </row>
    <row r="178" ht="20.25" customHeight="1">
      <c r="A178" s="317"/>
      <c r="B178" s="317"/>
      <c r="C178" s="317"/>
      <c r="D178" s="317"/>
      <c r="E178" s="317"/>
      <c r="F178" s="317"/>
      <c r="G178" s="317"/>
      <c r="H178" s="317"/>
      <c r="I178" s="317"/>
      <c r="J178" s="317"/>
      <c r="K178" s="317"/>
      <c r="L178" s="317"/>
      <c r="M178" s="317"/>
      <c r="N178" s="317"/>
      <c r="O178" s="317"/>
      <c r="P178" s="317"/>
      <c r="Q178" s="317"/>
      <c r="R178" s="317"/>
      <c r="S178" s="317"/>
      <c r="T178" s="317"/>
      <c r="U178" s="317"/>
      <c r="V178" s="317"/>
      <c r="W178" s="317"/>
      <c r="X178" s="317"/>
      <c r="Y178" s="317"/>
      <c r="Z178" s="317"/>
      <c r="AA178" s="317"/>
      <c r="AB178" s="317"/>
      <c r="AC178" s="317"/>
      <c r="AD178" s="317"/>
    </row>
    <row r="179" ht="20.25" customHeight="1">
      <c r="A179" s="317"/>
      <c r="B179" s="317"/>
      <c r="C179" s="317"/>
      <c r="D179" s="317"/>
      <c r="E179" s="317"/>
      <c r="F179" s="317"/>
      <c r="G179" s="317"/>
      <c r="H179" s="317"/>
      <c r="I179" s="317"/>
      <c r="J179" s="317"/>
      <c r="K179" s="317"/>
      <c r="L179" s="317"/>
      <c r="M179" s="317"/>
      <c r="N179" s="317"/>
      <c r="O179" s="317"/>
      <c r="P179" s="317"/>
      <c r="Q179" s="317"/>
      <c r="R179" s="317"/>
      <c r="S179" s="317"/>
      <c r="T179" s="317"/>
      <c r="U179" s="317"/>
      <c r="V179" s="317"/>
      <c r="W179" s="317"/>
      <c r="X179" s="317"/>
      <c r="Y179" s="317"/>
      <c r="Z179" s="317"/>
      <c r="AA179" s="317"/>
      <c r="AB179" s="317"/>
      <c r="AC179" s="317"/>
      <c r="AD179" s="317"/>
    </row>
    <row r="180" ht="20.25" customHeight="1">
      <c r="A180" s="317"/>
      <c r="B180" s="317"/>
      <c r="C180" s="317"/>
      <c r="D180" s="317"/>
      <c r="E180" s="317"/>
      <c r="F180" s="317"/>
      <c r="G180" s="317"/>
      <c r="H180" s="317"/>
      <c r="I180" s="317"/>
      <c r="J180" s="317"/>
      <c r="K180" s="317"/>
      <c r="L180" s="317"/>
      <c r="M180" s="317"/>
      <c r="N180" s="317"/>
      <c r="O180" s="317"/>
      <c r="P180" s="317"/>
      <c r="Q180" s="317"/>
      <c r="R180" s="317"/>
      <c r="S180" s="317"/>
      <c r="T180" s="317"/>
      <c r="U180" s="317"/>
      <c r="V180" s="317"/>
      <c r="W180" s="317"/>
      <c r="X180" s="317"/>
      <c r="Y180" s="317"/>
      <c r="Z180" s="317"/>
      <c r="AA180" s="317"/>
      <c r="AB180" s="317"/>
      <c r="AC180" s="317"/>
      <c r="AD180" s="317"/>
    </row>
    <row r="181" ht="20.25" customHeight="1">
      <c r="A181" s="317"/>
      <c r="B181" s="317"/>
      <c r="C181" s="317"/>
      <c r="D181" s="317"/>
      <c r="E181" s="317"/>
      <c r="F181" s="317"/>
      <c r="G181" s="317"/>
      <c r="H181" s="317"/>
      <c r="I181" s="317"/>
      <c r="J181" s="317"/>
      <c r="K181" s="317"/>
      <c r="L181" s="317"/>
      <c r="M181" s="317"/>
      <c r="N181" s="317"/>
      <c r="O181" s="317"/>
      <c r="P181" s="317"/>
      <c r="Q181" s="317"/>
      <c r="R181" s="317"/>
      <c r="S181" s="317"/>
      <c r="T181" s="317"/>
      <c r="U181" s="317"/>
      <c r="V181" s="317"/>
      <c r="W181" s="317"/>
      <c r="X181" s="317"/>
      <c r="Y181" s="317"/>
      <c r="Z181" s="317"/>
      <c r="AA181" s="317"/>
      <c r="AB181" s="317"/>
      <c r="AC181" s="317"/>
      <c r="AD181" s="317"/>
    </row>
    <row r="182" ht="20.25" customHeight="1">
      <c r="A182" s="317"/>
      <c r="B182" s="317"/>
      <c r="C182" s="317"/>
      <c r="D182" s="317"/>
      <c r="E182" s="317"/>
      <c r="F182" s="317"/>
      <c r="G182" s="317"/>
      <c r="H182" s="317"/>
      <c r="I182" s="317"/>
      <c r="J182" s="317"/>
      <c r="K182" s="317"/>
      <c r="L182" s="317"/>
      <c r="M182" s="317"/>
      <c r="N182" s="317"/>
      <c r="O182" s="317"/>
      <c r="P182" s="317"/>
      <c r="Q182" s="317"/>
      <c r="R182" s="317"/>
      <c r="S182" s="317"/>
      <c r="T182" s="317"/>
      <c r="U182" s="317"/>
      <c r="V182" s="317"/>
      <c r="W182" s="317"/>
      <c r="X182" s="317"/>
      <c r="Y182" s="317"/>
      <c r="Z182" s="317"/>
      <c r="AA182" s="317"/>
      <c r="AB182" s="317"/>
      <c r="AC182" s="317"/>
      <c r="AD182" s="317"/>
    </row>
    <row r="183" ht="20.25" customHeight="1">
      <c r="A183" s="317"/>
      <c r="B183" s="317"/>
      <c r="C183" s="317"/>
      <c r="D183" s="317"/>
      <c r="E183" s="317"/>
      <c r="F183" s="317"/>
      <c r="G183" s="317"/>
      <c r="H183" s="317"/>
      <c r="I183" s="317"/>
      <c r="J183" s="317"/>
      <c r="K183" s="317"/>
      <c r="L183" s="317"/>
      <c r="M183" s="317"/>
      <c r="N183" s="317"/>
      <c r="O183" s="317"/>
      <c r="P183" s="317"/>
      <c r="Q183" s="317"/>
      <c r="R183" s="317"/>
      <c r="S183" s="317"/>
      <c r="T183" s="317"/>
      <c r="U183" s="317"/>
      <c r="V183" s="317"/>
      <c r="W183" s="317"/>
      <c r="X183" s="317"/>
      <c r="Y183" s="317"/>
      <c r="Z183" s="317"/>
      <c r="AA183" s="317"/>
      <c r="AB183" s="317"/>
      <c r="AC183" s="317"/>
      <c r="AD183" s="317"/>
    </row>
    <row r="184" ht="20.25" customHeight="1">
      <c r="A184" s="317"/>
      <c r="B184" s="317"/>
      <c r="C184" s="317"/>
      <c r="D184" s="317"/>
      <c r="E184" s="317"/>
      <c r="F184" s="317"/>
      <c r="G184" s="317"/>
      <c r="H184" s="317"/>
      <c r="I184" s="317"/>
      <c r="J184" s="317"/>
      <c r="K184" s="317"/>
      <c r="L184" s="317"/>
      <c r="M184" s="317"/>
      <c r="N184" s="317"/>
      <c r="O184" s="317"/>
      <c r="P184" s="317"/>
      <c r="Q184" s="317"/>
      <c r="R184" s="317"/>
      <c r="S184" s="317"/>
      <c r="T184" s="317"/>
      <c r="U184" s="317"/>
      <c r="V184" s="317"/>
      <c r="W184" s="317"/>
      <c r="X184" s="317"/>
      <c r="Y184" s="317"/>
      <c r="Z184" s="317"/>
      <c r="AA184" s="317"/>
      <c r="AB184" s="317"/>
      <c r="AC184" s="317"/>
      <c r="AD184" s="317"/>
    </row>
    <row r="185" ht="20.25" customHeight="1">
      <c r="A185" s="317"/>
      <c r="B185" s="317"/>
      <c r="C185" s="317"/>
      <c r="D185" s="317"/>
      <c r="E185" s="317"/>
      <c r="F185" s="317"/>
      <c r="G185" s="317"/>
      <c r="H185" s="317"/>
      <c r="I185" s="317"/>
      <c r="J185" s="317"/>
      <c r="K185" s="317"/>
      <c r="L185" s="317"/>
      <c r="M185" s="317"/>
      <c r="N185" s="317"/>
      <c r="O185" s="317"/>
      <c r="P185" s="317"/>
      <c r="Q185" s="317"/>
      <c r="R185" s="317"/>
      <c r="S185" s="317"/>
      <c r="T185" s="317"/>
      <c r="U185" s="317"/>
      <c r="V185" s="317"/>
      <c r="W185" s="317"/>
      <c r="X185" s="317"/>
      <c r="Y185" s="317"/>
      <c r="Z185" s="317"/>
      <c r="AA185" s="317"/>
      <c r="AB185" s="317"/>
      <c r="AC185" s="317"/>
      <c r="AD185" s="317"/>
    </row>
    <row r="186" ht="20.25" customHeight="1">
      <c r="A186" s="317"/>
      <c r="B186" s="317"/>
      <c r="C186" s="317"/>
      <c r="D186" s="317"/>
      <c r="E186" s="317"/>
      <c r="F186" s="317"/>
      <c r="G186" s="317"/>
      <c r="H186" s="317"/>
      <c r="I186" s="317"/>
      <c r="J186" s="317"/>
      <c r="K186" s="317"/>
      <c r="L186" s="317"/>
      <c r="M186" s="317"/>
      <c r="N186" s="317"/>
      <c r="O186" s="317"/>
      <c r="P186" s="317"/>
      <c r="Q186" s="317"/>
      <c r="R186" s="317"/>
      <c r="S186" s="317"/>
      <c r="T186" s="317"/>
      <c r="U186" s="317"/>
      <c r="V186" s="317"/>
      <c r="W186" s="317"/>
      <c r="X186" s="317"/>
      <c r="Y186" s="317"/>
      <c r="Z186" s="317"/>
      <c r="AA186" s="317"/>
      <c r="AB186" s="317"/>
      <c r="AC186" s="317"/>
      <c r="AD186" s="317"/>
    </row>
    <row r="187" ht="20.25" customHeight="1">
      <c r="A187" s="317"/>
      <c r="B187" s="317"/>
      <c r="C187" s="317"/>
      <c r="D187" s="317"/>
      <c r="E187" s="317"/>
      <c r="F187" s="317"/>
      <c r="G187" s="317"/>
      <c r="H187" s="317"/>
      <c r="I187" s="317"/>
      <c r="J187" s="317"/>
      <c r="K187" s="317"/>
      <c r="L187" s="317"/>
      <c r="M187" s="317"/>
      <c r="N187" s="317"/>
      <c r="O187" s="317"/>
      <c r="P187" s="317"/>
      <c r="Q187" s="317"/>
      <c r="R187" s="317"/>
      <c r="S187" s="317"/>
      <c r="T187" s="317"/>
      <c r="U187" s="317"/>
      <c r="V187" s="317"/>
      <c r="W187" s="317"/>
      <c r="X187" s="317"/>
      <c r="Y187" s="317"/>
      <c r="Z187" s="317"/>
      <c r="AA187" s="317"/>
      <c r="AB187" s="317"/>
      <c r="AC187" s="317"/>
      <c r="AD187" s="317"/>
    </row>
    <row r="188" ht="20.25" customHeight="1">
      <c r="A188" s="317"/>
      <c r="B188" s="317"/>
      <c r="C188" s="317"/>
      <c r="D188" s="317"/>
      <c r="E188" s="317"/>
      <c r="F188" s="317"/>
      <c r="G188" s="317"/>
      <c r="H188" s="317"/>
      <c r="I188" s="317"/>
      <c r="J188" s="317"/>
      <c r="K188" s="317"/>
      <c r="L188" s="317"/>
      <c r="M188" s="317"/>
      <c r="N188" s="317"/>
      <c r="O188" s="317"/>
      <c r="P188" s="317"/>
      <c r="Q188" s="317"/>
      <c r="R188" s="317"/>
      <c r="S188" s="317"/>
      <c r="T188" s="317"/>
      <c r="U188" s="317"/>
      <c r="V188" s="317"/>
      <c r="W188" s="317"/>
      <c r="X188" s="317"/>
      <c r="Y188" s="317"/>
      <c r="Z188" s="317"/>
      <c r="AA188" s="317"/>
      <c r="AB188" s="317"/>
      <c r="AC188" s="317"/>
      <c r="AD188" s="317"/>
    </row>
    <row r="189" ht="20.25" customHeight="1">
      <c r="A189" s="317"/>
      <c r="B189" s="317"/>
      <c r="C189" s="317"/>
      <c r="D189" s="317"/>
      <c r="E189" s="317"/>
      <c r="F189" s="317"/>
      <c r="G189" s="317"/>
      <c r="H189" s="317"/>
      <c r="I189" s="317"/>
      <c r="J189" s="317"/>
      <c r="K189" s="317"/>
      <c r="L189" s="317"/>
      <c r="M189" s="317"/>
      <c r="N189" s="317"/>
      <c r="O189" s="317"/>
      <c r="P189" s="317"/>
      <c r="Q189" s="317"/>
      <c r="R189" s="317"/>
      <c r="S189" s="317"/>
      <c r="T189" s="317"/>
      <c r="U189" s="317"/>
      <c r="V189" s="317"/>
      <c r="W189" s="317"/>
      <c r="X189" s="317"/>
      <c r="Y189" s="317"/>
      <c r="Z189" s="317"/>
      <c r="AA189" s="317"/>
      <c r="AB189" s="317"/>
      <c r="AC189" s="317"/>
      <c r="AD189" s="317"/>
    </row>
    <row r="190" ht="20.25" customHeight="1">
      <c r="A190" s="317"/>
      <c r="B190" s="317"/>
      <c r="C190" s="317"/>
      <c r="D190" s="317"/>
      <c r="E190" s="317"/>
      <c r="F190" s="317"/>
      <c r="G190" s="317"/>
      <c r="H190" s="317"/>
      <c r="I190" s="317"/>
      <c r="J190" s="317"/>
      <c r="K190" s="317"/>
      <c r="L190" s="317"/>
      <c r="M190" s="317"/>
      <c r="N190" s="317"/>
      <c r="O190" s="317"/>
      <c r="P190" s="317"/>
      <c r="Q190" s="317"/>
      <c r="R190" s="317"/>
      <c r="S190" s="317"/>
      <c r="T190" s="317"/>
      <c r="U190" s="317"/>
      <c r="V190" s="317"/>
      <c r="W190" s="317"/>
      <c r="X190" s="317"/>
      <c r="Y190" s="317"/>
      <c r="Z190" s="317"/>
      <c r="AA190" s="317"/>
      <c r="AB190" s="317"/>
      <c r="AC190" s="317"/>
      <c r="AD190" s="317"/>
    </row>
    <row r="191" ht="20.25" customHeight="1">
      <c r="A191" s="317"/>
      <c r="B191" s="317"/>
      <c r="C191" s="317"/>
      <c r="D191" s="317"/>
      <c r="E191" s="317"/>
      <c r="F191" s="317"/>
      <c r="G191" s="317"/>
      <c r="H191" s="317"/>
      <c r="I191" s="317"/>
      <c r="J191" s="317"/>
      <c r="K191" s="317"/>
      <c r="L191" s="317"/>
      <c r="M191" s="317"/>
      <c r="N191" s="317"/>
      <c r="O191" s="317"/>
      <c r="P191" s="317"/>
      <c r="Q191" s="317"/>
      <c r="R191" s="317"/>
      <c r="S191" s="317"/>
      <c r="T191" s="317"/>
      <c r="U191" s="317"/>
      <c r="V191" s="317"/>
      <c r="W191" s="317"/>
      <c r="X191" s="317"/>
      <c r="Y191" s="317"/>
      <c r="Z191" s="317"/>
      <c r="AA191" s="317"/>
      <c r="AB191" s="317"/>
      <c r="AC191" s="317"/>
      <c r="AD191" s="317"/>
    </row>
    <row r="192" ht="20.25" customHeight="1">
      <c r="A192" s="317"/>
      <c r="B192" s="317"/>
      <c r="C192" s="317"/>
      <c r="D192" s="317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317"/>
      <c r="R192" s="317"/>
      <c r="S192" s="317"/>
      <c r="T192" s="317"/>
      <c r="U192" s="317"/>
      <c r="V192" s="317"/>
      <c r="W192" s="317"/>
      <c r="X192" s="317"/>
      <c r="Y192" s="317"/>
      <c r="Z192" s="317"/>
      <c r="AA192" s="317"/>
      <c r="AB192" s="317"/>
      <c r="AC192" s="317"/>
      <c r="AD192" s="317"/>
    </row>
    <row r="193" ht="20.25" customHeight="1">
      <c r="A193" s="317"/>
      <c r="B193" s="317"/>
      <c r="C193" s="317"/>
      <c r="D193" s="317"/>
      <c r="E193" s="317"/>
      <c r="F193" s="317"/>
      <c r="G193" s="317"/>
      <c r="H193" s="317"/>
      <c r="I193" s="317"/>
      <c r="J193" s="317"/>
      <c r="K193" s="317"/>
      <c r="L193" s="317"/>
      <c r="M193" s="317"/>
      <c r="N193" s="317"/>
      <c r="O193" s="317"/>
      <c r="P193" s="317"/>
      <c r="Q193" s="317"/>
      <c r="R193" s="317"/>
      <c r="S193" s="317"/>
      <c r="T193" s="317"/>
      <c r="U193" s="317"/>
      <c r="V193" s="317"/>
      <c r="W193" s="317"/>
      <c r="X193" s="317"/>
      <c r="Y193" s="317"/>
      <c r="Z193" s="317"/>
      <c r="AA193" s="317"/>
      <c r="AB193" s="317"/>
      <c r="AC193" s="317"/>
      <c r="AD193" s="317"/>
    </row>
    <row r="194" ht="20.25" customHeight="1">
      <c r="A194" s="317"/>
      <c r="B194" s="317"/>
      <c r="C194" s="317"/>
      <c r="D194" s="317"/>
      <c r="E194" s="317"/>
      <c r="F194" s="317"/>
      <c r="G194" s="317"/>
      <c r="H194" s="317"/>
      <c r="I194" s="317"/>
      <c r="J194" s="317"/>
      <c r="K194" s="317"/>
      <c r="L194" s="317"/>
      <c r="M194" s="317"/>
      <c r="N194" s="317"/>
      <c r="O194" s="317"/>
      <c r="P194" s="317"/>
      <c r="Q194" s="317"/>
      <c r="R194" s="317"/>
      <c r="S194" s="317"/>
      <c r="T194" s="317"/>
      <c r="U194" s="317"/>
      <c r="V194" s="317"/>
      <c r="W194" s="317"/>
      <c r="X194" s="317"/>
      <c r="Y194" s="317"/>
      <c r="Z194" s="317"/>
      <c r="AA194" s="317"/>
      <c r="AB194" s="317"/>
      <c r="AC194" s="317"/>
      <c r="AD194" s="317"/>
    </row>
    <row r="195" ht="20.25" customHeight="1">
      <c r="A195" s="317"/>
      <c r="B195" s="317"/>
      <c r="C195" s="317"/>
      <c r="D195" s="317"/>
      <c r="E195" s="317"/>
      <c r="F195" s="317"/>
      <c r="G195" s="317"/>
      <c r="H195" s="317"/>
      <c r="I195" s="317"/>
      <c r="J195" s="317"/>
      <c r="K195" s="317"/>
      <c r="L195" s="317"/>
      <c r="M195" s="317"/>
      <c r="N195" s="317"/>
      <c r="O195" s="317"/>
      <c r="P195" s="317"/>
      <c r="Q195" s="317"/>
      <c r="R195" s="317"/>
      <c r="S195" s="317"/>
      <c r="T195" s="317"/>
      <c r="U195" s="317"/>
      <c r="V195" s="317"/>
      <c r="W195" s="317"/>
      <c r="X195" s="317"/>
      <c r="Y195" s="317"/>
      <c r="Z195" s="317"/>
      <c r="AA195" s="317"/>
      <c r="AB195" s="317"/>
      <c r="AC195" s="317"/>
      <c r="AD195" s="317"/>
    </row>
    <row r="196" ht="20.25" customHeight="1">
      <c r="A196" s="317"/>
      <c r="B196" s="317"/>
      <c r="C196" s="317"/>
      <c r="D196" s="317"/>
      <c r="E196" s="317"/>
      <c r="F196" s="317"/>
      <c r="G196" s="317"/>
      <c r="H196" s="317"/>
      <c r="I196" s="317"/>
      <c r="J196" s="317"/>
      <c r="K196" s="317"/>
      <c r="L196" s="317"/>
      <c r="M196" s="317"/>
      <c r="N196" s="317"/>
      <c r="O196" s="317"/>
      <c r="P196" s="317"/>
      <c r="Q196" s="317"/>
      <c r="R196" s="317"/>
      <c r="S196" s="317"/>
      <c r="T196" s="317"/>
      <c r="U196" s="317"/>
      <c r="V196" s="317"/>
      <c r="W196" s="317"/>
      <c r="X196" s="317"/>
      <c r="Y196" s="317"/>
      <c r="Z196" s="317"/>
      <c r="AA196" s="317"/>
      <c r="AB196" s="317"/>
      <c r="AC196" s="317"/>
      <c r="AD196" s="317"/>
    </row>
    <row r="197" ht="20.25" customHeight="1">
      <c r="A197" s="317"/>
      <c r="B197" s="317"/>
      <c r="C197" s="317"/>
      <c r="D197" s="317"/>
      <c r="E197" s="317"/>
      <c r="F197" s="317"/>
      <c r="G197" s="317"/>
      <c r="H197" s="317"/>
      <c r="I197" s="317"/>
      <c r="J197" s="317"/>
      <c r="K197" s="317"/>
      <c r="L197" s="317"/>
      <c r="M197" s="317"/>
      <c r="N197" s="317"/>
      <c r="O197" s="317"/>
      <c r="P197" s="317"/>
      <c r="Q197" s="317"/>
      <c r="R197" s="317"/>
      <c r="S197" s="317"/>
      <c r="T197" s="317"/>
      <c r="U197" s="317"/>
      <c r="V197" s="317"/>
      <c r="W197" s="317"/>
      <c r="X197" s="317"/>
      <c r="Y197" s="317"/>
      <c r="Z197" s="317"/>
      <c r="AA197" s="317"/>
      <c r="AB197" s="317"/>
      <c r="AC197" s="317"/>
      <c r="AD197" s="317"/>
    </row>
    <row r="198" ht="20.25" customHeight="1">
      <c r="A198" s="317"/>
      <c r="B198" s="317"/>
      <c r="C198" s="317"/>
      <c r="D198" s="317"/>
      <c r="E198" s="317"/>
      <c r="F198" s="317"/>
      <c r="G198" s="317"/>
      <c r="H198" s="317"/>
      <c r="I198" s="317"/>
      <c r="J198" s="317"/>
      <c r="K198" s="317"/>
      <c r="L198" s="317"/>
      <c r="M198" s="317"/>
      <c r="N198" s="317"/>
      <c r="O198" s="317"/>
      <c r="P198" s="317"/>
      <c r="Q198" s="317"/>
      <c r="R198" s="317"/>
      <c r="S198" s="317"/>
      <c r="T198" s="317"/>
      <c r="U198" s="317"/>
      <c r="V198" s="317"/>
      <c r="W198" s="317"/>
      <c r="X198" s="317"/>
      <c r="Y198" s="317"/>
      <c r="Z198" s="317"/>
      <c r="AA198" s="317"/>
      <c r="AB198" s="317"/>
      <c r="AC198" s="317"/>
      <c r="AD198" s="317"/>
    </row>
    <row r="199" ht="20.25" customHeight="1">
      <c r="A199" s="317"/>
      <c r="B199" s="317"/>
      <c r="C199" s="317"/>
      <c r="D199" s="317"/>
      <c r="E199" s="317"/>
      <c r="F199" s="317"/>
      <c r="G199" s="317"/>
      <c r="H199" s="317"/>
      <c r="I199" s="317"/>
      <c r="J199" s="317"/>
      <c r="K199" s="317"/>
      <c r="L199" s="317"/>
      <c r="M199" s="317"/>
      <c r="N199" s="317"/>
      <c r="O199" s="317"/>
      <c r="P199" s="317"/>
      <c r="Q199" s="317"/>
      <c r="R199" s="317"/>
      <c r="S199" s="317"/>
      <c r="T199" s="317"/>
      <c r="U199" s="317"/>
      <c r="V199" s="317"/>
      <c r="W199" s="317"/>
      <c r="X199" s="317"/>
      <c r="Y199" s="317"/>
      <c r="Z199" s="317"/>
      <c r="AA199" s="317"/>
      <c r="AB199" s="317"/>
      <c r="AC199" s="317"/>
      <c r="AD199" s="317"/>
    </row>
    <row r="200" ht="20.25" customHeight="1">
      <c r="A200" s="317"/>
      <c r="B200" s="317"/>
      <c r="C200" s="317"/>
      <c r="D200" s="317"/>
      <c r="E200" s="317"/>
      <c r="F200" s="317"/>
      <c r="G200" s="317"/>
      <c r="H200" s="317"/>
      <c r="I200" s="317"/>
      <c r="J200" s="317"/>
      <c r="K200" s="317"/>
      <c r="L200" s="317"/>
      <c r="M200" s="317"/>
      <c r="N200" s="317"/>
      <c r="O200" s="317"/>
      <c r="P200" s="317"/>
      <c r="Q200" s="317"/>
      <c r="R200" s="317"/>
      <c r="S200" s="317"/>
      <c r="T200" s="317"/>
      <c r="U200" s="317"/>
      <c r="V200" s="317"/>
      <c r="W200" s="317"/>
      <c r="X200" s="317"/>
      <c r="Y200" s="317"/>
      <c r="Z200" s="317"/>
      <c r="AA200" s="317"/>
      <c r="AB200" s="317"/>
      <c r="AC200" s="317"/>
      <c r="AD200" s="317"/>
    </row>
    <row r="201" ht="20.25" customHeight="1">
      <c r="A201" s="317"/>
      <c r="B201" s="317"/>
      <c r="C201" s="317"/>
      <c r="D201" s="317"/>
      <c r="E201" s="317"/>
      <c r="F201" s="317"/>
      <c r="G201" s="317"/>
      <c r="H201" s="317"/>
      <c r="I201" s="317"/>
      <c r="J201" s="317"/>
      <c r="K201" s="317"/>
      <c r="L201" s="317"/>
      <c r="M201" s="317"/>
      <c r="N201" s="317"/>
      <c r="O201" s="317"/>
      <c r="P201" s="317"/>
      <c r="Q201" s="317"/>
      <c r="R201" s="317"/>
      <c r="S201" s="317"/>
      <c r="T201" s="317"/>
      <c r="U201" s="317"/>
      <c r="V201" s="317"/>
      <c r="W201" s="317"/>
      <c r="X201" s="317"/>
      <c r="Y201" s="317"/>
      <c r="Z201" s="317"/>
      <c r="AA201" s="317"/>
      <c r="AB201" s="317"/>
      <c r="AC201" s="317"/>
      <c r="AD201" s="317"/>
    </row>
    <row r="202" ht="20.25" customHeight="1">
      <c r="A202" s="317"/>
      <c r="B202" s="317"/>
      <c r="C202" s="317"/>
      <c r="D202" s="317"/>
      <c r="E202" s="317"/>
      <c r="F202" s="317"/>
      <c r="G202" s="317"/>
      <c r="H202" s="317"/>
      <c r="I202" s="317"/>
      <c r="J202" s="317"/>
      <c r="K202" s="317"/>
      <c r="L202" s="317"/>
      <c r="M202" s="317"/>
      <c r="N202" s="317"/>
      <c r="O202" s="317"/>
      <c r="P202" s="317"/>
      <c r="Q202" s="317"/>
      <c r="R202" s="317"/>
      <c r="S202" s="317"/>
      <c r="T202" s="317"/>
      <c r="U202" s="317"/>
      <c r="V202" s="317"/>
      <c r="W202" s="317"/>
      <c r="X202" s="317"/>
      <c r="Y202" s="317"/>
      <c r="Z202" s="317"/>
      <c r="AA202" s="317"/>
      <c r="AB202" s="317"/>
      <c r="AC202" s="317"/>
      <c r="AD202" s="317"/>
    </row>
    <row r="203" ht="20.25" customHeight="1">
      <c r="A203" s="317"/>
      <c r="B203" s="317"/>
      <c r="C203" s="317"/>
      <c r="D203" s="317"/>
      <c r="E203" s="317"/>
      <c r="F203" s="317"/>
      <c r="G203" s="317"/>
      <c r="H203" s="317"/>
      <c r="I203" s="317"/>
      <c r="J203" s="317"/>
      <c r="K203" s="317"/>
      <c r="L203" s="317"/>
      <c r="M203" s="317"/>
      <c r="N203" s="317"/>
      <c r="O203" s="317"/>
      <c r="P203" s="317"/>
      <c r="Q203" s="317"/>
      <c r="R203" s="317"/>
      <c r="S203" s="317"/>
      <c r="T203" s="317"/>
      <c r="U203" s="317"/>
      <c r="V203" s="317"/>
      <c r="W203" s="317"/>
      <c r="X203" s="317"/>
      <c r="Y203" s="317"/>
      <c r="Z203" s="317"/>
      <c r="AA203" s="317"/>
      <c r="AB203" s="317"/>
      <c r="AC203" s="317"/>
      <c r="AD203" s="317"/>
    </row>
    <row r="204" ht="20.25" customHeight="1">
      <c r="A204" s="317"/>
      <c r="B204" s="317"/>
      <c r="C204" s="317"/>
      <c r="D204" s="317"/>
      <c r="E204" s="317"/>
      <c r="F204" s="317"/>
      <c r="G204" s="317"/>
      <c r="H204" s="317"/>
      <c r="I204" s="317"/>
      <c r="J204" s="317"/>
      <c r="K204" s="317"/>
      <c r="L204" s="317"/>
      <c r="M204" s="317"/>
      <c r="N204" s="317"/>
      <c r="O204" s="317"/>
      <c r="P204" s="317"/>
      <c r="Q204" s="317"/>
      <c r="R204" s="317"/>
      <c r="S204" s="317"/>
      <c r="T204" s="317"/>
      <c r="U204" s="317"/>
      <c r="V204" s="317"/>
      <c r="W204" s="317"/>
      <c r="X204" s="317"/>
      <c r="Y204" s="317"/>
      <c r="Z204" s="317"/>
      <c r="AA204" s="317"/>
      <c r="AB204" s="317"/>
      <c r="AC204" s="317"/>
      <c r="AD204" s="317"/>
    </row>
    <row r="205" ht="20.25" customHeight="1">
      <c r="A205" s="317"/>
      <c r="B205" s="317"/>
      <c r="C205" s="317"/>
      <c r="D205" s="317"/>
      <c r="E205" s="317"/>
      <c r="F205" s="317"/>
      <c r="G205" s="317"/>
      <c r="H205" s="317"/>
      <c r="I205" s="317"/>
      <c r="J205" s="317"/>
      <c r="K205" s="317"/>
      <c r="L205" s="317"/>
      <c r="M205" s="317"/>
      <c r="N205" s="317"/>
      <c r="O205" s="317"/>
      <c r="P205" s="317"/>
      <c r="Q205" s="317"/>
      <c r="R205" s="317"/>
      <c r="S205" s="317"/>
      <c r="T205" s="317"/>
      <c r="U205" s="317"/>
      <c r="V205" s="317"/>
      <c r="W205" s="317"/>
      <c r="X205" s="317"/>
      <c r="Y205" s="317"/>
      <c r="Z205" s="317"/>
      <c r="AA205" s="317"/>
      <c r="AB205" s="317"/>
      <c r="AC205" s="317"/>
      <c r="AD205" s="317"/>
    </row>
    <row r="206" ht="20.25" customHeight="1">
      <c r="A206" s="317"/>
      <c r="B206" s="317"/>
      <c r="C206" s="317"/>
      <c r="D206" s="317"/>
      <c r="E206" s="317"/>
      <c r="F206" s="317"/>
      <c r="G206" s="317"/>
      <c r="H206" s="317"/>
      <c r="I206" s="317"/>
      <c r="J206" s="317"/>
      <c r="K206" s="317"/>
      <c r="L206" s="317"/>
      <c r="M206" s="317"/>
      <c r="N206" s="317"/>
      <c r="O206" s="317"/>
      <c r="P206" s="317"/>
      <c r="Q206" s="317"/>
      <c r="R206" s="317"/>
      <c r="S206" s="317"/>
      <c r="T206" s="317"/>
      <c r="U206" s="317"/>
      <c r="V206" s="317"/>
      <c r="W206" s="317"/>
      <c r="X206" s="317"/>
      <c r="Y206" s="317"/>
      <c r="Z206" s="317"/>
      <c r="AA206" s="317"/>
      <c r="AB206" s="317"/>
      <c r="AC206" s="317"/>
      <c r="AD206" s="317"/>
    </row>
    <row r="207" ht="20.25" customHeight="1">
      <c r="A207" s="317"/>
      <c r="B207" s="317"/>
      <c r="C207" s="317"/>
      <c r="D207" s="317"/>
      <c r="E207" s="317"/>
      <c r="F207" s="317"/>
      <c r="G207" s="317"/>
      <c r="H207" s="317"/>
      <c r="I207" s="317"/>
      <c r="J207" s="317"/>
      <c r="K207" s="317"/>
      <c r="L207" s="317"/>
      <c r="M207" s="317"/>
      <c r="N207" s="317"/>
      <c r="O207" s="317"/>
      <c r="P207" s="317"/>
      <c r="Q207" s="317"/>
      <c r="R207" s="317"/>
      <c r="S207" s="317"/>
      <c r="T207" s="317"/>
      <c r="U207" s="317"/>
      <c r="V207" s="317"/>
      <c r="W207" s="317"/>
      <c r="X207" s="317"/>
      <c r="Y207" s="317"/>
      <c r="Z207" s="317"/>
      <c r="AA207" s="317"/>
      <c r="AB207" s="317"/>
      <c r="AC207" s="317"/>
      <c r="AD207" s="317"/>
    </row>
    <row r="208" ht="20.25" customHeight="1">
      <c r="A208" s="317"/>
      <c r="B208" s="317"/>
      <c r="C208" s="317"/>
      <c r="D208" s="317"/>
      <c r="E208" s="317"/>
      <c r="F208" s="317"/>
      <c r="G208" s="317"/>
      <c r="H208" s="317"/>
      <c r="I208" s="317"/>
      <c r="J208" s="317"/>
      <c r="K208" s="317"/>
      <c r="L208" s="317"/>
      <c r="M208" s="317"/>
      <c r="N208" s="317"/>
      <c r="O208" s="317"/>
      <c r="P208" s="317"/>
      <c r="Q208" s="317"/>
      <c r="R208" s="317"/>
      <c r="S208" s="317"/>
      <c r="T208" s="317"/>
      <c r="U208" s="317"/>
      <c r="V208" s="317"/>
      <c r="W208" s="317"/>
      <c r="X208" s="317"/>
      <c r="Y208" s="317"/>
      <c r="Z208" s="317"/>
      <c r="AA208" s="317"/>
      <c r="AB208" s="317"/>
      <c r="AC208" s="317"/>
      <c r="AD208" s="317"/>
    </row>
    <row r="209" ht="20.25" customHeight="1">
      <c r="A209" s="317"/>
      <c r="B209" s="317"/>
      <c r="C209" s="317"/>
      <c r="D209" s="317"/>
      <c r="E209" s="317"/>
      <c r="F209" s="317"/>
      <c r="G209" s="317"/>
      <c r="H209" s="317"/>
      <c r="I209" s="317"/>
      <c r="J209" s="317"/>
      <c r="K209" s="317"/>
      <c r="L209" s="317"/>
      <c r="M209" s="317"/>
      <c r="N209" s="317"/>
      <c r="O209" s="317"/>
      <c r="P209" s="317"/>
      <c r="Q209" s="317"/>
      <c r="R209" s="317"/>
      <c r="S209" s="317"/>
      <c r="T209" s="317"/>
      <c r="U209" s="317"/>
      <c r="V209" s="317"/>
      <c r="W209" s="317"/>
      <c r="X209" s="317"/>
      <c r="Y209" s="317"/>
      <c r="Z209" s="317"/>
      <c r="AA209" s="317"/>
      <c r="AB209" s="317"/>
      <c r="AC209" s="317"/>
      <c r="AD209" s="317"/>
    </row>
    <row r="210" ht="20.25" customHeight="1">
      <c r="A210" s="317"/>
      <c r="B210" s="317"/>
      <c r="C210" s="317"/>
      <c r="D210" s="317"/>
      <c r="E210" s="317"/>
      <c r="F210" s="317"/>
      <c r="G210" s="317"/>
      <c r="H210" s="317"/>
      <c r="I210" s="317"/>
      <c r="J210" s="317"/>
      <c r="K210" s="317"/>
      <c r="L210" s="317"/>
      <c r="M210" s="317"/>
      <c r="N210" s="317"/>
      <c r="O210" s="317"/>
      <c r="P210" s="317"/>
      <c r="Q210" s="317"/>
      <c r="R210" s="317"/>
      <c r="S210" s="317"/>
      <c r="T210" s="317"/>
      <c r="U210" s="317"/>
      <c r="V210" s="317"/>
      <c r="W210" s="317"/>
      <c r="X210" s="317"/>
      <c r="Y210" s="317"/>
      <c r="Z210" s="317"/>
      <c r="AA210" s="317"/>
      <c r="AB210" s="317"/>
      <c r="AC210" s="317"/>
      <c r="AD210" s="317"/>
    </row>
    <row r="211" ht="20.25" customHeight="1">
      <c r="A211" s="317"/>
      <c r="B211" s="317"/>
      <c r="C211" s="317"/>
      <c r="D211" s="317"/>
      <c r="E211" s="317"/>
      <c r="F211" s="317"/>
      <c r="G211" s="317"/>
      <c r="H211" s="317"/>
      <c r="I211" s="317"/>
      <c r="J211" s="317"/>
      <c r="K211" s="317"/>
      <c r="L211" s="317"/>
      <c r="M211" s="317"/>
      <c r="N211" s="317"/>
      <c r="O211" s="317"/>
      <c r="P211" s="317"/>
      <c r="Q211" s="317"/>
      <c r="R211" s="317"/>
      <c r="S211" s="317"/>
      <c r="T211" s="317"/>
      <c r="U211" s="317"/>
      <c r="V211" s="317"/>
      <c r="W211" s="317"/>
      <c r="X211" s="317"/>
      <c r="Y211" s="317"/>
      <c r="Z211" s="317"/>
      <c r="AA211" s="317"/>
      <c r="AB211" s="317"/>
      <c r="AC211" s="317"/>
      <c r="AD211" s="317"/>
    </row>
    <row r="212" ht="20.25" customHeight="1">
      <c r="A212" s="317"/>
      <c r="B212" s="317"/>
      <c r="C212" s="317"/>
      <c r="D212" s="317"/>
      <c r="E212" s="317"/>
      <c r="F212" s="317"/>
      <c r="G212" s="317"/>
      <c r="H212" s="317"/>
      <c r="I212" s="317"/>
      <c r="J212" s="317"/>
      <c r="K212" s="317"/>
      <c r="L212" s="317"/>
      <c r="M212" s="317"/>
      <c r="N212" s="317"/>
      <c r="O212" s="317"/>
      <c r="P212" s="317"/>
      <c r="Q212" s="317"/>
      <c r="R212" s="317"/>
      <c r="S212" s="317"/>
      <c r="T212" s="317"/>
      <c r="U212" s="317"/>
      <c r="V212" s="317"/>
      <c r="W212" s="317"/>
      <c r="X212" s="317"/>
      <c r="Y212" s="317"/>
      <c r="Z212" s="317"/>
      <c r="AA212" s="317"/>
      <c r="AB212" s="317"/>
      <c r="AC212" s="317"/>
      <c r="AD212" s="317"/>
    </row>
    <row r="213" ht="20.25" customHeight="1">
      <c r="A213" s="317"/>
      <c r="B213" s="317"/>
      <c r="C213" s="317"/>
      <c r="D213" s="317"/>
      <c r="E213" s="317"/>
      <c r="F213" s="317"/>
      <c r="G213" s="317"/>
      <c r="H213" s="317"/>
      <c r="I213" s="317"/>
      <c r="J213" s="317"/>
      <c r="K213" s="317"/>
      <c r="L213" s="317"/>
      <c r="M213" s="317"/>
      <c r="N213" s="317"/>
      <c r="O213" s="317"/>
      <c r="P213" s="317"/>
      <c r="Q213" s="317"/>
      <c r="R213" s="317"/>
      <c r="S213" s="317"/>
      <c r="T213" s="317"/>
      <c r="U213" s="317"/>
      <c r="V213" s="317"/>
      <c r="W213" s="317"/>
      <c r="X213" s="317"/>
      <c r="Y213" s="317"/>
      <c r="Z213" s="317"/>
      <c r="AA213" s="317"/>
      <c r="AB213" s="317"/>
      <c r="AC213" s="317"/>
      <c r="AD213" s="317"/>
    </row>
    <row r="214" ht="20.25" customHeight="1">
      <c r="A214" s="317"/>
      <c r="B214" s="317"/>
      <c r="C214" s="317"/>
      <c r="D214" s="317"/>
      <c r="E214" s="317"/>
      <c r="F214" s="317"/>
      <c r="G214" s="317"/>
      <c r="H214" s="317"/>
      <c r="I214" s="317"/>
      <c r="J214" s="317"/>
      <c r="K214" s="317"/>
      <c r="L214" s="317"/>
      <c r="M214" s="317"/>
      <c r="N214" s="317"/>
      <c r="O214" s="317"/>
      <c r="P214" s="317"/>
      <c r="Q214" s="317"/>
      <c r="R214" s="317"/>
      <c r="S214" s="317"/>
      <c r="T214" s="317"/>
      <c r="U214" s="317"/>
      <c r="V214" s="317"/>
      <c r="W214" s="317"/>
      <c r="X214" s="317"/>
      <c r="Y214" s="317"/>
      <c r="Z214" s="317"/>
      <c r="AA214" s="317"/>
      <c r="AB214" s="317"/>
      <c r="AC214" s="317"/>
      <c r="AD214" s="317"/>
    </row>
    <row r="215" ht="20.25" customHeight="1">
      <c r="A215" s="317"/>
      <c r="B215" s="317"/>
      <c r="C215" s="317"/>
      <c r="D215" s="317"/>
      <c r="E215" s="317"/>
      <c r="F215" s="317"/>
      <c r="G215" s="317"/>
      <c r="H215" s="317"/>
      <c r="I215" s="317"/>
      <c r="J215" s="317"/>
      <c r="K215" s="317"/>
      <c r="L215" s="317"/>
      <c r="M215" s="317"/>
      <c r="N215" s="317"/>
      <c r="O215" s="317"/>
      <c r="P215" s="317"/>
      <c r="Q215" s="317"/>
      <c r="R215" s="317"/>
      <c r="S215" s="317"/>
      <c r="T215" s="317"/>
      <c r="U215" s="317"/>
      <c r="V215" s="317"/>
      <c r="W215" s="317"/>
      <c r="X215" s="317"/>
      <c r="Y215" s="317"/>
      <c r="Z215" s="317"/>
      <c r="AA215" s="317"/>
      <c r="AB215" s="317"/>
      <c r="AC215" s="317"/>
      <c r="AD215" s="317"/>
    </row>
    <row r="216" ht="20.25" customHeight="1">
      <c r="A216" s="317"/>
      <c r="B216" s="317"/>
      <c r="C216" s="317"/>
      <c r="D216" s="317"/>
      <c r="E216" s="317"/>
      <c r="F216" s="317"/>
      <c r="G216" s="317"/>
      <c r="H216" s="317"/>
      <c r="I216" s="317"/>
      <c r="J216" s="317"/>
      <c r="K216" s="317"/>
      <c r="L216" s="317"/>
      <c r="M216" s="317"/>
      <c r="N216" s="317"/>
      <c r="O216" s="317"/>
      <c r="P216" s="317"/>
      <c r="Q216" s="317"/>
      <c r="R216" s="317"/>
      <c r="S216" s="317"/>
      <c r="T216" s="317"/>
      <c r="U216" s="317"/>
      <c r="V216" s="317"/>
      <c r="W216" s="317"/>
      <c r="X216" s="317"/>
      <c r="Y216" s="317"/>
      <c r="Z216" s="317"/>
      <c r="AA216" s="317"/>
      <c r="AB216" s="317"/>
      <c r="AC216" s="317"/>
      <c r="AD216" s="317"/>
    </row>
    <row r="217" ht="20.25" customHeight="1">
      <c r="A217" s="317"/>
      <c r="B217" s="317"/>
      <c r="C217" s="317"/>
      <c r="D217" s="317"/>
      <c r="E217" s="317"/>
      <c r="F217" s="317"/>
      <c r="G217" s="317"/>
      <c r="H217" s="317"/>
      <c r="I217" s="317"/>
      <c r="J217" s="317"/>
      <c r="K217" s="317"/>
      <c r="L217" s="317"/>
      <c r="M217" s="317"/>
      <c r="N217" s="317"/>
      <c r="O217" s="317"/>
      <c r="P217" s="317"/>
      <c r="Q217" s="317"/>
      <c r="R217" s="317"/>
      <c r="S217" s="317"/>
      <c r="T217" s="317"/>
      <c r="U217" s="317"/>
      <c r="V217" s="317"/>
      <c r="W217" s="317"/>
      <c r="X217" s="317"/>
      <c r="Y217" s="317"/>
      <c r="Z217" s="317"/>
      <c r="AA217" s="317"/>
      <c r="AB217" s="317"/>
      <c r="AC217" s="317"/>
      <c r="AD217" s="317"/>
    </row>
    <row r="218" ht="20.25" customHeight="1">
      <c r="A218" s="317"/>
      <c r="B218" s="317"/>
      <c r="C218" s="317"/>
      <c r="D218" s="317"/>
      <c r="E218" s="317"/>
      <c r="F218" s="317"/>
      <c r="G218" s="317"/>
      <c r="H218" s="317"/>
      <c r="I218" s="317"/>
      <c r="J218" s="317"/>
      <c r="K218" s="317"/>
      <c r="L218" s="317"/>
      <c r="M218" s="317"/>
      <c r="N218" s="317"/>
      <c r="O218" s="317"/>
      <c r="P218" s="317"/>
      <c r="Q218" s="317"/>
      <c r="R218" s="317"/>
      <c r="S218" s="317"/>
      <c r="T218" s="317"/>
      <c r="U218" s="317"/>
      <c r="V218" s="317"/>
      <c r="W218" s="317"/>
      <c r="X218" s="317"/>
      <c r="Y218" s="317"/>
      <c r="Z218" s="317"/>
      <c r="AA218" s="317"/>
      <c r="AB218" s="317"/>
      <c r="AC218" s="317"/>
      <c r="AD218" s="317"/>
    </row>
    <row r="219" ht="20.25" customHeight="1">
      <c r="A219" s="317"/>
      <c r="B219" s="317"/>
      <c r="C219" s="317"/>
      <c r="D219" s="317"/>
      <c r="E219" s="317"/>
      <c r="F219" s="317"/>
      <c r="G219" s="317"/>
      <c r="H219" s="317"/>
      <c r="I219" s="317"/>
      <c r="J219" s="317"/>
      <c r="K219" s="317"/>
      <c r="L219" s="317"/>
      <c r="M219" s="317"/>
      <c r="N219" s="317"/>
      <c r="O219" s="317"/>
      <c r="P219" s="317"/>
      <c r="Q219" s="317"/>
      <c r="R219" s="317"/>
      <c r="S219" s="317"/>
      <c r="T219" s="317"/>
      <c r="U219" s="317"/>
      <c r="V219" s="317"/>
      <c r="W219" s="317"/>
      <c r="X219" s="317"/>
      <c r="Y219" s="317"/>
      <c r="Z219" s="317"/>
      <c r="AA219" s="317"/>
      <c r="AB219" s="317"/>
      <c r="AC219" s="317"/>
      <c r="AD219" s="317"/>
    </row>
    <row r="220" ht="20.25" customHeight="1">
      <c r="A220" s="317"/>
      <c r="B220" s="317"/>
      <c r="C220" s="317"/>
      <c r="D220" s="317"/>
      <c r="E220" s="317"/>
      <c r="F220" s="317"/>
      <c r="G220" s="317"/>
      <c r="H220" s="317"/>
      <c r="I220" s="317"/>
      <c r="J220" s="317"/>
      <c r="K220" s="317"/>
      <c r="L220" s="317"/>
      <c r="M220" s="317"/>
      <c r="N220" s="317"/>
      <c r="O220" s="317"/>
      <c r="P220" s="317"/>
      <c r="Q220" s="317"/>
      <c r="R220" s="317"/>
      <c r="S220" s="317"/>
      <c r="T220" s="317"/>
      <c r="U220" s="317"/>
      <c r="V220" s="317"/>
      <c r="W220" s="317"/>
      <c r="X220" s="317"/>
      <c r="Y220" s="317"/>
      <c r="Z220" s="317"/>
      <c r="AA220" s="317"/>
      <c r="AB220" s="317"/>
      <c r="AC220" s="317"/>
      <c r="AD220" s="317"/>
    </row>
    <row r="221" ht="20.25" customHeight="1">
      <c r="A221" s="317"/>
      <c r="B221" s="317"/>
      <c r="C221" s="317"/>
      <c r="D221" s="317"/>
      <c r="E221" s="317"/>
      <c r="F221" s="317"/>
      <c r="G221" s="317"/>
      <c r="H221" s="317"/>
      <c r="I221" s="317"/>
      <c r="J221" s="317"/>
      <c r="K221" s="317"/>
      <c r="L221" s="317"/>
      <c r="M221" s="317"/>
      <c r="N221" s="317"/>
      <c r="O221" s="317"/>
      <c r="P221" s="317"/>
      <c r="Q221" s="317"/>
      <c r="R221" s="317"/>
      <c r="S221" s="317"/>
      <c r="T221" s="317"/>
      <c r="U221" s="317"/>
      <c r="V221" s="317"/>
      <c r="W221" s="317"/>
      <c r="X221" s="317"/>
      <c r="Y221" s="317"/>
      <c r="Z221" s="317"/>
      <c r="AA221" s="317"/>
      <c r="AB221" s="317"/>
      <c r="AC221" s="317"/>
      <c r="AD221" s="317"/>
    </row>
    <row r="222" ht="20.25" customHeight="1">
      <c r="A222" s="317"/>
      <c r="B222" s="317"/>
      <c r="C222" s="317"/>
      <c r="D222" s="317"/>
      <c r="E222" s="317"/>
      <c r="F222" s="317"/>
      <c r="G222" s="317"/>
      <c r="H222" s="317"/>
      <c r="I222" s="317"/>
      <c r="J222" s="317"/>
      <c r="K222" s="317"/>
      <c r="L222" s="317"/>
      <c r="M222" s="317"/>
      <c r="N222" s="317"/>
      <c r="O222" s="317"/>
      <c r="P222" s="317"/>
      <c r="Q222" s="317"/>
      <c r="R222" s="317"/>
      <c r="S222" s="317"/>
      <c r="T222" s="317"/>
      <c r="U222" s="317"/>
      <c r="V222" s="317"/>
      <c r="W222" s="317"/>
      <c r="X222" s="317"/>
      <c r="Y222" s="317"/>
      <c r="Z222" s="317"/>
      <c r="AA222" s="317"/>
      <c r="AB222" s="317"/>
      <c r="AC222" s="317"/>
      <c r="AD222" s="317"/>
    </row>
    <row r="223" ht="20.25" customHeight="1">
      <c r="A223" s="317"/>
      <c r="B223" s="317"/>
      <c r="C223" s="317"/>
      <c r="D223" s="317"/>
      <c r="E223" s="317"/>
      <c r="F223" s="317"/>
      <c r="G223" s="317"/>
      <c r="H223" s="317"/>
      <c r="I223" s="317"/>
      <c r="J223" s="317"/>
      <c r="K223" s="317"/>
      <c r="L223" s="317"/>
      <c r="M223" s="317"/>
      <c r="N223" s="317"/>
      <c r="O223" s="317"/>
      <c r="P223" s="317"/>
      <c r="Q223" s="317"/>
      <c r="R223" s="317"/>
      <c r="S223" s="317"/>
      <c r="T223" s="317"/>
      <c r="U223" s="317"/>
      <c r="V223" s="317"/>
      <c r="W223" s="317"/>
      <c r="X223" s="317"/>
      <c r="Y223" s="317"/>
      <c r="Z223" s="317"/>
      <c r="AA223" s="317"/>
      <c r="AB223" s="317"/>
      <c r="AC223" s="317"/>
      <c r="AD223" s="317"/>
    </row>
    <row r="224" ht="20.25" customHeight="1">
      <c r="A224" s="317"/>
      <c r="B224" s="317"/>
      <c r="C224" s="317"/>
      <c r="D224" s="317"/>
      <c r="E224" s="317"/>
      <c r="F224" s="317"/>
      <c r="G224" s="317"/>
      <c r="H224" s="317"/>
      <c r="I224" s="317"/>
      <c r="J224" s="317"/>
      <c r="K224" s="317"/>
      <c r="L224" s="317"/>
      <c r="M224" s="317"/>
      <c r="N224" s="317"/>
      <c r="O224" s="317"/>
      <c r="P224" s="317"/>
      <c r="Q224" s="317"/>
      <c r="R224" s="317"/>
      <c r="S224" s="317"/>
      <c r="T224" s="317"/>
      <c r="U224" s="317"/>
      <c r="V224" s="317"/>
      <c r="W224" s="317"/>
      <c r="X224" s="317"/>
      <c r="Y224" s="317"/>
      <c r="Z224" s="317"/>
      <c r="AA224" s="317"/>
      <c r="AB224" s="317"/>
      <c r="AC224" s="317"/>
      <c r="AD224" s="317"/>
    </row>
    <row r="225" ht="20.25" customHeight="1">
      <c r="A225" s="317"/>
      <c r="B225" s="317"/>
      <c r="C225" s="317"/>
      <c r="D225" s="317"/>
      <c r="E225" s="317"/>
      <c r="F225" s="317"/>
      <c r="G225" s="317"/>
      <c r="H225" s="317"/>
      <c r="I225" s="317"/>
      <c r="J225" s="317"/>
      <c r="K225" s="317"/>
      <c r="L225" s="317"/>
      <c r="M225" s="317"/>
      <c r="N225" s="317"/>
      <c r="O225" s="317"/>
      <c r="P225" s="317"/>
      <c r="Q225" s="317"/>
      <c r="R225" s="317"/>
      <c r="S225" s="317"/>
      <c r="T225" s="317"/>
      <c r="U225" s="317"/>
      <c r="V225" s="317"/>
      <c r="W225" s="317"/>
      <c r="X225" s="317"/>
      <c r="Y225" s="317"/>
      <c r="Z225" s="317"/>
      <c r="AA225" s="317"/>
      <c r="AB225" s="317"/>
      <c r="AC225" s="317"/>
      <c r="AD225" s="317"/>
    </row>
    <row r="226" ht="20.25" customHeight="1">
      <c r="A226" s="317"/>
      <c r="B226" s="317"/>
      <c r="C226" s="317"/>
      <c r="D226" s="317"/>
      <c r="E226" s="317"/>
      <c r="F226" s="317"/>
      <c r="G226" s="317"/>
      <c r="H226" s="317"/>
      <c r="I226" s="317"/>
      <c r="J226" s="317"/>
      <c r="K226" s="317"/>
      <c r="L226" s="317"/>
      <c r="M226" s="317"/>
      <c r="N226" s="317"/>
      <c r="O226" s="317"/>
      <c r="P226" s="317"/>
      <c r="Q226" s="317"/>
      <c r="R226" s="317"/>
      <c r="S226" s="317"/>
      <c r="T226" s="317"/>
      <c r="U226" s="317"/>
      <c r="V226" s="317"/>
      <c r="W226" s="317"/>
      <c r="X226" s="317"/>
      <c r="Y226" s="317"/>
      <c r="Z226" s="317"/>
      <c r="AA226" s="317"/>
      <c r="AB226" s="317"/>
      <c r="AC226" s="317"/>
      <c r="AD226" s="317"/>
    </row>
    <row r="227" ht="20.25" customHeight="1">
      <c r="A227" s="317"/>
      <c r="B227" s="317"/>
      <c r="C227" s="317"/>
      <c r="D227" s="317"/>
      <c r="E227" s="317"/>
      <c r="F227" s="317"/>
      <c r="G227" s="317"/>
      <c r="H227" s="317"/>
      <c r="I227" s="317"/>
      <c r="J227" s="317"/>
      <c r="K227" s="317"/>
      <c r="L227" s="317"/>
      <c r="M227" s="317"/>
      <c r="N227" s="317"/>
      <c r="O227" s="317"/>
      <c r="P227" s="317"/>
      <c r="Q227" s="317"/>
      <c r="R227" s="317"/>
      <c r="S227" s="317"/>
      <c r="T227" s="317"/>
      <c r="U227" s="317"/>
      <c r="V227" s="317"/>
      <c r="W227" s="317"/>
      <c r="X227" s="317"/>
      <c r="Y227" s="317"/>
      <c r="Z227" s="317"/>
      <c r="AA227" s="317"/>
      <c r="AB227" s="317"/>
      <c r="AC227" s="317"/>
      <c r="AD227" s="317"/>
    </row>
    <row r="228" ht="20.25" customHeight="1">
      <c r="A228" s="317"/>
      <c r="B228" s="317"/>
      <c r="C228" s="317"/>
      <c r="D228" s="317"/>
      <c r="E228" s="317"/>
      <c r="F228" s="317"/>
      <c r="G228" s="317"/>
      <c r="H228" s="317"/>
      <c r="I228" s="317"/>
      <c r="J228" s="317"/>
      <c r="K228" s="317"/>
      <c r="L228" s="317"/>
      <c r="M228" s="317"/>
      <c r="N228" s="317"/>
      <c r="O228" s="317"/>
      <c r="P228" s="317"/>
      <c r="Q228" s="317"/>
      <c r="R228" s="317"/>
      <c r="S228" s="317"/>
      <c r="T228" s="317"/>
      <c r="U228" s="317"/>
      <c r="V228" s="317"/>
      <c r="W228" s="317"/>
      <c r="X228" s="317"/>
      <c r="Y228" s="317"/>
      <c r="Z228" s="317"/>
      <c r="AA228" s="317"/>
      <c r="AB228" s="317"/>
      <c r="AC228" s="317"/>
      <c r="AD228" s="317"/>
    </row>
    <row r="229" ht="20.25" customHeight="1">
      <c r="A229" s="317"/>
      <c r="B229" s="317"/>
      <c r="C229" s="317"/>
      <c r="D229" s="317"/>
      <c r="E229" s="317"/>
      <c r="F229" s="317"/>
      <c r="G229" s="317"/>
      <c r="H229" s="317"/>
      <c r="I229" s="317"/>
      <c r="J229" s="317"/>
      <c r="K229" s="317"/>
      <c r="L229" s="317"/>
      <c r="M229" s="317"/>
      <c r="N229" s="317"/>
      <c r="O229" s="317"/>
      <c r="P229" s="317"/>
      <c r="Q229" s="317"/>
      <c r="R229" s="317"/>
      <c r="S229" s="317"/>
      <c r="T229" s="317"/>
      <c r="U229" s="317"/>
      <c r="V229" s="317"/>
      <c r="W229" s="317"/>
      <c r="X229" s="317"/>
      <c r="Y229" s="317"/>
      <c r="Z229" s="317"/>
      <c r="AA229" s="317"/>
      <c r="AB229" s="317"/>
      <c r="AC229" s="317"/>
      <c r="AD229" s="317"/>
    </row>
    <row r="230" ht="20.25" customHeight="1">
      <c r="A230" s="317"/>
      <c r="B230" s="317"/>
      <c r="C230" s="317"/>
      <c r="D230" s="317"/>
      <c r="E230" s="317"/>
      <c r="F230" s="317"/>
      <c r="G230" s="317"/>
      <c r="H230" s="317"/>
      <c r="I230" s="317"/>
      <c r="J230" s="317"/>
      <c r="K230" s="317"/>
      <c r="L230" s="317"/>
      <c r="M230" s="317"/>
      <c r="N230" s="317"/>
      <c r="O230" s="317"/>
      <c r="P230" s="317"/>
      <c r="Q230" s="317"/>
      <c r="R230" s="317"/>
      <c r="S230" s="317"/>
      <c r="T230" s="317"/>
      <c r="U230" s="317"/>
      <c r="V230" s="317"/>
      <c r="W230" s="317"/>
      <c r="X230" s="317"/>
      <c r="Y230" s="317"/>
      <c r="Z230" s="317"/>
      <c r="AA230" s="317"/>
      <c r="AB230" s="317"/>
      <c r="AC230" s="317"/>
      <c r="AD230" s="317"/>
    </row>
    <row r="231" ht="20.25" customHeight="1">
      <c r="A231" s="317"/>
      <c r="B231" s="317"/>
      <c r="C231" s="317"/>
      <c r="D231" s="317"/>
      <c r="E231" s="317"/>
      <c r="F231" s="317"/>
      <c r="G231" s="317"/>
      <c r="H231" s="317"/>
      <c r="I231" s="317"/>
      <c r="J231" s="317"/>
      <c r="K231" s="317"/>
      <c r="L231" s="317"/>
      <c r="M231" s="317"/>
      <c r="N231" s="317"/>
      <c r="O231" s="317"/>
      <c r="P231" s="317"/>
      <c r="Q231" s="317"/>
      <c r="R231" s="317"/>
      <c r="S231" s="317"/>
      <c r="T231" s="317"/>
      <c r="U231" s="317"/>
      <c r="V231" s="317"/>
      <c r="W231" s="317"/>
      <c r="X231" s="317"/>
      <c r="Y231" s="317"/>
      <c r="Z231" s="317"/>
      <c r="AA231" s="317"/>
      <c r="AB231" s="317"/>
      <c r="AC231" s="317"/>
      <c r="AD231" s="317"/>
    </row>
    <row r="232" ht="20.25" customHeight="1">
      <c r="A232" s="317"/>
      <c r="B232" s="317"/>
      <c r="C232" s="317"/>
      <c r="D232" s="317"/>
      <c r="E232" s="317"/>
      <c r="F232" s="317"/>
      <c r="G232" s="317"/>
      <c r="H232" s="317"/>
      <c r="I232" s="317"/>
      <c r="J232" s="317"/>
      <c r="K232" s="317"/>
      <c r="L232" s="317"/>
      <c r="M232" s="317"/>
      <c r="N232" s="317"/>
      <c r="O232" s="317"/>
      <c r="P232" s="317"/>
      <c r="Q232" s="317"/>
      <c r="R232" s="317"/>
      <c r="S232" s="317"/>
      <c r="T232" s="317"/>
      <c r="U232" s="317"/>
      <c r="V232" s="317"/>
      <c r="W232" s="317"/>
      <c r="X232" s="317"/>
      <c r="Y232" s="317"/>
      <c r="Z232" s="317"/>
      <c r="AA232" s="317"/>
      <c r="AB232" s="317"/>
      <c r="AC232" s="317"/>
      <c r="AD232" s="317"/>
    </row>
    <row r="233" ht="20.25" customHeight="1">
      <c r="A233" s="317"/>
      <c r="B233" s="317"/>
      <c r="C233" s="317"/>
      <c r="D233" s="317"/>
      <c r="E233" s="317"/>
      <c r="F233" s="317"/>
      <c r="G233" s="317"/>
      <c r="H233" s="317"/>
      <c r="I233" s="317"/>
      <c r="J233" s="317"/>
      <c r="K233" s="317"/>
      <c r="L233" s="317"/>
      <c r="M233" s="317"/>
      <c r="N233" s="317"/>
      <c r="O233" s="317"/>
      <c r="P233" s="317"/>
      <c r="Q233" s="317"/>
      <c r="R233" s="317"/>
      <c r="S233" s="317"/>
      <c r="T233" s="317"/>
      <c r="U233" s="317"/>
      <c r="V233" s="317"/>
      <c r="W233" s="317"/>
      <c r="X233" s="317"/>
      <c r="Y233" s="317"/>
      <c r="Z233" s="317"/>
      <c r="AA233" s="317"/>
      <c r="AB233" s="317"/>
      <c r="AC233" s="317"/>
      <c r="AD233" s="317"/>
    </row>
    <row r="234" ht="20.25" customHeight="1">
      <c r="A234" s="317"/>
      <c r="B234" s="317"/>
      <c r="C234" s="317"/>
      <c r="D234" s="317"/>
      <c r="E234" s="317"/>
      <c r="F234" s="317"/>
      <c r="G234" s="317"/>
      <c r="H234" s="317"/>
      <c r="I234" s="317"/>
      <c r="J234" s="317"/>
      <c r="K234" s="317"/>
      <c r="L234" s="317"/>
      <c r="M234" s="317"/>
      <c r="N234" s="317"/>
      <c r="O234" s="317"/>
      <c r="P234" s="317"/>
      <c r="Q234" s="317"/>
      <c r="R234" s="317"/>
      <c r="S234" s="317"/>
      <c r="T234" s="317"/>
      <c r="U234" s="317"/>
      <c r="V234" s="317"/>
      <c r="W234" s="317"/>
      <c r="X234" s="317"/>
      <c r="Y234" s="317"/>
      <c r="Z234" s="317"/>
      <c r="AA234" s="317"/>
      <c r="AB234" s="317"/>
      <c r="AC234" s="317"/>
      <c r="AD234" s="317"/>
    </row>
    <row r="235" ht="20.25" customHeight="1">
      <c r="A235" s="317"/>
      <c r="B235" s="317"/>
      <c r="C235" s="317"/>
      <c r="D235" s="317"/>
      <c r="E235" s="317"/>
      <c r="F235" s="317"/>
      <c r="G235" s="317"/>
      <c r="H235" s="317"/>
      <c r="I235" s="317"/>
      <c r="J235" s="317"/>
      <c r="K235" s="317"/>
      <c r="L235" s="317"/>
      <c r="M235" s="317"/>
      <c r="N235" s="317"/>
      <c r="O235" s="317"/>
      <c r="P235" s="317"/>
      <c r="Q235" s="317"/>
      <c r="R235" s="317"/>
      <c r="S235" s="317"/>
      <c r="T235" s="317"/>
      <c r="U235" s="317"/>
      <c r="V235" s="317"/>
      <c r="W235" s="317"/>
      <c r="X235" s="317"/>
      <c r="Y235" s="317"/>
      <c r="Z235" s="317"/>
      <c r="AA235" s="317"/>
      <c r="AB235" s="317"/>
      <c r="AC235" s="317"/>
      <c r="AD235" s="317"/>
    </row>
    <row r="236" ht="20.25" customHeight="1">
      <c r="A236" s="317"/>
      <c r="B236" s="317"/>
      <c r="C236" s="317"/>
      <c r="D236" s="317"/>
      <c r="E236" s="317"/>
      <c r="F236" s="317"/>
      <c r="G236" s="317"/>
      <c r="H236" s="317"/>
      <c r="I236" s="317"/>
      <c r="J236" s="317"/>
      <c r="K236" s="317"/>
      <c r="L236" s="317"/>
      <c r="M236" s="317"/>
      <c r="N236" s="317"/>
      <c r="O236" s="317"/>
      <c r="P236" s="317"/>
      <c r="Q236" s="317"/>
      <c r="R236" s="317"/>
      <c r="S236" s="317"/>
      <c r="T236" s="317"/>
      <c r="U236" s="317"/>
      <c r="V236" s="317"/>
      <c r="W236" s="317"/>
      <c r="X236" s="317"/>
      <c r="Y236" s="317"/>
      <c r="Z236" s="317"/>
      <c r="AA236" s="317"/>
      <c r="AB236" s="317"/>
      <c r="AC236" s="317"/>
      <c r="AD236" s="317"/>
    </row>
    <row r="237" ht="20.25" customHeight="1">
      <c r="A237" s="317"/>
      <c r="B237" s="317"/>
      <c r="C237" s="317"/>
      <c r="D237" s="317"/>
      <c r="E237" s="317"/>
      <c r="F237" s="317"/>
      <c r="G237" s="317"/>
      <c r="H237" s="317"/>
      <c r="I237" s="317"/>
      <c r="J237" s="317"/>
      <c r="K237" s="317"/>
      <c r="L237" s="317"/>
      <c r="M237" s="317"/>
      <c r="N237" s="317"/>
      <c r="O237" s="317"/>
      <c r="P237" s="317"/>
      <c r="Q237" s="317"/>
      <c r="R237" s="317"/>
      <c r="S237" s="317"/>
      <c r="T237" s="317"/>
      <c r="U237" s="317"/>
      <c r="V237" s="317"/>
      <c r="W237" s="317"/>
      <c r="X237" s="317"/>
      <c r="Y237" s="317"/>
      <c r="Z237" s="317"/>
      <c r="AA237" s="317"/>
      <c r="AB237" s="317"/>
      <c r="AC237" s="317"/>
      <c r="AD237" s="317"/>
    </row>
    <row r="238" ht="20.25" customHeight="1">
      <c r="A238" s="317"/>
      <c r="B238" s="317"/>
      <c r="C238" s="317"/>
      <c r="D238" s="317"/>
      <c r="E238" s="317"/>
      <c r="F238" s="317"/>
      <c r="G238" s="317"/>
      <c r="H238" s="317"/>
      <c r="I238" s="317"/>
      <c r="J238" s="317"/>
      <c r="K238" s="317"/>
      <c r="L238" s="317"/>
      <c r="M238" s="317"/>
      <c r="N238" s="317"/>
      <c r="O238" s="317"/>
      <c r="P238" s="317"/>
      <c r="Q238" s="317"/>
      <c r="R238" s="317"/>
      <c r="S238" s="317"/>
      <c r="T238" s="317"/>
      <c r="U238" s="317"/>
      <c r="V238" s="317"/>
      <c r="W238" s="317"/>
      <c r="X238" s="317"/>
      <c r="Y238" s="317"/>
      <c r="Z238" s="317"/>
      <c r="AA238" s="317"/>
      <c r="AB238" s="317"/>
      <c r="AC238" s="317"/>
      <c r="AD238" s="317"/>
    </row>
    <row r="239" ht="20.25" customHeight="1">
      <c r="A239" s="317"/>
      <c r="B239" s="317"/>
      <c r="C239" s="317"/>
      <c r="D239" s="317"/>
      <c r="E239" s="317"/>
      <c r="F239" s="317"/>
      <c r="G239" s="317"/>
      <c r="H239" s="317"/>
      <c r="I239" s="317"/>
      <c r="J239" s="317"/>
      <c r="K239" s="317"/>
      <c r="L239" s="317"/>
      <c r="M239" s="317"/>
      <c r="N239" s="317"/>
      <c r="O239" s="317"/>
      <c r="P239" s="317"/>
      <c r="Q239" s="317"/>
      <c r="R239" s="317"/>
      <c r="S239" s="317"/>
      <c r="T239" s="317"/>
      <c r="U239" s="317"/>
      <c r="V239" s="317"/>
      <c r="W239" s="317"/>
      <c r="X239" s="317"/>
      <c r="Y239" s="317"/>
      <c r="Z239" s="317"/>
      <c r="AA239" s="317"/>
      <c r="AB239" s="317"/>
      <c r="AC239" s="317"/>
      <c r="AD239" s="317"/>
    </row>
    <row r="240" ht="20.25" customHeight="1">
      <c r="A240" s="317"/>
      <c r="B240" s="317"/>
      <c r="C240" s="317"/>
      <c r="D240" s="317"/>
      <c r="E240" s="317"/>
      <c r="F240" s="317"/>
      <c r="G240" s="317"/>
      <c r="H240" s="317"/>
      <c r="I240" s="317"/>
      <c r="J240" s="317"/>
      <c r="K240" s="317"/>
      <c r="L240" s="317"/>
      <c r="M240" s="317"/>
      <c r="N240" s="317"/>
      <c r="O240" s="317"/>
      <c r="P240" s="317"/>
      <c r="Q240" s="317"/>
      <c r="R240" s="317"/>
      <c r="S240" s="317"/>
      <c r="T240" s="317"/>
      <c r="U240" s="317"/>
      <c r="V240" s="317"/>
      <c r="W240" s="317"/>
      <c r="X240" s="317"/>
      <c r="Y240" s="317"/>
      <c r="Z240" s="317"/>
      <c r="AA240" s="317"/>
      <c r="AB240" s="317"/>
      <c r="AC240" s="317"/>
      <c r="AD240" s="317"/>
    </row>
    <row r="241" ht="20.25" customHeight="1">
      <c r="A241" s="317"/>
      <c r="B241" s="317"/>
      <c r="C241" s="317"/>
      <c r="D241" s="317"/>
      <c r="E241" s="317"/>
      <c r="F241" s="317"/>
      <c r="G241" s="317"/>
      <c r="H241" s="317"/>
      <c r="I241" s="317"/>
      <c r="J241" s="317"/>
      <c r="K241" s="317"/>
      <c r="L241" s="317"/>
      <c r="M241" s="317"/>
      <c r="N241" s="317"/>
      <c r="O241" s="317"/>
      <c r="P241" s="317"/>
      <c r="Q241" s="317"/>
      <c r="R241" s="317"/>
      <c r="S241" s="317"/>
      <c r="T241" s="317"/>
      <c r="U241" s="317"/>
      <c r="V241" s="317"/>
      <c r="W241" s="317"/>
      <c r="X241" s="317"/>
      <c r="Y241" s="317"/>
      <c r="Z241" s="317"/>
      <c r="AA241" s="317"/>
      <c r="AB241" s="317"/>
      <c r="AC241" s="317"/>
      <c r="AD241" s="317"/>
    </row>
    <row r="242" ht="20.25" customHeight="1">
      <c r="A242" s="317"/>
      <c r="B242" s="317"/>
      <c r="C242" s="317"/>
      <c r="D242" s="317"/>
      <c r="E242" s="317"/>
      <c r="F242" s="317"/>
      <c r="G242" s="317"/>
      <c r="H242" s="317"/>
      <c r="I242" s="317"/>
      <c r="J242" s="317"/>
      <c r="K242" s="317"/>
      <c r="L242" s="317"/>
      <c r="M242" s="317"/>
      <c r="N242" s="317"/>
      <c r="O242" s="317"/>
      <c r="P242" s="317"/>
      <c r="Q242" s="317"/>
      <c r="R242" s="317"/>
      <c r="S242" s="317"/>
      <c r="T242" s="317"/>
      <c r="U242" s="317"/>
      <c r="V242" s="317"/>
      <c r="W242" s="317"/>
      <c r="X242" s="317"/>
      <c r="Y242" s="317"/>
      <c r="Z242" s="317"/>
      <c r="AA242" s="317"/>
      <c r="AB242" s="317"/>
      <c r="AC242" s="317"/>
      <c r="AD242" s="317"/>
    </row>
    <row r="243" ht="20.25" customHeight="1">
      <c r="A243" s="317"/>
      <c r="B243" s="317"/>
      <c r="C243" s="317"/>
      <c r="D243" s="317"/>
      <c r="E243" s="317"/>
      <c r="F243" s="317"/>
      <c r="G243" s="317"/>
      <c r="H243" s="317"/>
      <c r="I243" s="317"/>
      <c r="J243" s="317"/>
      <c r="K243" s="317"/>
      <c r="L243" s="317"/>
      <c r="M243" s="317"/>
      <c r="N243" s="317"/>
      <c r="O243" s="317"/>
      <c r="P243" s="317"/>
      <c r="Q243" s="317"/>
      <c r="R243" s="317"/>
      <c r="S243" s="317"/>
      <c r="T243" s="317"/>
      <c r="U243" s="317"/>
      <c r="V243" s="317"/>
      <c r="W243" s="317"/>
      <c r="X243" s="317"/>
      <c r="Y243" s="317"/>
      <c r="Z243" s="317"/>
      <c r="AA243" s="317"/>
      <c r="AB243" s="317"/>
      <c r="AC243" s="317"/>
      <c r="AD243" s="317"/>
    </row>
    <row r="244" ht="20.25" customHeight="1">
      <c r="A244" s="317"/>
      <c r="B244" s="317"/>
      <c r="C244" s="317"/>
      <c r="D244" s="317"/>
      <c r="E244" s="317"/>
      <c r="F244" s="317"/>
      <c r="G244" s="317"/>
      <c r="H244" s="317"/>
      <c r="I244" s="317"/>
      <c r="J244" s="317"/>
      <c r="K244" s="317"/>
      <c r="L244" s="317"/>
      <c r="M244" s="317"/>
      <c r="N244" s="317"/>
      <c r="O244" s="317"/>
      <c r="P244" s="317"/>
      <c r="Q244" s="317"/>
      <c r="R244" s="317"/>
      <c r="S244" s="317"/>
      <c r="T244" s="317"/>
      <c r="U244" s="317"/>
      <c r="V244" s="317"/>
      <c r="W244" s="317"/>
      <c r="X244" s="317"/>
      <c r="Y244" s="317"/>
      <c r="Z244" s="317"/>
      <c r="AA244" s="317"/>
      <c r="AB244" s="317"/>
      <c r="AC244" s="317"/>
      <c r="AD244" s="317"/>
    </row>
    <row r="245" ht="20.25" customHeight="1">
      <c r="A245" s="317"/>
      <c r="B245" s="317"/>
      <c r="C245" s="317"/>
      <c r="D245" s="317"/>
      <c r="E245" s="317"/>
      <c r="F245" s="317"/>
      <c r="G245" s="317"/>
      <c r="H245" s="317"/>
      <c r="I245" s="317"/>
      <c r="J245" s="317"/>
      <c r="K245" s="317"/>
      <c r="L245" s="317"/>
      <c r="M245" s="317"/>
      <c r="N245" s="317"/>
      <c r="O245" s="317"/>
      <c r="P245" s="317"/>
      <c r="Q245" s="317"/>
      <c r="R245" s="317"/>
      <c r="S245" s="317"/>
      <c r="T245" s="317"/>
      <c r="U245" s="317"/>
      <c r="V245" s="317"/>
      <c r="W245" s="317"/>
      <c r="X245" s="317"/>
      <c r="Y245" s="317"/>
      <c r="Z245" s="317"/>
      <c r="AA245" s="317"/>
      <c r="AB245" s="317"/>
      <c r="AC245" s="317"/>
      <c r="AD245" s="317"/>
    </row>
    <row r="246" ht="20.25" customHeight="1">
      <c r="A246" s="317"/>
      <c r="B246" s="317"/>
      <c r="C246" s="317"/>
      <c r="D246" s="317"/>
      <c r="E246" s="317"/>
      <c r="F246" s="317"/>
      <c r="G246" s="317"/>
      <c r="H246" s="317"/>
      <c r="I246" s="317"/>
      <c r="J246" s="317"/>
      <c r="K246" s="317"/>
      <c r="L246" s="317"/>
      <c r="M246" s="317"/>
      <c r="N246" s="317"/>
      <c r="O246" s="317"/>
      <c r="P246" s="317"/>
      <c r="Q246" s="317"/>
      <c r="R246" s="317"/>
      <c r="S246" s="317"/>
      <c r="T246" s="317"/>
      <c r="U246" s="317"/>
      <c r="V246" s="317"/>
      <c r="W246" s="317"/>
      <c r="X246" s="317"/>
      <c r="Y246" s="317"/>
      <c r="Z246" s="317"/>
      <c r="AA246" s="317"/>
      <c r="AB246" s="317"/>
      <c r="AC246" s="317"/>
      <c r="AD246" s="317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62" t="s">
        <v>53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317"/>
      <c r="AA1" s="317"/>
      <c r="AB1" s="317"/>
      <c r="AC1" s="317"/>
      <c r="AD1" s="317"/>
    </row>
    <row r="2" ht="20.25" customHeight="1">
      <c r="A2" s="317"/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  <c r="AD2" s="317"/>
    </row>
    <row r="3" ht="20.25" customHeight="1">
      <c r="A3" s="362" t="s">
        <v>238</v>
      </c>
      <c r="B3" s="317"/>
      <c r="C3" s="317"/>
      <c r="D3" s="317"/>
      <c r="E3" s="317"/>
      <c r="F3" s="317"/>
      <c r="G3" s="317"/>
      <c r="H3" s="317"/>
      <c r="I3" s="317"/>
      <c r="J3" s="317"/>
      <c r="K3" s="317"/>
      <c r="L3" s="317"/>
      <c r="M3" s="317"/>
      <c r="N3" s="317"/>
      <c r="O3" s="317"/>
      <c r="P3" s="317"/>
      <c r="Q3" s="317"/>
      <c r="R3" s="317"/>
      <c r="S3" s="317"/>
      <c r="T3" s="317"/>
      <c r="U3" s="317"/>
      <c r="V3" s="317"/>
      <c r="W3" s="317"/>
      <c r="X3" s="317"/>
      <c r="Y3" s="317"/>
      <c r="Z3" s="317"/>
      <c r="AA3" s="317"/>
      <c r="AB3" s="317"/>
      <c r="AC3" s="317"/>
      <c r="AD3" s="317"/>
    </row>
    <row r="4" ht="20.25" customHeight="1">
      <c r="A4" s="317"/>
      <c r="B4" s="317"/>
      <c r="C4" s="317"/>
      <c r="D4" s="317"/>
      <c r="E4" s="317"/>
      <c r="F4" s="317"/>
      <c r="G4" s="317"/>
      <c r="H4" s="327"/>
      <c r="I4" s="327"/>
      <c r="J4" s="327"/>
      <c r="K4" s="327"/>
      <c r="L4" s="327"/>
      <c r="M4" s="327"/>
      <c r="N4" s="317"/>
      <c r="O4" s="317"/>
      <c r="P4" s="317"/>
      <c r="Q4" s="317"/>
      <c r="R4" s="317"/>
      <c r="S4" s="317"/>
      <c r="T4" s="317"/>
      <c r="U4" s="317"/>
      <c r="V4" s="317"/>
      <c r="W4" s="317"/>
      <c r="X4" s="317"/>
      <c r="Y4" s="317"/>
      <c r="Z4" s="317"/>
      <c r="AA4" s="317"/>
      <c r="AB4" s="317"/>
      <c r="AC4" s="317"/>
      <c r="AD4" s="317"/>
    </row>
    <row r="5" ht="20.25" customHeight="1">
      <c r="A5" s="362" t="s">
        <v>239</v>
      </c>
      <c r="B5" s="388" t="s">
        <v>260</v>
      </c>
      <c r="C5" s="317"/>
      <c r="D5" s="317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7"/>
      <c r="AC5" s="317"/>
      <c r="AD5" s="317"/>
    </row>
    <row r="6" ht="21.0" customHeight="1">
      <c r="A6" s="317"/>
      <c r="B6" s="317"/>
      <c r="C6" s="317"/>
      <c r="D6" s="317"/>
      <c r="E6" s="317"/>
      <c r="F6" s="317"/>
      <c r="G6" s="317"/>
      <c r="H6" s="317"/>
      <c r="I6" s="365"/>
      <c r="J6" s="317"/>
      <c r="K6" s="317"/>
      <c r="L6" s="317"/>
      <c r="M6" s="317"/>
      <c r="N6" s="317"/>
      <c r="O6" s="317"/>
      <c r="P6" s="317"/>
      <c r="Q6" s="317"/>
      <c r="R6" s="317"/>
      <c r="S6" s="317"/>
      <c r="T6" s="317"/>
      <c r="U6" s="317"/>
      <c r="V6" s="317"/>
      <c r="W6" s="317"/>
      <c r="X6" s="317"/>
      <c r="Y6" s="317"/>
      <c r="Z6" s="317"/>
      <c r="AA6" s="317"/>
      <c r="AB6" s="317"/>
      <c r="AC6" s="317"/>
      <c r="AD6" s="317"/>
    </row>
    <row r="7" ht="41.25" customHeight="1">
      <c r="A7" s="323" t="s">
        <v>241</v>
      </c>
      <c r="B7" s="450" t="s">
        <v>242</v>
      </c>
      <c r="C7" s="324" t="s">
        <v>243</v>
      </c>
      <c r="D7" s="324" t="s">
        <v>244</v>
      </c>
      <c r="E7" s="324" t="s">
        <v>245</v>
      </c>
      <c r="F7" s="324" t="s">
        <v>246</v>
      </c>
      <c r="G7" s="325" t="s">
        <v>247</v>
      </c>
      <c r="H7" s="480" t="s">
        <v>12</v>
      </c>
      <c r="I7" s="451" t="s">
        <v>265</v>
      </c>
      <c r="J7" s="481" t="s">
        <v>262</v>
      </c>
      <c r="K7" s="317"/>
      <c r="L7" s="317"/>
      <c r="M7" s="317"/>
      <c r="N7" s="317"/>
      <c r="O7" s="317"/>
      <c r="P7" s="317"/>
      <c r="Q7" s="317"/>
      <c r="R7" s="317"/>
      <c r="S7" s="317"/>
      <c r="T7" s="317"/>
      <c r="U7" s="317"/>
      <c r="V7" s="317"/>
      <c r="W7" s="317"/>
      <c r="X7" s="317"/>
      <c r="Y7" s="317"/>
      <c r="Z7" s="317"/>
      <c r="AA7" s="317"/>
      <c r="AB7" s="317"/>
      <c r="AC7" s="317"/>
      <c r="AD7" s="317"/>
    </row>
    <row r="8" ht="22.5" customHeight="1">
      <c r="A8" s="453" t="str">
        <f>+SUMMARY!#REF!</f>
        <v>#ERROR!</v>
      </c>
      <c r="B8" s="454" t="str">
        <f>+SUMMARY!#REF!</f>
        <v>#ERROR!</v>
      </c>
      <c r="C8" s="454" t="str">
        <f>+SUMMARY!#REF!</f>
        <v>#ERROR!</v>
      </c>
      <c r="D8" s="454" t="str">
        <f>+SUMMARY!#REF!</f>
        <v>#ERROR!</v>
      </c>
      <c r="E8" s="454" t="str">
        <f>+SUMMARY!#REF!</f>
        <v>#ERROR!</v>
      </c>
      <c r="F8" s="454" t="str">
        <f>+SUMMARY!#REF!</f>
        <v>#ERROR!</v>
      </c>
      <c r="G8" s="454" t="str">
        <f>+SUMMARY!#REF!</f>
        <v>#ERROR!</v>
      </c>
      <c r="H8" s="482" t="str">
        <f>+SUMMARY!#REF!</f>
        <v>#ERROR!</v>
      </c>
      <c r="I8" s="483" t="str">
        <f t="shared" ref="I8:I38" si="1">F8/B8</f>
        <v>#ERROR!</v>
      </c>
      <c r="J8" s="457"/>
      <c r="K8" s="317"/>
      <c r="L8" s="317"/>
      <c r="M8" s="317"/>
      <c r="N8" s="317"/>
      <c r="O8" s="317"/>
      <c r="P8" s="317"/>
      <c r="Q8" s="317"/>
      <c r="R8" s="317"/>
      <c r="S8" s="317"/>
      <c r="T8" s="317"/>
      <c r="U8" s="317"/>
      <c r="V8" s="317"/>
      <c r="W8" s="317"/>
      <c r="X8" s="317"/>
      <c r="Y8" s="317"/>
      <c r="Z8" s="317"/>
      <c r="AA8" s="317"/>
      <c r="AB8" s="317"/>
      <c r="AC8" s="317"/>
      <c r="AD8" s="317"/>
    </row>
    <row r="9" ht="22.5" customHeight="1">
      <c r="A9" s="453">
        <f>+SUMMARY!A7</f>
        <v>44347</v>
      </c>
      <c r="B9" s="454">
        <f>+SUMMARY!B7</f>
        <v>35101.17942</v>
      </c>
      <c r="C9" s="454">
        <f>+SUMMARY!C7</f>
        <v>30871.37738</v>
      </c>
      <c r="D9" s="454">
        <f>+SUMMARY!D7</f>
        <v>0</v>
      </c>
      <c r="E9" s="454">
        <f>+SUMMARY!E7</f>
        <v>386.4</v>
      </c>
      <c r="F9" s="454">
        <f>+SUMMARY!F7</f>
        <v>978.8658672</v>
      </c>
      <c r="G9" s="454">
        <f>+SUMMARY!G7</f>
        <v>2864.536171</v>
      </c>
      <c r="H9" s="482" t="str">
        <f>+SUMMARY!H7</f>
        <v/>
      </c>
      <c r="I9" s="483">
        <f t="shared" si="1"/>
        <v>0.02788697939</v>
      </c>
      <c r="J9" s="457"/>
      <c r="K9" s="317"/>
      <c r="L9" s="317"/>
      <c r="M9" s="317"/>
      <c r="N9" s="317"/>
      <c r="O9" s="317"/>
      <c r="P9" s="317"/>
      <c r="Q9" s="317"/>
      <c r="R9" s="317"/>
      <c r="S9" s="317"/>
      <c r="T9" s="317"/>
      <c r="U9" s="317"/>
      <c r="V9" s="317"/>
      <c r="W9" s="317"/>
      <c r="X9" s="317"/>
      <c r="Y9" s="317"/>
      <c r="Z9" s="317"/>
      <c r="AA9" s="317"/>
      <c r="AB9" s="317"/>
      <c r="AC9" s="317"/>
      <c r="AD9" s="317"/>
    </row>
    <row r="10" ht="22.5" customHeight="1">
      <c r="A10" s="453">
        <f>+SUMMARY!A8</f>
        <v>44348</v>
      </c>
      <c r="B10" s="454">
        <f>+SUMMARY!B8</f>
        <v>38490.38187</v>
      </c>
      <c r="C10" s="454">
        <f>+SUMMARY!C8</f>
        <v>33457.34203</v>
      </c>
      <c r="D10" s="454">
        <f>+SUMMARY!D8</f>
        <v>0</v>
      </c>
      <c r="E10" s="454">
        <f>+SUMMARY!E8</f>
        <v>262.2</v>
      </c>
      <c r="F10" s="454">
        <f>+SUMMARY!F8</f>
        <v>1602.669801</v>
      </c>
      <c r="G10" s="454">
        <f>+SUMMARY!G8</f>
        <v>3168.170037</v>
      </c>
      <c r="H10" s="482" t="str">
        <f>+SUMMARY!H8</f>
        <v/>
      </c>
      <c r="I10" s="483">
        <f t="shared" si="1"/>
        <v>0.04163818917</v>
      </c>
      <c r="J10" s="45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7"/>
      <c r="AC10" s="317"/>
      <c r="AD10" s="317"/>
    </row>
    <row r="11" ht="22.5" customHeight="1">
      <c r="A11" s="453">
        <f>+SUMMARY!A9</f>
        <v>44349</v>
      </c>
      <c r="B11" s="454">
        <f>+SUMMARY!B9</f>
        <v>30280.04234</v>
      </c>
      <c r="C11" s="454">
        <f>+SUMMARY!C9</f>
        <v>25828.82484</v>
      </c>
      <c r="D11" s="454">
        <f>+SUMMARY!D9</f>
        <v>0</v>
      </c>
      <c r="E11" s="454">
        <f>+SUMMARY!E9</f>
        <v>439.8</v>
      </c>
      <c r="F11" s="454">
        <f>+SUMMARY!F9</f>
        <v>1600.438909</v>
      </c>
      <c r="G11" s="454">
        <f>+SUMMARY!G9</f>
        <v>2410.978593</v>
      </c>
      <c r="H11" s="482" t="str">
        <f>+SUMMARY!H9</f>
        <v/>
      </c>
      <c r="I11" s="483">
        <f t="shared" si="1"/>
        <v>0.05285457964</v>
      </c>
      <c r="J11" s="45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</row>
    <row r="12" ht="22.5" customHeight="1">
      <c r="A12" s="453">
        <f>+SUMMARY!A10</f>
        <v>44350</v>
      </c>
      <c r="B12" s="454">
        <f>+SUMMARY!B10</f>
        <v>29841.9022</v>
      </c>
      <c r="C12" s="454">
        <f>+SUMMARY!C10</f>
        <v>25638.02627</v>
      </c>
      <c r="D12" s="454">
        <f>+SUMMARY!D10</f>
        <v>0</v>
      </c>
      <c r="E12" s="454">
        <f>+SUMMARY!E10</f>
        <v>263.4</v>
      </c>
      <c r="F12" s="454">
        <f>+SUMMARY!F10</f>
        <v>1458.972407</v>
      </c>
      <c r="G12" s="454">
        <f>+SUMMARY!G10</f>
        <v>2481.50352</v>
      </c>
      <c r="H12" s="482" t="str">
        <f>+SUMMARY!H10</f>
        <v/>
      </c>
      <c r="I12" s="483">
        <f t="shared" si="1"/>
        <v>0.0488900606</v>
      </c>
      <c r="J12" s="457"/>
      <c r="K12" s="317"/>
      <c r="L12" s="317"/>
      <c r="M12" s="317"/>
      <c r="N12" s="317"/>
      <c r="O12" s="317"/>
      <c r="P12" s="317"/>
      <c r="Q12" s="317"/>
      <c r="R12" s="317"/>
      <c r="S12" s="317"/>
      <c r="T12" s="317"/>
      <c r="U12" s="317"/>
      <c r="V12" s="317"/>
      <c r="W12" s="317"/>
      <c r="X12" s="317"/>
      <c r="Y12" s="317"/>
      <c r="Z12" s="317"/>
      <c r="AA12" s="317"/>
      <c r="AB12" s="317"/>
      <c r="AC12" s="317"/>
      <c r="AD12" s="317"/>
    </row>
    <row r="13" ht="22.5" customHeight="1">
      <c r="A13" s="453">
        <f>+SUMMARY!A11</f>
        <v>44351</v>
      </c>
      <c r="B13" s="454">
        <f>+SUMMARY!B11</f>
        <v>39240.68417</v>
      </c>
      <c r="C13" s="454">
        <f>+SUMMARY!C11</f>
        <v>34617.7333</v>
      </c>
      <c r="D13" s="454">
        <f>+SUMMARY!D11</f>
        <v>0</v>
      </c>
      <c r="E13" s="454">
        <f>+SUMMARY!E11</f>
        <v>244.2</v>
      </c>
      <c r="F13" s="454">
        <f>+SUMMARY!F11</f>
        <v>1036.614712</v>
      </c>
      <c r="G13" s="454">
        <f>+SUMMARY!G11</f>
        <v>3342.136162</v>
      </c>
      <c r="H13" s="482" t="str">
        <f>+SUMMARY!H11</f>
        <v/>
      </c>
      <c r="I13" s="483">
        <f t="shared" si="1"/>
        <v>0.02641683585</v>
      </c>
      <c r="J13" s="457"/>
      <c r="K13" s="484"/>
      <c r="L13" s="484"/>
      <c r="M13" s="484"/>
      <c r="N13" s="484"/>
      <c r="O13" s="484"/>
      <c r="P13" s="484"/>
      <c r="Q13" s="484"/>
      <c r="R13" s="484"/>
      <c r="S13" s="484"/>
      <c r="T13" s="484"/>
      <c r="U13" s="484"/>
      <c r="V13" s="484"/>
      <c r="W13" s="484"/>
      <c r="X13" s="484"/>
      <c r="Y13" s="484"/>
      <c r="Z13" s="484"/>
      <c r="AA13" s="484"/>
      <c r="AB13" s="484"/>
      <c r="AC13" s="484"/>
      <c r="AD13" s="484"/>
    </row>
    <row r="14" ht="24.0" customHeight="1">
      <c r="A14" s="453">
        <f>+SUMMARY!A12</f>
        <v>44352</v>
      </c>
      <c r="B14" s="454">
        <f>+SUMMARY!B12</f>
        <v>27833.71302</v>
      </c>
      <c r="C14" s="454">
        <f>+SUMMARY!C12</f>
        <v>24459.03206</v>
      </c>
      <c r="D14" s="454">
        <f>+SUMMARY!D12</f>
        <v>0</v>
      </c>
      <c r="E14" s="454">
        <f>+SUMMARY!E12</f>
        <v>203.4</v>
      </c>
      <c r="F14" s="454">
        <f>+SUMMARY!F12</f>
        <v>719.0384146</v>
      </c>
      <c r="G14" s="454">
        <f>+SUMMARY!G12</f>
        <v>2452.242544</v>
      </c>
      <c r="H14" s="482" t="str">
        <f>+SUMMARY!H12</f>
        <v/>
      </c>
      <c r="I14" s="483">
        <f t="shared" si="1"/>
        <v>0.02583336309</v>
      </c>
      <c r="J14" s="457"/>
      <c r="K14" s="317"/>
      <c r="L14" s="317"/>
      <c r="M14" s="317"/>
      <c r="N14" s="317"/>
      <c r="O14" s="317"/>
      <c r="P14" s="317"/>
      <c r="Q14" s="317"/>
      <c r="R14" s="317"/>
      <c r="S14" s="317"/>
      <c r="T14" s="317"/>
      <c r="U14" s="317"/>
      <c r="V14" s="317"/>
      <c r="W14" s="317"/>
      <c r="X14" s="317"/>
      <c r="Y14" s="317"/>
      <c r="Z14" s="317"/>
      <c r="AA14" s="317"/>
      <c r="AB14" s="317"/>
      <c r="AC14" s="317"/>
      <c r="AD14" s="317"/>
    </row>
    <row r="15" ht="24.0" customHeight="1">
      <c r="A15" s="453">
        <f>+SUMMARY!A13</f>
        <v>44354</v>
      </c>
      <c r="B15" s="454">
        <f>+SUMMARY!B13</f>
        <v>18590.1386</v>
      </c>
      <c r="C15" s="454">
        <f>+SUMMARY!C13</f>
        <v>16757.86863</v>
      </c>
      <c r="D15" s="454">
        <f>+SUMMARY!D13</f>
        <v>0</v>
      </c>
      <c r="E15" s="454">
        <f>+SUMMARY!E13</f>
        <v>162.6</v>
      </c>
      <c r="F15" s="454">
        <f>+SUMMARY!F13</f>
        <v>274.2402776</v>
      </c>
      <c r="G15" s="454">
        <f>+SUMMARY!G13</f>
        <v>1395.429697</v>
      </c>
      <c r="H15" s="482" t="str">
        <f>+SUMMARY!H13</f>
        <v>#REF!</v>
      </c>
      <c r="I15" s="483">
        <f t="shared" si="1"/>
        <v>0.01475192216</v>
      </c>
      <c r="J15" s="457"/>
      <c r="K15" s="317"/>
      <c r="L15" s="317"/>
      <c r="M15" s="317"/>
      <c r="N15" s="317"/>
      <c r="O15" s="317"/>
      <c r="P15" s="317"/>
      <c r="Q15" s="317"/>
      <c r="R15" s="317"/>
      <c r="S15" s="317"/>
      <c r="T15" s="317"/>
      <c r="U15" s="317"/>
      <c r="V15" s="317"/>
      <c r="W15" s="317"/>
      <c r="X15" s="317"/>
      <c r="Y15" s="317"/>
      <c r="Z15" s="317"/>
      <c r="AA15" s="317"/>
      <c r="AB15" s="317"/>
      <c r="AC15" s="317"/>
      <c r="AD15" s="317"/>
    </row>
    <row r="16" ht="24.0" customHeight="1">
      <c r="A16" s="453">
        <f>+SUMMARY!A14</f>
        <v>44355</v>
      </c>
      <c r="B16" s="454">
        <f>+SUMMARY!B14</f>
        <v>26302.63816</v>
      </c>
      <c r="C16" s="454">
        <f>+SUMMARY!C14</f>
        <v>22499.51073</v>
      </c>
      <c r="D16" s="454">
        <f>+SUMMARY!D14</f>
        <v>0</v>
      </c>
      <c r="E16" s="454">
        <f>+SUMMARY!E14</f>
        <v>328.8</v>
      </c>
      <c r="F16" s="454">
        <f>+SUMMARY!F14</f>
        <v>985.5691144</v>
      </c>
      <c r="G16" s="454">
        <f>+SUMMARY!G14</f>
        <v>2488.758319</v>
      </c>
      <c r="H16" s="482" t="str">
        <f>+SUMMARY!H14</f>
        <v/>
      </c>
      <c r="I16" s="483">
        <f t="shared" si="1"/>
        <v>0.03747035215</v>
      </c>
      <c r="J16" s="457"/>
      <c r="K16" s="317"/>
      <c r="L16" s="317"/>
      <c r="M16" s="317"/>
      <c r="N16" s="317"/>
      <c r="O16" s="317"/>
      <c r="P16" s="317"/>
      <c r="Q16" s="317"/>
      <c r="R16" s="317"/>
      <c r="S16" s="317"/>
      <c r="T16" s="317"/>
      <c r="U16" s="317"/>
      <c r="V16" s="317"/>
      <c r="W16" s="317"/>
      <c r="X16" s="317"/>
      <c r="Y16" s="317"/>
      <c r="Z16" s="317"/>
      <c r="AA16" s="317"/>
      <c r="AB16" s="317"/>
      <c r="AC16" s="317"/>
      <c r="AD16" s="317"/>
    </row>
    <row r="17" ht="24.0" customHeight="1">
      <c r="A17" s="453">
        <f>+SUMMARY!A15</f>
        <v>44356</v>
      </c>
      <c r="B17" s="454">
        <f>+SUMMARY!B15</f>
        <v>26364.55411</v>
      </c>
      <c r="C17" s="454">
        <f>+SUMMARY!C15</f>
        <v>23918.85103</v>
      </c>
      <c r="D17" s="454">
        <f>+SUMMARY!D15</f>
        <v>0</v>
      </c>
      <c r="E17" s="454">
        <f>+SUMMARY!E15</f>
        <v>152.4</v>
      </c>
      <c r="F17" s="454">
        <f>+SUMMARY!F15</f>
        <v>837.3042642</v>
      </c>
      <c r="G17" s="454">
        <f>+SUMMARY!G15</f>
        <v>1455.998822</v>
      </c>
      <c r="H17" s="482" t="str">
        <f>+SUMMARY!H15</f>
        <v/>
      </c>
      <c r="I17" s="483">
        <f t="shared" si="1"/>
        <v>0.03175871136</v>
      </c>
      <c r="J17" s="457"/>
      <c r="K17" s="317"/>
      <c r="L17" s="317"/>
      <c r="M17" s="317"/>
      <c r="N17" s="317"/>
      <c r="O17" s="317"/>
      <c r="P17" s="317"/>
      <c r="Q17" s="317"/>
      <c r="R17" s="317"/>
      <c r="S17" s="317"/>
      <c r="T17" s="317"/>
      <c r="U17" s="317"/>
      <c r="V17" s="317"/>
      <c r="W17" s="317"/>
      <c r="X17" s="317"/>
      <c r="Y17" s="317"/>
      <c r="Z17" s="317"/>
      <c r="AA17" s="317"/>
      <c r="AB17" s="317"/>
      <c r="AC17" s="317"/>
      <c r="AD17" s="317"/>
    </row>
    <row r="18" ht="24.0" customHeight="1">
      <c r="A18" s="453">
        <f>+SUMMARY!A16</f>
        <v>44357</v>
      </c>
      <c r="B18" s="454">
        <f>+SUMMARY!B16</f>
        <v>33020.12586</v>
      </c>
      <c r="C18" s="454">
        <f>+SUMMARY!C16</f>
        <v>28880.98186</v>
      </c>
      <c r="D18" s="454">
        <f>+SUMMARY!D16</f>
        <v>0</v>
      </c>
      <c r="E18" s="454">
        <f>+SUMMARY!E16</f>
        <v>238.2</v>
      </c>
      <c r="F18" s="454">
        <f>+SUMMARY!F16</f>
        <v>1208.084291</v>
      </c>
      <c r="G18" s="454">
        <f>+SUMMARY!G16</f>
        <v>2692.859711</v>
      </c>
      <c r="H18" s="482" t="str">
        <f>+SUMMARY!H16</f>
        <v/>
      </c>
      <c r="I18" s="483">
        <f t="shared" si="1"/>
        <v>0.03658630181</v>
      </c>
      <c r="J18" s="457"/>
      <c r="K18" s="317"/>
      <c r="L18" s="317"/>
      <c r="M18" s="317"/>
      <c r="N18" s="317"/>
      <c r="O18" s="317"/>
      <c r="P18" s="317"/>
      <c r="Q18" s="317"/>
      <c r="R18" s="317"/>
      <c r="S18" s="317"/>
      <c r="T18" s="317"/>
      <c r="U18" s="317"/>
      <c r="V18" s="317"/>
      <c r="W18" s="317"/>
      <c r="X18" s="317"/>
      <c r="Y18" s="317"/>
      <c r="Z18" s="317"/>
      <c r="AA18" s="317"/>
      <c r="AB18" s="317"/>
      <c r="AC18" s="317"/>
      <c r="AD18" s="317"/>
    </row>
    <row r="19" ht="24.0" customHeight="1">
      <c r="A19" s="453">
        <f>+SUMMARY!A17</f>
        <v>44358</v>
      </c>
      <c r="B19" s="454">
        <f>+SUMMARY!B17</f>
        <v>14859.99189</v>
      </c>
      <c r="C19" s="454">
        <f>+SUMMARY!C17</f>
        <v>12707.00091</v>
      </c>
      <c r="D19" s="454">
        <f>+SUMMARY!D17</f>
        <v>0</v>
      </c>
      <c r="E19" s="454">
        <f>+SUMMARY!E17</f>
        <v>138.6</v>
      </c>
      <c r="F19" s="454">
        <f>+SUMMARY!F17</f>
        <v>786.2242803</v>
      </c>
      <c r="G19" s="454">
        <f>+SUMMARY!G17</f>
        <v>1228.166692</v>
      </c>
      <c r="H19" s="482" t="str">
        <f>+SUMMARY!H17</f>
        <v/>
      </c>
      <c r="I19" s="483">
        <f t="shared" si="1"/>
        <v>0.05290879607</v>
      </c>
      <c r="J19" s="457"/>
      <c r="K19" s="317"/>
      <c r="L19" s="317"/>
      <c r="M19" s="317"/>
      <c r="N19" s="317"/>
      <c r="O19" s="317"/>
      <c r="P19" s="317"/>
      <c r="Q19" s="317"/>
      <c r="R19" s="317"/>
      <c r="S19" s="317"/>
      <c r="T19" s="317"/>
      <c r="U19" s="317"/>
      <c r="V19" s="317"/>
      <c r="W19" s="317"/>
      <c r="X19" s="317"/>
      <c r="Y19" s="317"/>
      <c r="Z19" s="317"/>
      <c r="AA19" s="317"/>
      <c r="AB19" s="317"/>
      <c r="AC19" s="317"/>
      <c r="AD19" s="317"/>
    </row>
    <row r="20" ht="24.0" customHeight="1">
      <c r="A20" s="453">
        <f>+SUMMARY!A18</f>
        <v>44359</v>
      </c>
      <c r="B20" s="454">
        <f>+SUMMARY!B18</f>
        <v>18324.71731</v>
      </c>
      <c r="C20" s="454">
        <f>+SUMMARY!C18</f>
        <v>15995.98773</v>
      </c>
      <c r="D20" s="454">
        <f>+SUMMARY!D18</f>
        <v>0</v>
      </c>
      <c r="E20" s="454">
        <f>+SUMMARY!E18</f>
        <v>203.4</v>
      </c>
      <c r="F20" s="454">
        <f>+SUMMARY!F18</f>
        <v>558.7497036</v>
      </c>
      <c r="G20" s="454">
        <f>+SUMMARY!G18</f>
        <v>1566.57988</v>
      </c>
      <c r="H20" s="482" t="str">
        <f>+SUMMARY!H18</f>
        <v/>
      </c>
      <c r="I20" s="483">
        <f t="shared" si="1"/>
        <v>0.03049158653</v>
      </c>
      <c r="J20" s="457"/>
      <c r="K20" s="317"/>
      <c r="L20" s="317"/>
      <c r="M20" s="317"/>
      <c r="N20" s="317"/>
      <c r="O20" s="317"/>
      <c r="P20" s="317"/>
      <c r="Q20" s="317"/>
      <c r="R20" s="317"/>
      <c r="S20" s="317"/>
      <c r="T20" s="317"/>
      <c r="U20" s="317"/>
      <c r="V20" s="317"/>
      <c r="W20" s="317"/>
      <c r="X20" s="317"/>
      <c r="Y20" s="317"/>
      <c r="Z20" s="317"/>
      <c r="AA20" s="317"/>
      <c r="AB20" s="317"/>
      <c r="AC20" s="317"/>
      <c r="AD20" s="317"/>
    </row>
    <row r="21" ht="24.0" customHeight="1">
      <c r="A21" s="453">
        <f>+SUMMARY!A19</f>
        <v>44361</v>
      </c>
      <c r="B21" s="454">
        <f>+SUMMARY!B19</f>
        <v>23482.246</v>
      </c>
      <c r="C21" s="454">
        <f>+SUMMARY!C19</f>
        <v>22008.36222</v>
      </c>
      <c r="D21" s="454">
        <f>+SUMMARY!D19</f>
        <v>0</v>
      </c>
      <c r="E21" s="454">
        <f>+SUMMARY!E19</f>
        <v>88.8</v>
      </c>
      <c r="F21" s="454">
        <f>+SUMMARY!F19</f>
        <v>566.4113804</v>
      </c>
      <c r="G21" s="454">
        <f>+SUMMARY!G19</f>
        <v>818.6724032</v>
      </c>
      <c r="H21" s="482" t="str">
        <f>+SUMMARY!H19</f>
        <v/>
      </c>
      <c r="I21" s="483">
        <f t="shared" si="1"/>
        <v>0.02412083497</v>
      </c>
      <c r="J21" s="457"/>
      <c r="K21" s="317"/>
      <c r="L21" s="317"/>
      <c r="M21" s="317"/>
      <c r="N21" s="317"/>
      <c r="O21" s="317"/>
      <c r="P21" s="317"/>
      <c r="Q21" s="317"/>
      <c r="R21" s="317"/>
      <c r="S21" s="317"/>
      <c r="T21" s="317"/>
      <c r="U21" s="317"/>
      <c r="V21" s="317"/>
      <c r="W21" s="317"/>
      <c r="X21" s="317"/>
      <c r="Y21" s="317"/>
      <c r="Z21" s="317"/>
      <c r="AA21" s="317"/>
      <c r="AB21" s="317"/>
      <c r="AC21" s="317"/>
      <c r="AD21" s="317"/>
    </row>
    <row r="22" ht="24.0" customHeight="1">
      <c r="A22" s="453">
        <f>+SUMMARY!A20</f>
        <v>44362</v>
      </c>
      <c r="B22" s="454">
        <f>+SUMMARY!B20</f>
        <v>16499.764</v>
      </c>
      <c r="C22" s="454">
        <f>+SUMMARY!C20</f>
        <v>14104.97092</v>
      </c>
      <c r="D22" s="454">
        <f>+SUMMARY!D20</f>
        <v>551.43441</v>
      </c>
      <c r="E22" s="454">
        <f>+SUMMARY!E20</f>
        <v>175.2</v>
      </c>
      <c r="F22" s="454">
        <f>+SUMMARY!F20</f>
        <v>809.7384969</v>
      </c>
      <c r="G22" s="454">
        <f>+SUMMARY!G20</f>
        <v>858.4201691</v>
      </c>
      <c r="H22" s="482" t="str">
        <f>+SUMMARY!H20</f>
        <v/>
      </c>
      <c r="I22" s="483">
        <f t="shared" si="1"/>
        <v>0.04907576235</v>
      </c>
      <c r="J22" s="45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</row>
    <row r="23" ht="24.0" customHeight="1">
      <c r="A23" s="453">
        <f>+SUMMARY!A21</f>
        <v>44363</v>
      </c>
      <c r="B23" s="454">
        <f>+SUMMARY!B21</f>
        <v>31925.2777</v>
      </c>
      <c r="C23" s="454">
        <f>+SUMMARY!C21</f>
        <v>28252.88352</v>
      </c>
      <c r="D23" s="454">
        <f>+SUMMARY!D21</f>
        <v>0</v>
      </c>
      <c r="E23" s="454">
        <f>+SUMMARY!E21</f>
        <v>223.2</v>
      </c>
      <c r="F23" s="454">
        <f>+SUMMARY!F21</f>
        <v>1256.161311</v>
      </c>
      <c r="G23" s="454">
        <f>+SUMMARY!G21</f>
        <v>2193.032869</v>
      </c>
      <c r="H23" s="482" t="str">
        <f>+SUMMARY!H21</f>
        <v/>
      </c>
      <c r="I23" s="483">
        <f t="shared" si="1"/>
        <v>0.03934691886</v>
      </c>
      <c r="J23" s="457"/>
      <c r="K23" s="317"/>
      <c r="L23" s="317"/>
      <c r="M23" s="317"/>
      <c r="N23" s="317"/>
      <c r="O23" s="317"/>
      <c r="P23" s="317"/>
      <c r="Q23" s="317"/>
      <c r="R23" s="317"/>
      <c r="S23" s="317"/>
      <c r="T23" s="317"/>
      <c r="U23" s="317"/>
      <c r="V23" s="317"/>
      <c r="W23" s="317"/>
      <c r="X23" s="317"/>
      <c r="Y23" s="317"/>
      <c r="Z23" s="317"/>
      <c r="AA23" s="317"/>
      <c r="AB23" s="317"/>
      <c r="AC23" s="317"/>
      <c r="AD23" s="317"/>
    </row>
    <row r="24" ht="24.0" customHeight="1">
      <c r="A24" s="453">
        <f>+SUMMARY!A22</f>
        <v>44364</v>
      </c>
      <c r="B24" s="454">
        <f>+SUMMARY!B22</f>
        <v>37706.20397</v>
      </c>
      <c r="C24" s="454">
        <f>+SUMMARY!C22</f>
        <v>33490.41397</v>
      </c>
      <c r="D24" s="454">
        <f>+SUMMARY!D22</f>
        <v>781.470781</v>
      </c>
      <c r="E24" s="454">
        <f>+SUMMARY!E22</f>
        <v>342.6</v>
      </c>
      <c r="F24" s="454">
        <f>+SUMMARY!F22</f>
        <v>1539.788898</v>
      </c>
      <c r="G24" s="454">
        <f>+SUMMARY!G22</f>
        <v>1551.930324</v>
      </c>
      <c r="H24" s="482" t="str">
        <f>+SUMMARY!H22</f>
        <v/>
      </c>
      <c r="I24" s="483">
        <f t="shared" si="1"/>
        <v>0.04083648672</v>
      </c>
      <c r="J24" s="45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</row>
    <row r="25" ht="24.0" customHeight="1">
      <c r="A25" s="453">
        <f>+SUMMARY!A23</f>
        <v>44365</v>
      </c>
      <c r="B25" s="454">
        <f>+SUMMARY!B23</f>
        <v>42274.116</v>
      </c>
      <c r="C25" s="454">
        <f>+SUMMARY!C23</f>
        <v>36351.48707</v>
      </c>
      <c r="D25" s="454">
        <f>+SUMMARY!D23</f>
        <v>0</v>
      </c>
      <c r="E25" s="454">
        <f>+SUMMARY!E23</f>
        <v>357</v>
      </c>
      <c r="F25" s="454">
        <f>+SUMMARY!F23</f>
        <v>1695.6464</v>
      </c>
      <c r="G25" s="454">
        <f>+SUMMARY!G23</f>
        <v>3869.982534</v>
      </c>
      <c r="H25" s="482" t="str">
        <f>+SUMMARY!H23</f>
        <v/>
      </c>
      <c r="I25" s="483">
        <f t="shared" si="1"/>
        <v>0.04011074767</v>
      </c>
      <c r="J25" s="457"/>
      <c r="K25" s="484"/>
      <c r="L25" s="484"/>
      <c r="M25" s="484"/>
      <c r="N25" s="484"/>
      <c r="O25" s="484"/>
      <c r="P25" s="484"/>
      <c r="Q25" s="484"/>
      <c r="R25" s="484"/>
      <c r="S25" s="484"/>
      <c r="T25" s="484"/>
      <c r="U25" s="484"/>
      <c r="V25" s="484"/>
      <c r="W25" s="484"/>
      <c r="X25" s="484"/>
      <c r="Y25" s="484"/>
      <c r="Z25" s="484"/>
      <c r="AA25" s="484"/>
      <c r="AB25" s="484"/>
      <c r="AC25" s="484"/>
      <c r="AD25" s="484"/>
    </row>
    <row r="26" ht="24.0" customHeight="1">
      <c r="A26" s="453">
        <f>+SUMMARY!A24</f>
        <v>44366</v>
      </c>
      <c r="B26" s="454">
        <f>+SUMMARY!B24</f>
        <v>22591.0677</v>
      </c>
      <c r="C26" s="454">
        <f>+SUMMARY!C24</f>
        <v>6390.470613</v>
      </c>
      <c r="D26" s="454">
        <f>+SUMMARY!D24</f>
        <v>0</v>
      </c>
      <c r="E26" s="454">
        <f>+SUMMARY!E24</f>
        <v>234</v>
      </c>
      <c r="F26" s="454">
        <f>+SUMMARY!F24</f>
        <v>697.749892</v>
      </c>
      <c r="G26" s="454">
        <f>+SUMMARY!G24</f>
        <v>15268.8472</v>
      </c>
      <c r="H26" s="482" t="str">
        <f>+SUMMARY!H24</f>
        <v/>
      </c>
      <c r="I26" s="483">
        <f t="shared" si="1"/>
        <v>0.03088609628</v>
      </c>
      <c r="J26" s="45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</row>
    <row r="27" ht="24.0" customHeight="1">
      <c r="A27" s="453">
        <f>+SUMMARY!A25</f>
        <v>44368</v>
      </c>
      <c r="B27" s="454">
        <f>+SUMMARY!B25</f>
        <v>30427.09305</v>
      </c>
      <c r="C27" s="454">
        <f>+SUMMARY!C25</f>
        <v>27468.27035</v>
      </c>
      <c r="D27" s="454">
        <f>+SUMMARY!D25</f>
        <v>0</v>
      </c>
      <c r="E27" s="454">
        <f>+SUMMARY!E25</f>
        <v>444</v>
      </c>
      <c r="F27" s="454">
        <f>+SUMMARY!F25</f>
        <v>568.828196</v>
      </c>
      <c r="G27" s="454">
        <f>+SUMMARY!G25</f>
        <v>1945.994504</v>
      </c>
      <c r="H27" s="482" t="str">
        <f>+SUMMARY!H25</f>
        <v/>
      </c>
      <c r="I27" s="483">
        <f t="shared" si="1"/>
        <v>0.01869479266</v>
      </c>
      <c r="J27" s="45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317"/>
      <c r="AC27" s="317"/>
      <c r="AD27" s="317"/>
    </row>
    <row r="28" ht="24.0" customHeight="1">
      <c r="A28" s="453">
        <f>+SUMMARY!A26</f>
        <v>44369</v>
      </c>
      <c r="B28" s="454">
        <f>+SUMMARY!B26</f>
        <v>38694.12</v>
      </c>
      <c r="C28" s="454">
        <f>+SUMMARY!C26</f>
        <v>35214.0553</v>
      </c>
      <c r="D28" s="454">
        <f>+SUMMARY!D26</f>
        <v>0</v>
      </c>
      <c r="E28" s="454">
        <f>+SUMMARY!E26</f>
        <v>223.8</v>
      </c>
      <c r="F28" s="454">
        <f>+SUMMARY!F26</f>
        <v>831.647566</v>
      </c>
      <c r="G28" s="454">
        <f>+SUMMARY!G26</f>
        <v>2424.617131</v>
      </c>
      <c r="H28" s="482" t="str">
        <f>+SUMMARY!H26</f>
        <v/>
      </c>
      <c r="I28" s="483">
        <f t="shared" si="1"/>
        <v>0.02149286677</v>
      </c>
      <c r="J28" s="457"/>
      <c r="K28" s="317"/>
      <c r="L28" s="317"/>
      <c r="M28" s="317"/>
      <c r="N28" s="317"/>
      <c r="O28" s="317"/>
      <c r="P28" s="317"/>
      <c r="Q28" s="317"/>
      <c r="R28" s="317"/>
      <c r="S28" s="317"/>
      <c r="T28" s="317"/>
      <c r="U28" s="317"/>
      <c r="V28" s="317"/>
      <c r="W28" s="317"/>
      <c r="X28" s="317"/>
      <c r="Y28" s="317"/>
      <c r="Z28" s="317"/>
      <c r="AA28" s="317"/>
      <c r="AB28" s="317"/>
      <c r="AC28" s="317"/>
      <c r="AD28" s="317"/>
    </row>
    <row r="29" ht="24.0" customHeight="1">
      <c r="A29" s="453">
        <f>+SUMMARY!A27</f>
        <v>44370</v>
      </c>
      <c r="B29" s="454">
        <f>+SUMMARY!B27</f>
        <v>34623.82602</v>
      </c>
      <c r="C29" s="454">
        <f>+SUMMARY!C27</f>
        <v>31836.99565</v>
      </c>
      <c r="D29" s="454">
        <f>+SUMMARY!D27</f>
        <v>0</v>
      </c>
      <c r="E29" s="454">
        <f>+SUMMARY!E27</f>
        <v>218.4</v>
      </c>
      <c r="F29" s="454">
        <f>+SUMMARY!F27</f>
        <v>576.0543282</v>
      </c>
      <c r="G29" s="454">
        <f>+SUMMARY!G27</f>
        <v>1992.376037</v>
      </c>
      <c r="H29" s="482" t="str">
        <f>+SUMMARY!H27</f>
        <v/>
      </c>
      <c r="I29" s="483">
        <f t="shared" si="1"/>
        <v>0.01663751221</v>
      </c>
      <c r="J29" s="45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7"/>
      <c r="AC29" s="317"/>
      <c r="AD29" s="317"/>
    </row>
    <row r="30" ht="24.0" customHeight="1">
      <c r="A30" s="453" t="str">
        <f>+SUMMARY!A28</f>
        <v>24/06/2021</v>
      </c>
      <c r="B30" s="454">
        <f>+SUMMARY!B28</f>
        <v>44741.03968</v>
      </c>
      <c r="C30" s="454">
        <f>+SUMMARY!C28</f>
        <v>40035.448</v>
      </c>
      <c r="D30" s="454">
        <f>+SUMMARY!D28</f>
        <v>0</v>
      </c>
      <c r="E30" s="454">
        <f>+SUMMARY!E28</f>
        <v>205.8</v>
      </c>
      <c r="F30" s="454">
        <f>+SUMMARY!F28</f>
        <v>925.5324121</v>
      </c>
      <c r="G30" s="454">
        <f>+SUMMARY!G28</f>
        <v>3574.25927</v>
      </c>
      <c r="H30" s="482" t="str">
        <f>+SUMMARY!H28</f>
        <v/>
      </c>
      <c r="I30" s="483">
        <f t="shared" si="1"/>
        <v>0.0206864306</v>
      </c>
      <c r="J30" s="45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7"/>
      <c r="AC30" s="317"/>
      <c r="AD30" s="317"/>
    </row>
    <row r="31" ht="24.0" customHeight="1">
      <c r="A31" s="453">
        <f>+SUMMARY!A29</f>
        <v>44372</v>
      </c>
      <c r="B31" s="454">
        <f>+SUMMARY!B29</f>
        <v>34273.486</v>
      </c>
      <c r="C31" s="454">
        <f>+SUMMARY!C29</f>
        <v>30120.62113</v>
      </c>
      <c r="D31" s="454">
        <f>+SUMMARY!D29</f>
        <v>0</v>
      </c>
      <c r="E31" s="454">
        <f>+SUMMARY!E29</f>
        <v>120.6</v>
      </c>
      <c r="F31" s="454">
        <f>+SUMMARY!F29</f>
        <v>608.9615812</v>
      </c>
      <c r="G31" s="454">
        <f>+SUMMARY!G29</f>
        <v>3423.303287</v>
      </c>
      <c r="H31" s="482" t="str">
        <f>+SUMMARY!H29</f>
        <v/>
      </c>
      <c r="I31" s="483">
        <f t="shared" si="1"/>
        <v>0.01776771646</v>
      </c>
      <c r="J31" s="457"/>
      <c r="K31" s="317"/>
      <c r="L31" s="317"/>
      <c r="M31" s="317"/>
      <c r="N31" s="317"/>
      <c r="O31" s="317"/>
      <c r="P31" s="317"/>
      <c r="Q31" s="317"/>
      <c r="R31" s="317"/>
      <c r="S31" s="317"/>
      <c r="T31" s="317"/>
      <c r="U31" s="317"/>
      <c r="V31" s="317"/>
      <c r="W31" s="317"/>
      <c r="X31" s="317"/>
      <c r="Y31" s="317"/>
      <c r="Z31" s="317"/>
      <c r="AA31" s="317"/>
      <c r="AB31" s="317"/>
      <c r="AC31" s="317"/>
      <c r="AD31" s="317"/>
    </row>
    <row r="32" ht="24.0" customHeight="1">
      <c r="A32" s="453">
        <f>+SUMMARY!A30</f>
        <v>44373</v>
      </c>
      <c r="B32" s="454">
        <f>+SUMMARY!B30</f>
        <v>37386.8361</v>
      </c>
      <c r="C32" s="454">
        <f>+SUMMARY!C30</f>
        <v>33137.66063</v>
      </c>
      <c r="D32" s="454">
        <f>+SUMMARY!D30</f>
        <v>0</v>
      </c>
      <c r="E32" s="454">
        <f>+SUMMARY!E30</f>
        <v>251.4</v>
      </c>
      <c r="F32" s="454">
        <f>+SUMMARY!F30</f>
        <v>616.5467821</v>
      </c>
      <c r="G32" s="454">
        <f>+SUMMARY!G30</f>
        <v>3381.228687</v>
      </c>
      <c r="H32" s="482" t="str">
        <f>+SUMMARY!H30</f>
        <v/>
      </c>
      <c r="I32" s="483">
        <f t="shared" si="1"/>
        <v>0.01649101252</v>
      </c>
      <c r="J32" s="457"/>
      <c r="K32" s="317"/>
      <c r="L32" s="317"/>
      <c r="M32" s="317"/>
      <c r="N32" s="317"/>
      <c r="O32" s="317"/>
      <c r="P32" s="317"/>
      <c r="Q32" s="317"/>
      <c r="R32" s="317"/>
      <c r="S32" s="317"/>
      <c r="T32" s="317"/>
      <c r="U32" s="317"/>
      <c r="V32" s="317"/>
      <c r="W32" s="317"/>
      <c r="X32" s="317"/>
      <c r="Y32" s="317"/>
      <c r="Z32" s="317"/>
      <c r="AA32" s="317"/>
      <c r="AB32" s="317"/>
      <c r="AC32" s="317"/>
      <c r="AD32" s="317"/>
    </row>
    <row r="33" ht="24.0" customHeight="1">
      <c r="A33" s="453">
        <f>+SUMMARY!A31</f>
        <v>44375</v>
      </c>
      <c r="B33" s="454">
        <f>+SUMMARY!B31</f>
        <v>8552.19</v>
      </c>
      <c r="C33" s="454">
        <f>+SUMMARY!C31</f>
        <v>6108.28509</v>
      </c>
      <c r="D33" s="454">
        <f>+SUMMARY!D31</f>
        <v>0</v>
      </c>
      <c r="E33" s="454">
        <f>+SUMMARY!E31</f>
        <v>28.8</v>
      </c>
      <c r="F33" s="454">
        <f>+SUMMARY!F31</f>
        <v>928.767834</v>
      </c>
      <c r="G33" s="454">
        <f>+SUMMARY!G31</f>
        <v>1486.337076</v>
      </c>
      <c r="H33" s="482" t="str">
        <f>+SUMMARY!H31</f>
        <v/>
      </c>
      <c r="I33" s="483">
        <f t="shared" si="1"/>
        <v>0.1086</v>
      </c>
      <c r="J33" s="457"/>
      <c r="K33" s="317"/>
      <c r="L33" s="317"/>
      <c r="M33" s="317"/>
      <c r="N33" s="317"/>
      <c r="O33" s="317"/>
      <c r="P33" s="317"/>
      <c r="Q33" s="317"/>
      <c r="R33" s="317"/>
      <c r="S33" s="317"/>
      <c r="T33" s="317"/>
      <c r="U33" s="317"/>
      <c r="V33" s="317"/>
      <c r="W33" s="317"/>
      <c r="X33" s="317"/>
      <c r="Y33" s="317"/>
      <c r="Z33" s="317"/>
      <c r="AA33" s="317"/>
      <c r="AB33" s="317"/>
      <c r="AC33" s="317"/>
      <c r="AD33" s="317"/>
    </row>
    <row r="34" ht="24.0" customHeight="1">
      <c r="A34" s="453">
        <f>+SUMMARY!A32</f>
        <v>44376</v>
      </c>
      <c r="B34" s="454">
        <f>+SUMMARY!B32</f>
        <v>11417.0055</v>
      </c>
      <c r="C34" s="454">
        <f>+SUMMARY!C32</f>
        <v>10106.20354</v>
      </c>
      <c r="D34" s="454">
        <f>+SUMMARY!D32</f>
        <v>50.456974</v>
      </c>
      <c r="E34" s="454">
        <f>+SUMMARY!E32</f>
        <v>130.2</v>
      </c>
      <c r="F34" s="454">
        <f>+SUMMARY!F32</f>
        <v>445.7031318</v>
      </c>
      <c r="G34" s="454">
        <f>+SUMMARY!G32</f>
        <v>684.4418502</v>
      </c>
      <c r="H34" s="482" t="str">
        <f>+SUMMARY!H32</f>
        <v/>
      </c>
      <c r="I34" s="483">
        <f t="shared" si="1"/>
        <v>0.03903853175</v>
      </c>
      <c r="J34" s="45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  <c r="AC34" s="317"/>
      <c r="AD34" s="317"/>
    </row>
    <row r="35" ht="24.0" customHeight="1">
      <c r="A35" s="453" t="str">
        <f>+SUMMARY!A33</f>
        <v/>
      </c>
      <c r="B35" s="454" t="str">
        <f>+SUMMARY!B33</f>
        <v/>
      </c>
      <c r="C35" s="454" t="str">
        <f>+SUMMARY!C33</f>
        <v/>
      </c>
      <c r="D35" s="454" t="str">
        <f>+SUMMARY!D33</f>
        <v/>
      </c>
      <c r="E35" s="454" t="str">
        <f>+SUMMARY!E33</f>
        <v/>
      </c>
      <c r="F35" s="454" t="str">
        <f>+SUMMARY!F33</f>
        <v/>
      </c>
      <c r="G35" s="454" t="str">
        <f>+SUMMARY!G33</f>
        <v/>
      </c>
      <c r="H35" s="482" t="str">
        <f>+SUMMARY!H33</f>
        <v/>
      </c>
      <c r="I35" s="483" t="str">
        <f t="shared" si="1"/>
        <v>#DIV/0!</v>
      </c>
      <c r="J35" s="45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  <c r="AD35" s="317"/>
    </row>
    <row r="36" ht="24.0" customHeight="1">
      <c r="A36" s="453" t="str">
        <f>+SUMMARY!A34</f>
        <v/>
      </c>
      <c r="B36" s="454" t="str">
        <f>+SUMMARY!B34</f>
        <v/>
      </c>
      <c r="C36" s="454" t="str">
        <f>+SUMMARY!C34</f>
        <v/>
      </c>
      <c r="D36" s="454" t="str">
        <f>+SUMMARY!D34</f>
        <v/>
      </c>
      <c r="E36" s="454" t="str">
        <f>+SUMMARY!E34</f>
        <v/>
      </c>
      <c r="F36" s="454" t="str">
        <f>+SUMMARY!F34</f>
        <v/>
      </c>
      <c r="G36" s="454" t="str">
        <f>+SUMMARY!G34</f>
        <v/>
      </c>
      <c r="H36" s="482" t="str">
        <f>+SUMMARY!H34</f>
        <v/>
      </c>
      <c r="I36" s="483" t="str">
        <f t="shared" si="1"/>
        <v>#DIV/0!</v>
      </c>
      <c r="J36" s="45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D36" s="317"/>
    </row>
    <row r="37" ht="24.0" customHeight="1">
      <c r="A37" s="453" t="str">
        <f>+SUMMARY!A35</f>
        <v/>
      </c>
      <c r="B37" s="454" t="str">
        <f>+SUMMARY!B35</f>
        <v/>
      </c>
      <c r="C37" s="454" t="str">
        <f>+SUMMARY!C35</f>
        <v/>
      </c>
      <c r="D37" s="454" t="str">
        <f>+SUMMARY!D35</f>
        <v/>
      </c>
      <c r="E37" s="454" t="str">
        <f>+SUMMARY!E35</f>
        <v/>
      </c>
      <c r="F37" s="454" t="str">
        <f>+SUMMARY!F35</f>
        <v/>
      </c>
      <c r="G37" s="454" t="str">
        <f>+SUMMARY!G35</f>
        <v/>
      </c>
      <c r="H37" s="482" t="str">
        <f>+SUMMARY!H35</f>
        <v/>
      </c>
      <c r="I37" s="483" t="str">
        <f t="shared" si="1"/>
        <v>#DIV/0!</v>
      </c>
      <c r="J37" s="457"/>
      <c r="K37" s="317"/>
      <c r="L37" s="317"/>
      <c r="M37" s="317"/>
      <c r="N37" s="317"/>
      <c r="O37" s="317"/>
      <c r="P37" s="317"/>
      <c r="Q37" s="317"/>
      <c r="R37" s="317"/>
      <c r="S37" s="317"/>
      <c r="T37" s="317"/>
      <c r="U37" s="317"/>
      <c r="V37" s="317"/>
      <c r="W37" s="317"/>
      <c r="X37" s="317"/>
      <c r="Y37" s="317"/>
      <c r="Z37" s="317"/>
      <c r="AA37" s="317"/>
      <c r="AB37" s="317"/>
      <c r="AC37" s="317"/>
      <c r="AD37" s="317"/>
    </row>
    <row r="38" ht="30.0" customHeight="1">
      <c r="A38" s="485" t="s">
        <v>250</v>
      </c>
      <c r="B38" s="486" t="str">
        <f t="shared" ref="B38:G38" si="2">SUM(B8:B37)</f>
        <v>#ERROR!</v>
      </c>
      <c r="C38" s="486" t="str">
        <f t="shared" si="2"/>
        <v>#ERROR!</v>
      </c>
      <c r="D38" s="486" t="str">
        <f t="shared" si="2"/>
        <v>#ERROR!</v>
      </c>
      <c r="E38" s="486" t="str">
        <f t="shared" si="2"/>
        <v>#ERROR!</v>
      </c>
      <c r="F38" s="486" t="str">
        <f t="shared" si="2"/>
        <v>#ERROR!</v>
      </c>
      <c r="G38" s="486" t="str">
        <f t="shared" si="2"/>
        <v>#ERROR!</v>
      </c>
      <c r="H38" s="487" t="str">
        <f>+SUMMARY!H36</f>
        <v/>
      </c>
      <c r="I38" s="488" t="str">
        <f t="shared" si="1"/>
        <v>#ERROR!</v>
      </c>
      <c r="J38" s="465"/>
      <c r="K38" s="317"/>
      <c r="L38" s="317"/>
      <c r="M38" s="317"/>
      <c r="N38" s="317"/>
      <c r="O38" s="317"/>
      <c r="P38" s="317"/>
      <c r="Q38" s="317"/>
      <c r="R38" s="317"/>
      <c r="S38" s="317"/>
      <c r="T38" s="317"/>
      <c r="U38" s="317"/>
      <c r="V38" s="317"/>
      <c r="W38" s="317"/>
      <c r="X38" s="317"/>
      <c r="Y38" s="317"/>
      <c r="Z38" s="317"/>
      <c r="AA38" s="317"/>
      <c r="AB38" s="317"/>
      <c r="AC38" s="317"/>
      <c r="AD38" s="317"/>
    </row>
    <row r="39" ht="24.75" customHeight="1">
      <c r="A39" s="489" t="s">
        <v>49</v>
      </c>
      <c r="B39" s="490"/>
      <c r="C39" s="491" t="str">
        <f>+C38/B38</f>
        <v>#ERROR!</v>
      </c>
      <c r="D39" s="491" t="str">
        <f>+D38/B38</f>
        <v>#ERROR!</v>
      </c>
      <c r="E39" s="491" t="str">
        <f>+E38/B38</f>
        <v>#ERROR!</v>
      </c>
      <c r="F39" s="492" t="str">
        <f>+F38/B38</f>
        <v>#ERROR!</v>
      </c>
      <c r="G39" s="467" t="str">
        <f>+G38/B38</f>
        <v>#ERROR!</v>
      </c>
      <c r="H39" s="487" t="str">
        <f>+SUMMARY!H37</f>
        <v/>
      </c>
      <c r="I39" s="377"/>
      <c r="J39" s="470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</row>
    <row r="40" ht="33.75" customHeight="1">
      <c r="A40" s="471" t="s">
        <v>251</v>
      </c>
      <c r="B40" s="472"/>
      <c r="C40" s="473"/>
      <c r="D40" s="473">
        <v>0.0053</v>
      </c>
      <c r="E40" s="473">
        <v>0.0084</v>
      </c>
      <c r="F40" s="473"/>
      <c r="G40" s="493">
        <v>0.0061</v>
      </c>
      <c r="H40" s="475"/>
      <c r="I40" s="317"/>
      <c r="J40" s="317"/>
      <c r="K40" s="317"/>
      <c r="L40" s="317"/>
      <c r="M40" s="317"/>
      <c r="N40" s="317"/>
      <c r="O40" s="317"/>
      <c r="P40" s="317"/>
      <c r="Q40" s="317"/>
      <c r="R40" s="317"/>
      <c r="S40" s="317"/>
      <c r="T40" s="317"/>
      <c r="U40" s="317"/>
      <c r="V40" s="317"/>
      <c r="W40" s="317"/>
      <c r="X40" s="317"/>
      <c r="Y40" s="317"/>
      <c r="Z40" s="317"/>
      <c r="AA40" s="317"/>
      <c r="AB40" s="317"/>
      <c r="AC40" s="317"/>
      <c r="AD40" s="317"/>
    </row>
    <row r="41" ht="40.5" customHeight="1">
      <c r="A41" s="476"/>
      <c r="B41" s="317"/>
      <c r="C41" s="317"/>
      <c r="D41" s="317" t="s">
        <v>252</v>
      </c>
      <c r="E41" s="317"/>
      <c r="F41" s="370" t="str">
        <f>+D38+E38+F38+G38</f>
        <v>#ERROR!</v>
      </c>
      <c r="G41" s="317"/>
      <c r="H41" s="47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</row>
    <row r="42" ht="20.25" customHeight="1">
      <c r="A42" s="476"/>
      <c r="B42" s="317"/>
      <c r="C42" s="317"/>
      <c r="D42" s="317" t="s">
        <v>253</v>
      </c>
      <c r="E42" s="317"/>
      <c r="F42" s="372" t="str">
        <f>+F41/B38</f>
        <v>#ERROR!</v>
      </c>
      <c r="G42" s="317"/>
      <c r="H42" s="47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</row>
    <row r="43" ht="20.25" customHeight="1">
      <c r="A43" s="476"/>
      <c r="B43" s="317"/>
      <c r="C43" s="317"/>
      <c r="D43" s="317" t="s">
        <v>254</v>
      </c>
      <c r="E43" s="317"/>
      <c r="F43" s="372" t="str">
        <f t="shared" ref="F43:F44" si="3">+D39+E39+G39</f>
        <v>#ERROR!</v>
      </c>
      <c r="G43" s="317"/>
      <c r="H43" s="477"/>
      <c r="I43" s="317"/>
      <c r="J43" s="317"/>
      <c r="K43" s="317"/>
      <c r="L43" s="317"/>
      <c r="M43" s="317"/>
      <c r="N43" s="317"/>
      <c r="O43" s="317"/>
      <c r="P43" s="317"/>
      <c r="Q43" s="317"/>
      <c r="R43" s="317"/>
      <c r="S43" s="317"/>
      <c r="T43" s="317"/>
      <c r="U43" s="317"/>
      <c r="V43" s="317"/>
      <c r="W43" s="317"/>
      <c r="X43" s="317"/>
      <c r="Y43" s="317"/>
      <c r="Z43" s="317"/>
      <c r="AA43" s="317"/>
      <c r="AB43" s="317"/>
      <c r="AC43" s="317"/>
      <c r="AD43" s="317"/>
    </row>
    <row r="44" ht="20.25" customHeight="1">
      <c r="A44" s="476"/>
      <c r="B44" s="317"/>
      <c r="C44" s="362" t="s">
        <v>255</v>
      </c>
      <c r="D44" s="362"/>
      <c r="E44" s="362"/>
      <c r="F44" s="365">
        <f t="shared" si="3"/>
        <v>0.0198</v>
      </c>
      <c r="G44" s="317"/>
      <c r="H44" s="477"/>
      <c r="I44" s="317"/>
      <c r="J44" s="317"/>
      <c r="K44" s="317"/>
      <c r="L44" s="317"/>
      <c r="M44" s="317"/>
      <c r="N44" s="317"/>
      <c r="O44" s="317"/>
      <c r="P44" s="317"/>
      <c r="Q44" s="317"/>
      <c r="R44" s="317"/>
      <c r="S44" s="317"/>
      <c r="T44" s="317"/>
      <c r="U44" s="317"/>
      <c r="V44" s="317"/>
      <c r="W44" s="317"/>
      <c r="X44" s="317"/>
      <c r="Y44" s="317"/>
      <c r="Z44" s="317"/>
      <c r="AA44" s="317"/>
      <c r="AB44" s="317"/>
      <c r="AC44" s="317"/>
      <c r="AD44" s="317"/>
    </row>
    <row r="45" ht="20.25" customHeight="1">
      <c r="A45" s="476" t="s">
        <v>256</v>
      </c>
      <c r="B45" s="317"/>
      <c r="C45" s="317"/>
      <c r="D45" s="374">
        <v>9.0</v>
      </c>
      <c r="E45" s="317"/>
      <c r="F45" s="317"/>
      <c r="G45" s="317"/>
      <c r="H45" s="477"/>
      <c r="I45" s="317"/>
      <c r="J45" s="317"/>
      <c r="K45" s="317"/>
      <c r="L45" s="317"/>
      <c r="M45" s="317"/>
      <c r="N45" s="317"/>
      <c r="O45" s="317"/>
      <c r="P45" s="317"/>
      <c r="Q45" s="317"/>
      <c r="R45" s="317"/>
      <c r="S45" s="317"/>
      <c r="T45" s="317"/>
      <c r="U45" s="317"/>
      <c r="V45" s="317"/>
      <c r="W45" s="317"/>
      <c r="X45" s="317"/>
      <c r="Y45" s="317"/>
      <c r="Z45" s="317"/>
      <c r="AA45" s="317"/>
      <c r="AB45" s="317"/>
      <c r="AC45" s="317"/>
      <c r="AD45" s="317"/>
    </row>
    <row r="46" ht="20.25" customHeight="1">
      <c r="A46" s="476"/>
      <c r="B46" s="317"/>
      <c r="C46" s="317" t="s">
        <v>257</v>
      </c>
      <c r="D46" s="375" t="str">
        <f t="shared" ref="D46:E46" si="4">+$D$45*D38</f>
        <v>#ERROR!</v>
      </c>
      <c r="E46" s="375" t="str">
        <f t="shared" si="4"/>
        <v>#ERROR!</v>
      </c>
      <c r="F46" s="375"/>
      <c r="G46" s="375" t="str">
        <f>+$D$45*G38</f>
        <v>#ERROR!</v>
      </c>
      <c r="H46" s="477"/>
      <c r="I46" s="317"/>
      <c r="J46" s="317"/>
      <c r="K46" s="317"/>
      <c r="L46" s="317"/>
      <c r="M46" s="317"/>
      <c r="N46" s="317"/>
      <c r="O46" s="317"/>
      <c r="P46" s="317"/>
      <c r="Q46" s="317"/>
      <c r="R46" s="317"/>
      <c r="S46" s="317"/>
      <c r="T46" s="317"/>
      <c r="U46" s="317"/>
      <c r="V46" s="317"/>
      <c r="W46" s="317"/>
      <c r="X46" s="317"/>
      <c r="Y46" s="317"/>
      <c r="Z46" s="317"/>
      <c r="AA46" s="317"/>
      <c r="AB46" s="317"/>
      <c r="AC46" s="317"/>
      <c r="AD46" s="317"/>
    </row>
    <row r="47" ht="21.0" customHeight="1">
      <c r="A47" s="478"/>
      <c r="B47" s="377"/>
      <c r="C47" s="377"/>
      <c r="D47" s="377"/>
      <c r="E47" s="377"/>
      <c r="F47" s="377"/>
      <c r="G47" s="377"/>
      <c r="H47" s="479"/>
      <c r="I47" s="317"/>
      <c r="J47" s="317"/>
      <c r="K47" s="317"/>
      <c r="L47" s="317"/>
      <c r="M47" s="317"/>
      <c r="N47" s="317"/>
      <c r="O47" s="317"/>
      <c r="P47" s="317"/>
      <c r="Q47" s="317"/>
      <c r="R47" s="317"/>
      <c r="S47" s="317"/>
      <c r="T47" s="317"/>
      <c r="U47" s="317"/>
      <c r="V47" s="317"/>
      <c r="W47" s="317"/>
      <c r="X47" s="317"/>
      <c r="Y47" s="317"/>
      <c r="Z47" s="317"/>
      <c r="AA47" s="317"/>
      <c r="AB47" s="317"/>
      <c r="AC47" s="317"/>
      <c r="AD47" s="317"/>
    </row>
    <row r="48" ht="20.25" customHeight="1">
      <c r="A48" s="317"/>
      <c r="B48" s="317"/>
      <c r="C48" s="317"/>
      <c r="D48" s="317"/>
      <c r="E48" s="317"/>
      <c r="F48" s="317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</row>
    <row r="49" ht="20.25" customHeight="1">
      <c r="A49" s="317"/>
      <c r="B49" s="317"/>
      <c r="C49" s="317"/>
      <c r="D49" s="317"/>
      <c r="E49" s="317"/>
      <c r="F49" s="379"/>
      <c r="G49" s="317"/>
      <c r="H49" s="317"/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</row>
    <row r="50" ht="20.25" customHeight="1">
      <c r="A50" s="317"/>
      <c r="B50" s="317"/>
      <c r="C50" s="317"/>
      <c r="D50" s="317"/>
      <c r="E50" s="379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</row>
    <row r="51" ht="20.25" customHeight="1">
      <c r="A51" s="317"/>
      <c r="B51" s="317"/>
      <c r="C51" s="317"/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</row>
    <row r="52" ht="20.25" customHeight="1">
      <c r="A52" s="317"/>
      <c r="B52" s="317"/>
      <c r="C52" s="317"/>
      <c r="D52" s="317"/>
      <c r="E52" s="317"/>
      <c r="F52" s="317"/>
      <c r="G52" s="317"/>
      <c r="H52" s="317"/>
      <c r="I52" s="317"/>
      <c r="J52" s="317"/>
      <c r="K52" s="317"/>
      <c r="L52" s="317"/>
      <c r="M52" s="317"/>
      <c r="N52" s="317"/>
      <c r="O52" s="317"/>
      <c r="P52" s="317"/>
      <c r="Q52" s="317"/>
      <c r="R52" s="317"/>
      <c r="S52" s="317"/>
      <c r="T52" s="317"/>
      <c r="U52" s="317"/>
      <c r="V52" s="317"/>
      <c r="W52" s="317"/>
      <c r="X52" s="317"/>
      <c r="Y52" s="317"/>
      <c r="Z52" s="317"/>
      <c r="AA52" s="317"/>
      <c r="AB52" s="317"/>
      <c r="AC52" s="317"/>
      <c r="AD52" s="317"/>
    </row>
    <row r="53" ht="20.25" customHeight="1">
      <c r="A53" s="317"/>
      <c r="B53" s="317"/>
      <c r="C53" s="317"/>
      <c r="D53" s="317"/>
      <c r="E53" s="317"/>
      <c r="F53" s="317"/>
      <c r="G53" s="317"/>
      <c r="H53" s="317"/>
      <c r="I53" s="317"/>
      <c r="J53" s="317"/>
      <c r="K53" s="317"/>
      <c r="L53" s="317"/>
      <c r="M53" s="317"/>
      <c r="N53" s="317"/>
      <c r="O53" s="317"/>
      <c r="P53" s="317"/>
      <c r="Q53" s="317"/>
      <c r="R53" s="317"/>
      <c r="S53" s="317"/>
      <c r="T53" s="317"/>
      <c r="U53" s="317"/>
      <c r="V53" s="317"/>
      <c r="W53" s="317"/>
      <c r="X53" s="317"/>
      <c r="Y53" s="317"/>
      <c r="Z53" s="317"/>
      <c r="AA53" s="317"/>
      <c r="AB53" s="317"/>
      <c r="AC53" s="317"/>
      <c r="AD53" s="317"/>
    </row>
    <row r="54" ht="20.25" customHeight="1">
      <c r="A54" s="317"/>
      <c r="B54" s="317"/>
      <c r="C54" s="317"/>
      <c r="D54" s="317"/>
      <c r="E54" s="317"/>
      <c r="F54" s="317"/>
      <c r="G54" s="317"/>
      <c r="H54" s="317"/>
      <c r="I54" s="317"/>
      <c r="J54" s="317"/>
      <c r="K54" s="317"/>
      <c r="L54" s="317"/>
      <c r="M54" s="317"/>
      <c r="N54" s="317"/>
      <c r="O54" s="317"/>
      <c r="P54" s="317"/>
      <c r="Q54" s="317"/>
      <c r="R54" s="317"/>
      <c r="S54" s="317"/>
      <c r="T54" s="317"/>
      <c r="U54" s="317"/>
      <c r="V54" s="317"/>
      <c r="W54" s="317"/>
      <c r="X54" s="317"/>
      <c r="Y54" s="317"/>
      <c r="Z54" s="317"/>
      <c r="AA54" s="317"/>
      <c r="AB54" s="317"/>
      <c r="AC54" s="317"/>
      <c r="AD54" s="317"/>
    </row>
    <row r="55" ht="20.25" customHeight="1">
      <c r="A55" s="317"/>
      <c r="B55" s="317"/>
      <c r="C55" s="317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</row>
    <row r="56" ht="20.25" customHeight="1">
      <c r="A56" s="317"/>
      <c r="B56" s="317"/>
      <c r="C56" s="317"/>
      <c r="D56" s="317"/>
      <c r="E56" s="317"/>
      <c r="F56" s="317"/>
      <c r="G56" s="317"/>
      <c r="H56" s="317"/>
      <c r="I56" s="317"/>
      <c r="J56" s="317"/>
      <c r="K56" s="317"/>
      <c r="L56" s="317"/>
      <c r="M56" s="317"/>
      <c r="N56" s="317"/>
      <c r="O56" s="317"/>
      <c r="P56" s="317"/>
      <c r="Q56" s="317"/>
      <c r="R56" s="317"/>
      <c r="S56" s="317"/>
      <c r="T56" s="317"/>
      <c r="U56" s="317"/>
      <c r="V56" s="317"/>
      <c r="W56" s="317"/>
      <c r="X56" s="317"/>
      <c r="Y56" s="317"/>
      <c r="Z56" s="317"/>
      <c r="AA56" s="317"/>
      <c r="AB56" s="317"/>
      <c r="AC56" s="317"/>
      <c r="AD56" s="317"/>
    </row>
    <row r="57" ht="20.25" customHeight="1">
      <c r="A57" s="317"/>
      <c r="B57" s="317"/>
      <c r="C57" s="317"/>
      <c r="D57" s="317"/>
      <c r="E57" s="317"/>
      <c r="F57" s="317"/>
      <c r="G57" s="317"/>
      <c r="H57" s="317"/>
      <c r="I57" s="317"/>
      <c r="J57" s="317"/>
      <c r="K57" s="317"/>
      <c r="L57" s="317"/>
      <c r="M57" s="317"/>
      <c r="N57" s="317"/>
      <c r="O57" s="317"/>
      <c r="P57" s="317"/>
      <c r="Q57" s="317"/>
      <c r="R57" s="317"/>
      <c r="S57" s="317"/>
      <c r="T57" s="317"/>
      <c r="U57" s="317"/>
      <c r="V57" s="317"/>
      <c r="W57" s="317"/>
      <c r="X57" s="317"/>
      <c r="Y57" s="317"/>
      <c r="Z57" s="317"/>
      <c r="AA57" s="317"/>
      <c r="AB57" s="317"/>
      <c r="AC57" s="317"/>
      <c r="AD57" s="317"/>
    </row>
    <row r="58" ht="20.25" customHeight="1">
      <c r="A58" s="317"/>
      <c r="B58" s="317"/>
      <c r="C58" s="317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7"/>
      <c r="T58" s="317"/>
      <c r="U58" s="317"/>
      <c r="V58" s="317"/>
      <c r="W58" s="317"/>
      <c r="X58" s="317"/>
      <c r="Y58" s="317"/>
      <c r="Z58" s="317"/>
      <c r="AA58" s="317"/>
      <c r="AB58" s="317"/>
      <c r="AC58" s="317"/>
      <c r="AD58" s="317"/>
    </row>
    <row r="59" ht="20.25" customHeight="1">
      <c r="A59" s="317"/>
      <c r="B59" s="317"/>
      <c r="C59" s="317"/>
      <c r="D59" s="317"/>
      <c r="E59" s="317"/>
      <c r="F59" s="317"/>
      <c r="G59" s="317"/>
      <c r="H59" s="317"/>
      <c r="I59" s="317"/>
      <c r="J59" s="317"/>
      <c r="K59" s="317"/>
      <c r="L59" s="317"/>
      <c r="M59" s="317"/>
      <c r="N59" s="317"/>
      <c r="O59" s="317"/>
      <c r="P59" s="317"/>
      <c r="Q59" s="317"/>
      <c r="R59" s="317"/>
      <c r="S59" s="317"/>
      <c r="T59" s="317"/>
      <c r="U59" s="317"/>
      <c r="V59" s="317"/>
      <c r="W59" s="317"/>
      <c r="X59" s="317"/>
      <c r="Y59" s="317"/>
      <c r="Z59" s="317"/>
      <c r="AA59" s="317"/>
      <c r="AB59" s="317"/>
      <c r="AC59" s="317"/>
      <c r="AD59" s="317"/>
    </row>
    <row r="60" ht="20.25" customHeight="1">
      <c r="A60" s="317"/>
      <c r="B60" s="317"/>
      <c r="C60" s="317"/>
      <c r="D60" s="317"/>
      <c r="E60" s="317"/>
      <c r="F60" s="317"/>
      <c r="G60" s="317"/>
      <c r="H60" s="317"/>
      <c r="I60" s="317"/>
      <c r="J60" s="317"/>
      <c r="K60" s="317"/>
      <c r="L60" s="317"/>
      <c r="M60" s="317"/>
      <c r="N60" s="317"/>
      <c r="O60" s="317"/>
      <c r="P60" s="317"/>
      <c r="Q60" s="317"/>
      <c r="R60" s="317"/>
      <c r="S60" s="317"/>
      <c r="T60" s="317"/>
      <c r="U60" s="317"/>
      <c r="V60" s="317"/>
      <c r="W60" s="317"/>
      <c r="X60" s="317"/>
      <c r="Y60" s="317"/>
      <c r="Z60" s="317"/>
      <c r="AA60" s="317"/>
      <c r="AB60" s="317"/>
      <c r="AC60" s="317"/>
      <c r="AD60" s="317"/>
    </row>
    <row r="61" ht="20.25" customHeight="1">
      <c r="A61" s="317"/>
      <c r="B61" s="317"/>
      <c r="C61" s="317"/>
      <c r="D61" s="317"/>
      <c r="E61" s="317"/>
      <c r="F61" s="317"/>
      <c r="G61" s="317"/>
      <c r="H61" s="317"/>
      <c r="I61" s="317"/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</row>
    <row r="62" ht="20.25" customHeight="1">
      <c r="A62" s="317"/>
      <c r="B62" s="317"/>
      <c r="C62" s="317"/>
      <c r="D62" s="317"/>
      <c r="E62" s="317"/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</row>
    <row r="63" ht="20.25" customHeight="1">
      <c r="A63" s="317"/>
      <c r="B63" s="317"/>
      <c r="C63" s="317"/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</row>
    <row r="64" ht="20.25" customHeight="1">
      <c r="A64" s="317"/>
      <c r="B64" s="317"/>
      <c r="C64" s="317"/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</row>
    <row r="65" ht="20.25" customHeight="1">
      <c r="A65" s="317"/>
      <c r="B65" s="317"/>
      <c r="C65" s="317"/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</row>
    <row r="66" ht="20.25" customHeight="1">
      <c r="A66" s="317"/>
      <c r="B66" s="317"/>
      <c r="C66" s="317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</row>
    <row r="67" ht="20.25" customHeight="1">
      <c r="A67" s="317"/>
      <c r="B67" s="317"/>
      <c r="C67" s="317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</row>
    <row r="68" ht="20.25" customHeight="1">
      <c r="A68" s="317"/>
      <c r="B68" s="317"/>
      <c r="C68" s="317"/>
      <c r="D68" s="317"/>
      <c r="E68" s="317"/>
      <c r="F68" s="317"/>
      <c r="G68" s="317"/>
      <c r="H68" s="317"/>
      <c r="I68" s="317"/>
      <c r="J68" s="317"/>
      <c r="K68" s="317"/>
      <c r="L68" s="317"/>
      <c r="M68" s="317"/>
      <c r="N68" s="317"/>
      <c r="O68" s="317"/>
      <c r="P68" s="317"/>
      <c r="Q68" s="317"/>
      <c r="R68" s="317"/>
      <c r="S68" s="317"/>
      <c r="T68" s="317"/>
      <c r="U68" s="317"/>
      <c r="V68" s="317"/>
      <c r="W68" s="317"/>
      <c r="X68" s="317"/>
      <c r="Y68" s="317"/>
      <c r="Z68" s="317"/>
      <c r="AA68" s="317"/>
      <c r="AB68" s="317"/>
      <c r="AC68" s="317"/>
      <c r="AD68" s="317"/>
    </row>
    <row r="69" ht="20.25" customHeight="1">
      <c r="A69" s="317"/>
      <c r="B69" s="317"/>
      <c r="C69" s="317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</row>
    <row r="70" ht="20.25" customHeight="1">
      <c r="A70" s="317"/>
      <c r="B70" s="317"/>
      <c r="C70" s="317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7"/>
      <c r="T70" s="317"/>
      <c r="U70" s="317"/>
      <c r="V70" s="317"/>
      <c r="W70" s="317"/>
      <c r="X70" s="317"/>
      <c r="Y70" s="317"/>
      <c r="Z70" s="317"/>
      <c r="AA70" s="317"/>
      <c r="AB70" s="317"/>
      <c r="AC70" s="317"/>
      <c r="AD70" s="317"/>
    </row>
    <row r="71" ht="20.25" customHeight="1">
      <c r="A71" s="317"/>
      <c r="B71" s="317"/>
      <c r="C71" s="317"/>
      <c r="D71" s="317"/>
      <c r="E71" s="317"/>
      <c r="F71" s="317"/>
      <c r="G71" s="317"/>
      <c r="H71" s="317"/>
      <c r="I71" s="317"/>
      <c r="J71" s="317"/>
      <c r="K71" s="317"/>
      <c r="L71" s="317"/>
      <c r="M71" s="317"/>
      <c r="N71" s="317"/>
      <c r="O71" s="317"/>
      <c r="P71" s="317"/>
      <c r="Q71" s="317"/>
      <c r="R71" s="317"/>
      <c r="S71" s="317"/>
      <c r="T71" s="317"/>
      <c r="U71" s="317"/>
      <c r="V71" s="317"/>
      <c r="W71" s="317"/>
      <c r="X71" s="317"/>
      <c r="Y71" s="317"/>
      <c r="Z71" s="317"/>
      <c r="AA71" s="317"/>
      <c r="AB71" s="317"/>
      <c r="AC71" s="317"/>
      <c r="AD71" s="317"/>
    </row>
    <row r="72" ht="20.25" customHeight="1">
      <c r="A72" s="317"/>
      <c r="B72" s="317"/>
      <c r="C72" s="317"/>
      <c r="D72" s="317"/>
      <c r="E72" s="317"/>
      <c r="F72" s="317"/>
      <c r="G72" s="317"/>
      <c r="H72" s="317"/>
      <c r="I72" s="317"/>
      <c r="J72" s="317"/>
      <c r="K72" s="317"/>
      <c r="L72" s="317"/>
      <c r="M72" s="317"/>
      <c r="N72" s="317"/>
      <c r="O72" s="317"/>
      <c r="P72" s="317"/>
      <c r="Q72" s="317"/>
      <c r="R72" s="317"/>
      <c r="S72" s="317"/>
      <c r="T72" s="317"/>
      <c r="U72" s="317"/>
      <c r="V72" s="317"/>
      <c r="W72" s="317"/>
      <c r="X72" s="317"/>
      <c r="Y72" s="317"/>
      <c r="Z72" s="317"/>
      <c r="AA72" s="317"/>
      <c r="AB72" s="317"/>
      <c r="AC72" s="317"/>
      <c r="AD72" s="317"/>
    </row>
    <row r="73" ht="20.25" customHeight="1">
      <c r="A73" s="317"/>
      <c r="B73" s="317"/>
      <c r="C73" s="317"/>
      <c r="D73" s="317"/>
      <c r="E73" s="317"/>
      <c r="F73" s="317"/>
      <c r="G73" s="317"/>
      <c r="H73" s="317"/>
      <c r="I73" s="317"/>
      <c r="J73" s="317"/>
      <c r="K73" s="317"/>
      <c r="L73" s="317"/>
      <c r="M73" s="317"/>
      <c r="N73" s="317"/>
      <c r="O73" s="317"/>
      <c r="P73" s="317"/>
      <c r="Q73" s="317"/>
      <c r="R73" s="317"/>
      <c r="S73" s="317"/>
      <c r="T73" s="317"/>
      <c r="U73" s="317"/>
      <c r="V73" s="317"/>
      <c r="W73" s="317"/>
      <c r="X73" s="317"/>
      <c r="Y73" s="317"/>
      <c r="Z73" s="317"/>
      <c r="AA73" s="317"/>
      <c r="AB73" s="317"/>
      <c r="AC73" s="317"/>
      <c r="AD73" s="317"/>
    </row>
    <row r="74" ht="20.25" customHeight="1">
      <c r="A74" s="317"/>
      <c r="B74" s="317"/>
      <c r="C74" s="317"/>
      <c r="D74" s="317"/>
      <c r="E74" s="317"/>
      <c r="F74" s="317"/>
      <c r="G74" s="317"/>
      <c r="H74" s="317"/>
      <c r="I74" s="317"/>
      <c r="J74" s="317"/>
      <c r="K74" s="317"/>
      <c r="L74" s="317"/>
      <c r="M74" s="317"/>
      <c r="N74" s="317"/>
      <c r="O74" s="317"/>
      <c r="P74" s="317"/>
      <c r="Q74" s="317"/>
      <c r="R74" s="317"/>
      <c r="S74" s="317"/>
      <c r="T74" s="317"/>
      <c r="U74" s="317"/>
      <c r="V74" s="317"/>
      <c r="W74" s="317"/>
      <c r="X74" s="317"/>
      <c r="Y74" s="317"/>
      <c r="Z74" s="317"/>
      <c r="AA74" s="317"/>
      <c r="AB74" s="317"/>
      <c r="AC74" s="317"/>
      <c r="AD74" s="317"/>
    </row>
    <row r="75" ht="20.25" customHeight="1">
      <c r="A75" s="317"/>
      <c r="B75" s="317"/>
      <c r="C75" s="317"/>
      <c r="D75" s="317"/>
      <c r="E75" s="317"/>
      <c r="F75" s="317"/>
      <c r="G75" s="317"/>
      <c r="H75" s="317"/>
      <c r="I75" s="317"/>
      <c r="J75" s="317"/>
      <c r="K75" s="317"/>
      <c r="L75" s="317"/>
      <c r="M75" s="317"/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7"/>
      <c r="AA75" s="317"/>
      <c r="AB75" s="317"/>
      <c r="AC75" s="317"/>
      <c r="AD75" s="317"/>
    </row>
    <row r="76" ht="20.25" customHeight="1">
      <c r="A76" s="317"/>
      <c r="B76" s="317"/>
      <c r="C76" s="317"/>
      <c r="D76" s="317"/>
      <c r="E76" s="317"/>
      <c r="F76" s="317"/>
      <c r="G76" s="317"/>
      <c r="H76" s="317"/>
      <c r="I76" s="317"/>
      <c r="J76" s="317"/>
      <c r="K76" s="317"/>
      <c r="L76" s="317"/>
      <c r="M76" s="317"/>
      <c r="N76" s="317"/>
      <c r="O76" s="317"/>
      <c r="P76" s="317"/>
      <c r="Q76" s="317"/>
      <c r="R76" s="317"/>
      <c r="S76" s="317"/>
      <c r="T76" s="317"/>
      <c r="U76" s="317"/>
      <c r="V76" s="317"/>
      <c r="W76" s="317"/>
      <c r="X76" s="317"/>
      <c r="Y76" s="317"/>
      <c r="Z76" s="317"/>
      <c r="AA76" s="317"/>
      <c r="AB76" s="317"/>
      <c r="AC76" s="317"/>
      <c r="AD76" s="317"/>
    </row>
    <row r="77" ht="20.25" customHeight="1">
      <c r="A77" s="317"/>
      <c r="B77" s="317"/>
      <c r="C77" s="317"/>
      <c r="D77" s="317"/>
      <c r="E77" s="317"/>
      <c r="F77" s="317"/>
      <c r="G77" s="317"/>
      <c r="H77" s="317"/>
      <c r="I77" s="317"/>
      <c r="J77" s="317"/>
      <c r="K77" s="317"/>
      <c r="L77" s="317"/>
      <c r="M77" s="317"/>
      <c r="N77" s="317"/>
      <c r="O77" s="317"/>
      <c r="P77" s="317"/>
      <c r="Q77" s="317"/>
      <c r="R77" s="317"/>
      <c r="S77" s="317"/>
      <c r="T77" s="317"/>
      <c r="U77" s="317"/>
      <c r="V77" s="317"/>
      <c r="W77" s="317"/>
      <c r="X77" s="317"/>
      <c r="Y77" s="317"/>
      <c r="Z77" s="317"/>
      <c r="AA77" s="317"/>
      <c r="AB77" s="317"/>
      <c r="AC77" s="317"/>
      <c r="AD77" s="317"/>
    </row>
    <row r="78" ht="20.25" customHeight="1">
      <c r="A78" s="317"/>
      <c r="B78" s="317"/>
      <c r="C78" s="317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7"/>
      <c r="T78" s="317"/>
      <c r="U78" s="317"/>
      <c r="V78" s="317"/>
      <c r="W78" s="317"/>
      <c r="X78" s="317"/>
      <c r="Y78" s="317"/>
      <c r="Z78" s="317"/>
      <c r="AA78" s="317"/>
      <c r="AB78" s="317"/>
      <c r="AC78" s="317"/>
      <c r="AD78" s="317"/>
    </row>
    <row r="79" ht="20.25" customHeight="1">
      <c r="A79" s="317"/>
      <c r="B79" s="317"/>
      <c r="C79" s="317"/>
      <c r="D79" s="317"/>
      <c r="E79" s="317"/>
      <c r="F79" s="317"/>
      <c r="G79" s="317"/>
      <c r="H79" s="317"/>
      <c r="I79" s="317"/>
      <c r="J79" s="317"/>
      <c r="K79" s="317"/>
      <c r="L79" s="317"/>
      <c r="M79" s="317"/>
      <c r="N79" s="317"/>
      <c r="O79" s="317"/>
      <c r="P79" s="317"/>
      <c r="Q79" s="317"/>
      <c r="R79" s="317"/>
      <c r="S79" s="317"/>
      <c r="T79" s="317"/>
      <c r="U79" s="317"/>
      <c r="V79" s="317"/>
      <c r="W79" s="317"/>
      <c r="X79" s="317"/>
      <c r="Y79" s="317"/>
      <c r="Z79" s="317"/>
      <c r="AA79" s="317"/>
      <c r="AB79" s="317"/>
      <c r="AC79" s="317"/>
      <c r="AD79" s="317"/>
    </row>
    <row r="80" ht="20.25" customHeight="1">
      <c r="A80" s="317"/>
      <c r="B80" s="317"/>
      <c r="C80" s="317"/>
      <c r="D80" s="317"/>
      <c r="E80" s="317"/>
      <c r="F80" s="317"/>
      <c r="G80" s="317"/>
      <c r="H80" s="317"/>
      <c r="I80" s="317"/>
      <c r="J80" s="317"/>
      <c r="K80" s="317"/>
      <c r="L80" s="317"/>
      <c r="M80" s="317"/>
      <c r="N80" s="317"/>
      <c r="O80" s="317"/>
      <c r="P80" s="317"/>
      <c r="Q80" s="317"/>
      <c r="R80" s="317"/>
      <c r="S80" s="317"/>
      <c r="T80" s="317"/>
      <c r="U80" s="317"/>
      <c r="V80" s="317"/>
      <c r="W80" s="317"/>
      <c r="X80" s="317"/>
      <c r="Y80" s="317"/>
      <c r="Z80" s="317"/>
      <c r="AA80" s="317"/>
      <c r="AB80" s="317"/>
      <c r="AC80" s="317"/>
      <c r="AD80" s="317"/>
    </row>
    <row r="81" ht="20.25" customHeight="1">
      <c r="A81" s="317"/>
      <c r="B81" s="317"/>
      <c r="C81" s="317"/>
      <c r="D81" s="317"/>
      <c r="E81" s="317"/>
      <c r="F81" s="317"/>
      <c r="G81" s="317"/>
      <c r="H81" s="317"/>
      <c r="I81" s="317"/>
      <c r="J81" s="317"/>
      <c r="K81" s="317"/>
      <c r="L81" s="317"/>
      <c r="M81" s="317"/>
      <c r="N81" s="317"/>
      <c r="O81" s="317"/>
      <c r="P81" s="317"/>
      <c r="Q81" s="317"/>
      <c r="R81" s="317"/>
      <c r="S81" s="317"/>
      <c r="T81" s="317"/>
      <c r="U81" s="317"/>
      <c r="V81" s="317"/>
      <c r="W81" s="317"/>
      <c r="X81" s="317"/>
      <c r="Y81" s="317"/>
      <c r="Z81" s="317"/>
      <c r="AA81" s="317"/>
      <c r="AB81" s="317"/>
      <c r="AC81" s="317"/>
      <c r="AD81" s="317"/>
    </row>
    <row r="82" ht="20.25" customHeight="1">
      <c r="A82" s="317"/>
      <c r="B82" s="317"/>
      <c r="C82" s="317"/>
      <c r="D82" s="317"/>
      <c r="E82" s="317"/>
      <c r="F82" s="317"/>
      <c r="G82" s="317"/>
      <c r="H82" s="317"/>
      <c r="I82" s="317"/>
      <c r="J82" s="317"/>
      <c r="K82" s="317"/>
      <c r="L82" s="317"/>
      <c r="M82" s="317"/>
      <c r="N82" s="317"/>
      <c r="O82" s="317"/>
      <c r="P82" s="317"/>
      <c r="Q82" s="317"/>
      <c r="R82" s="317"/>
      <c r="S82" s="317"/>
      <c r="T82" s="317"/>
      <c r="U82" s="317"/>
      <c r="V82" s="317"/>
      <c r="W82" s="317"/>
      <c r="X82" s="317"/>
      <c r="Y82" s="317"/>
      <c r="Z82" s="317"/>
      <c r="AA82" s="317"/>
      <c r="AB82" s="317"/>
      <c r="AC82" s="317"/>
      <c r="AD82" s="317"/>
    </row>
    <row r="83" ht="20.25" customHeight="1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</row>
    <row r="84" ht="20.25" customHeight="1">
      <c r="A84" s="317"/>
      <c r="B84" s="317"/>
      <c r="C84" s="317"/>
      <c r="D84" s="317"/>
      <c r="E84" s="317"/>
      <c r="F84" s="317"/>
      <c r="G84" s="317"/>
      <c r="H84" s="317"/>
      <c r="I84" s="317"/>
      <c r="J84" s="317"/>
      <c r="K84" s="317"/>
      <c r="L84" s="317"/>
      <c r="M84" s="317"/>
      <c r="N84" s="317"/>
      <c r="O84" s="317"/>
      <c r="P84" s="317"/>
      <c r="Q84" s="317"/>
      <c r="R84" s="317"/>
      <c r="S84" s="317"/>
      <c r="T84" s="317"/>
      <c r="U84" s="317"/>
      <c r="V84" s="317"/>
      <c r="W84" s="317"/>
      <c r="X84" s="317"/>
      <c r="Y84" s="317"/>
      <c r="Z84" s="317"/>
      <c r="AA84" s="317"/>
      <c r="AB84" s="317"/>
      <c r="AC84" s="317"/>
      <c r="AD84" s="317"/>
    </row>
    <row r="85" ht="20.25" customHeight="1">
      <c r="A85" s="317"/>
      <c r="B85" s="317"/>
      <c r="C85" s="317"/>
      <c r="D85" s="317"/>
      <c r="E85" s="317"/>
      <c r="F85" s="317"/>
      <c r="G85" s="317"/>
      <c r="H85" s="317"/>
      <c r="I85" s="317"/>
      <c r="J85" s="317"/>
      <c r="K85" s="317"/>
      <c r="L85" s="317"/>
      <c r="M85" s="317"/>
      <c r="N85" s="317"/>
      <c r="O85" s="317"/>
      <c r="P85" s="317"/>
      <c r="Q85" s="317"/>
      <c r="R85" s="317"/>
      <c r="S85" s="317"/>
      <c r="T85" s="317"/>
      <c r="U85" s="317"/>
      <c r="V85" s="317"/>
      <c r="W85" s="317"/>
      <c r="X85" s="317"/>
      <c r="Y85" s="317"/>
      <c r="Z85" s="317"/>
      <c r="AA85" s="317"/>
      <c r="AB85" s="317"/>
      <c r="AC85" s="317"/>
      <c r="AD85" s="317"/>
    </row>
    <row r="86" ht="20.25" customHeight="1">
      <c r="A86" s="317"/>
      <c r="B86" s="317"/>
      <c r="C86" s="317"/>
      <c r="D86" s="317"/>
      <c r="E86" s="317"/>
      <c r="F86" s="317"/>
      <c r="G86" s="317"/>
      <c r="H86" s="317"/>
      <c r="I86" s="317"/>
      <c r="J86" s="317"/>
      <c r="K86" s="317"/>
      <c r="L86" s="317"/>
      <c r="M86" s="317"/>
      <c r="N86" s="317"/>
      <c r="O86" s="317"/>
      <c r="P86" s="317"/>
      <c r="Q86" s="317"/>
      <c r="R86" s="317"/>
      <c r="S86" s="317"/>
      <c r="T86" s="317"/>
      <c r="U86" s="317"/>
      <c r="V86" s="317"/>
      <c r="W86" s="317"/>
      <c r="X86" s="317"/>
      <c r="Y86" s="317"/>
      <c r="Z86" s="317"/>
      <c r="AA86" s="317"/>
      <c r="AB86" s="317"/>
      <c r="AC86" s="317"/>
      <c r="AD86" s="317"/>
    </row>
    <row r="87" ht="20.25" customHeight="1">
      <c r="A87" s="317"/>
      <c r="B87" s="317"/>
      <c r="C87" s="317"/>
      <c r="D87" s="317"/>
      <c r="E87" s="317"/>
      <c r="F87" s="317"/>
      <c r="G87" s="317"/>
      <c r="H87" s="317"/>
      <c r="I87" s="317"/>
      <c r="J87" s="317"/>
      <c r="K87" s="317"/>
      <c r="L87" s="317"/>
      <c r="M87" s="317"/>
      <c r="N87" s="317"/>
      <c r="O87" s="317"/>
      <c r="P87" s="317"/>
      <c r="Q87" s="317"/>
      <c r="R87" s="317"/>
      <c r="S87" s="317"/>
      <c r="T87" s="317"/>
      <c r="U87" s="317"/>
      <c r="V87" s="317"/>
      <c r="W87" s="317"/>
      <c r="X87" s="317"/>
      <c r="Y87" s="317"/>
      <c r="Z87" s="317"/>
      <c r="AA87" s="317"/>
      <c r="AB87" s="317"/>
      <c r="AC87" s="317"/>
      <c r="AD87" s="317"/>
    </row>
    <row r="88" ht="20.25" customHeight="1">
      <c r="A88" s="317"/>
      <c r="B88" s="317"/>
      <c r="C88" s="317"/>
      <c r="D88" s="317"/>
      <c r="E88" s="317"/>
      <c r="F88" s="317"/>
      <c r="G88" s="317"/>
      <c r="H88" s="317"/>
      <c r="I88" s="317"/>
      <c r="J88" s="317"/>
      <c r="K88" s="317"/>
      <c r="L88" s="317"/>
      <c r="M88" s="317"/>
      <c r="N88" s="317"/>
      <c r="O88" s="317"/>
      <c r="P88" s="317"/>
      <c r="Q88" s="317"/>
      <c r="R88" s="317"/>
      <c r="S88" s="317"/>
      <c r="T88" s="317"/>
      <c r="U88" s="317"/>
      <c r="V88" s="317"/>
      <c r="W88" s="317"/>
      <c r="X88" s="317"/>
      <c r="Y88" s="317"/>
      <c r="Z88" s="317"/>
      <c r="AA88" s="317"/>
      <c r="AB88" s="317"/>
      <c r="AC88" s="317"/>
      <c r="AD88" s="317"/>
    </row>
    <row r="89" ht="20.25" customHeight="1">
      <c r="A89" s="317"/>
      <c r="B89" s="317"/>
      <c r="C89" s="317"/>
      <c r="D89" s="317"/>
      <c r="E89" s="317"/>
      <c r="F89" s="317"/>
      <c r="G89" s="317"/>
      <c r="H89" s="317"/>
      <c r="I89" s="317"/>
      <c r="J89" s="317"/>
      <c r="K89" s="317"/>
      <c r="L89" s="317"/>
      <c r="M89" s="317"/>
      <c r="N89" s="317"/>
      <c r="O89" s="317"/>
      <c r="P89" s="317"/>
      <c r="Q89" s="317"/>
      <c r="R89" s="317"/>
      <c r="S89" s="317"/>
      <c r="T89" s="317"/>
      <c r="U89" s="317"/>
      <c r="V89" s="317"/>
      <c r="W89" s="317"/>
      <c r="X89" s="317"/>
      <c r="Y89" s="317"/>
      <c r="Z89" s="317"/>
      <c r="AA89" s="317"/>
      <c r="AB89" s="317"/>
      <c r="AC89" s="317"/>
      <c r="AD89" s="317"/>
    </row>
    <row r="90" ht="20.25" customHeight="1">
      <c r="A90" s="317"/>
      <c r="B90" s="317"/>
      <c r="C90" s="317"/>
      <c r="D90" s="317"/>
      <c r="E90" s="317"/>
      <c r="F90" s="317"/>
      <c r="G90" s="317"/>
      <c r="H90" s="317"/>
      <c r="I90" s="317"/>
      <c r="J90" s="317"/>
      <c r="K90" s="317"/>
      <c r="L90" s="317"/>
      <c r="M90" s="317"/>
      <c r="N90" s="317"/>
      <c r="O90" s="317"/>
      <c r="P90" s="317"/>
      <c r="Q90" s="317"/>
      <c r="R90" s="317"/>
      <c r="S90" s="317"/>
      <c r="T90" s="317"/>
      <c r="U90" s="317"/>
      <c r="V90" s="317"/>
      <c r="W90" s="317"/>
      <c r="X90" s="317"/>
      <c r="Y90" s="317"/>
      <c r="Z90" s="317"/>
      <c r="AA90" s="317"/>
      <c r="AB90" s="317"/>
      <c r="AC90" s="317"/>
      <c r="AD90" s="317"/>
    </row>
    <row r="91" ht="20.25" customHeight="1">
      <c r="A91" s="317"/>
      <c r="B91" s="317"/>
      <c r="C91" s="317"/>
      <c r="D91" s="317"/>
      <c r="E91" s="317"/>
      <c r="F91" s="317"/>
      <c r="G91" s="317"/>
      <c r="H91" s="317"/>
      <c r="I91" s="317"/>
      <c r="J91" s="317"/>
      <c r="K91" s="317"/>
      <c r="L91" s="317"/>
      <c r="M91" s="317"/>
      <c r="N91" s="317"/>
      <c r="O91" s="317"/>
      <c r="P91" s="317"/>
      <c r="Q91" s="317"/>
      <c r="R91" s="317"/>
      <c r="S91" s="317"/>
      <c r="T91" s="317"/>
      <c r="U91" s="317"/>
      <c r="V91" s="317"/>
      <c r="W91" s="317"/>
      <c r="X91" s="317"/>
      <c r="Y91" s="317"/>
      <c r="Z91" s="317"/>
      <c r="AA91" s="317"/>
      <c r="AB91" s="317"/>
      <c r="AC91" s="317"/>
      <c r="AD91" s="317"/>
    </row>
    <row r="92" ht="20.25" customHeight="1">
      <c r="A92" s="317"/>
      <c r="B92" s="317"/>
      <c r="C92" s="317"/>
      <c r="D92" s="317"/>
      <c r="E92" s="317"/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7"/>
      <c r="AC92" s="317"/>
      <c r="AD92" s="317"/>
    </row>
    <row r="93" ht="20.25" customHeight="1">
      <c r="A93" s="317"/>
      <c r="B93" s="317"/>
      <c r="C93" s="317"/>
      <c r="D93" s="317"/>
      <c r="E93" s="317"/>
      <c r="F93" s="317"/>
      <c r="G93" s="317"/>
      <c r="H93" s="317"/>
      <c r="I93" s="317"/>
      <c r="J93" s="317"/>
      <c r="K93" s="317"/>
      <c r="L93" s="317"/>
      <c r="M93" s="317"/>
      <c r="N93" s="317"/>
      <c r="O93" s="317"/>
      <c r="P93" s="317"/>
      <c r="Q93" s="317"/>
      <c r="R93" s="317"/>
      <c r="S93" s="317"/>
      <c r="T93" s="317"/>
      <c r="U93" s="317"/>
      <c r="V93" s="317"/>
      <c r="W93" s="317"/>
      <c r="X93" s="317"/>
      <c r="Y93" s="317"/>
      <c r="Z93" s="317"/>
      <c r="AA93" s="317"/>
      <c r="AB93" s="317"/>
      <c r="AC93" s="317"/>
      <c r="AD93" s="317"/>
    </row>
    <row r="94" ht="20.25" customHeight="1">
      <c r="A94" s="317"/>
      <c r="B94" s="317"/>
      <c r="C94" s="317"/>
      <c r="D94" s="317"/>
      <c r="E94" s="317"/>
      <c r="F94" s="317"/>
      <c r="G94" s="317"/>
      <c r="H94" s="317"/>
      <c r="I94" s="317"/>
      <c r="J94" s="317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  <c r="V94" s="317"/>
      <c r="W94" s="317"/>
      <c r="X94" s="317"/>
      <c r="Y94" s="317"/>
      <c r="Z94" s="317"/>
      <c r="AA94" s="317"/>
      <c r="AB94" s="317"/>
      <c r="AC94" s="317"/>
      <c r="AD94" s="317"/>
    </row>
    <row r="95" ht="20.25" customHeight="1">
      <c r="A95" s="317"/>
      <c r="B95" s="317"/>
      <c r="C95" s="317"/>
      <c r="D95" s="317"/>
      <c r="E95" s="317"/>
      <c r="F95" s="317"/>
      <c r="G95" s="317"/>
      <c r="H95" s="317"/>
      <c r="I95" s="317"/>
      <c r="J95" s="317"/>
      <c r="K95" s="317"/>
      <c r="L95" s="317"/>
      <c r="M95" s="317"/>
      <c r="N95" s="317"/>
      <c r="O95" s="317"/>
      <c r="P95" s="317"/>
      <c r="Q95" s="317"/>
      <c r="R95" s="317"/>
      <c r="S95" s="317"/>
      <c r="T95" s="317"/>
      <c r="U95" s="317"/>
      <c r="V95" s="317"/>
      <c r="W95" s="317"/>
      <c r="X95" s="317"/>
      <c r="Y95" s="317"/>
      <c r="Z95" s="317"/>
      <c r="AA95" s="317"/>
      <c r="AB95" s="317"/>
      <c r="AC95" s="317"/>
      <c r="AD95" s="317"/>
    </row>
    <row r="96" ht="20.25" customHeight="1">
      <c r="A96" s="317"/>
      <c r="B96" s="317"/>
      <c r="C96" s="317"/>
      <c r="D96" s="317"/>
      <c r="E96" s="317"/>
      <c r="F96" s="317"/>
      <c r="G96" s="317"/>
      <c r="H96" s="317"/>
      <c r="I96" s="317"/>
      <c r="J96" s="317"/>
      <c r="K96" s="317"/>
      <c r="L96" s="317"/>
      <c r="M96" s="317"/>
      <c r="N96" s="317"/>
      <c r="O96" s="317"/>
      <c r="P96" s="317"/>
      <c r="Q96" s="317"/>
      <c r="R96" s="317"/>
      <c r="S96" s="317"/>
      <c r="T96" s="317"/>
      <c r="U96" s="317"/>
      <c r="V96" s="317"/>
      <c r="W96" s="317"/>
      <c r="X96" s="317"/>
      <c r="Y96" s="317"/>
      <c r="Z96" s="317"/>
      <c r="AA96" s="317"/>
      <c r="AB96" s="317"/>
      <c r="AC96" s="317"/>
      <c r="AD96" s="317"/>
    </row>
    <row r="97" ht="20.25" customHeight="1">
      <c r="A97" s="317"/>
      <c r="B97" s="317"/>
      <c r="C97" s="317"/>
      <c r="D97" s="317"/>
      <c r="E97" s="317"/>
      <c r="F97" s="317"/>
      <c r="G97" s="317"/>
      <c r="H97" s="317"/>
      <c r="I97" s="317"/>
      <c r="J97" s="317"/>
      <c r="K97" s="317"/>
      <c r="L97" s="317"/>
      <c r="M97" s="317"/>
      <c r="N97" s="317"/>
      <c r="O97" s="317"/>
      <c r="P97" s="317"/>
      <c r="Q97" s="317"/>
      <c r="R97" s="317"/>
      <c r="S97" s="317"/>
      <c r="T97" s="317"/>
      <c r="U97" s="317"/>
      <c r="V97" s="317"/>
      <c r="W97" s="317"/>
      <c r="X97" s="317"/>
      <c r="Y97" s="317"/>
      <c r="Z97" s="317"/>
      <c r="AA97" s="317"/>
      <c r="AB97" s="317"/>
      <c r="AC97" s="317"/>
      <c r="AD97" s="317"/>
    </row>
    <row r="98" ht="20.25" customHeight="1">
      <c r="A98" s="317"/>
      <c r="B98" s="317"/>
      <c r="C98" s="317"/>
      <c r="D98" s="317"/>
      <c r="E98" s="317"/>
      <c r="F98" s="317"/>
      <c r="G98" s="317"/>
      <c r="H98" s="317"/>
      <c r="I98" s="317"/>
      <c r="J98" s="317"/>
      <c r="K98" s="317"/>
      <c r="L98" s="317"/>
      <c r="M98" s="317"/>
      <c r="N98" s="317"/>
      <c r="O98" s="317"/>
      <c r="P98" s="317"/>
      <c r="Q98" s="317"/>
      <c r="R98" s="317"/>
      <c r="S98" s="317"/>
      <c r="T98" s="317"/>
      <c r="U98" s="317"/>
      <c r="V98" s="317"/>
      <c r="W98" s="317"/>
      <c r="X98" s="317"/>
      <c r="Y98" s="317"/>
      <c r="Z98" s="317"/>
      <c r="AA98" s="317"/>
      <c r="AB98" s="317"/>
      <c r="AC98" s="317"/>
      <c r="AD98" s="317"/>
    </row>
    <row r="99" ht="20.25" customHeight="1">
      <c r="A99" s="317"/>
      <c r="B99" s="317"/>
      <c r="C99" s="317"/>
      <c r="D99" s="317"/>
      <c r="E99" s="317"/>
      <c r="F99" s="317"/>
      <c r="G99" s="317"/>
      <c r="H99" s="317"/>
      <c r="I99" s="317"/>
      <c r="J99" s="317"/>
      <c r="K99" s="317"/>
      <c r="L99" s="317"/>
      <c r="M99" s="317"/>
      <c r="N99" s="317"/>
      <c r="O99" s="317"/>
      <c r="P99" s="317"/>
      <c r="Q99" s="317"/>
      <c r="R99" s="317"/>
      <c r="S99" s="317"/>
      <c r="T99" s="317"/>
      <c r="U99" s="317"/>
      <c r="V99" s="317"/>
      <c r="W99" s="317"/>
      <c r="X99" s="317"/>
      <c r="Y99" s="317"/>
      <c r="Z99" s="317"/>
      <c r="AA99" s="317"/>
      <c r="AB99" s="317"/>
      <c r="AC99" s="317"/>
      <c r="AD99" s="317"/>
    </row>
    <row r="100" ht="20.25" customHeight="1">
      <c r="A100" s="317"/>
      <c r="B100" s="317"/>
      <c r="C100" s="317"/>
      <c r="D100" s="317"/>
      <c r="E100" s="317"/>
      <c r="F100" s="317"/>
      <c r="G100" s="317"/>
      <c r="H100" s="317"/>
      <c r="I100" s="317"/>
      <c r="J100" s="317"/>
      <c r="K100" s="317"/>
      <c r="L100" s="317"/>
      <c r="M100" s="317"/>
      <c r="N100" s="317"/>
      <c r="O100" s="317"/>
      <c r="P100" s="317"/>
      <c r="Q100" s="317"/>
      <c r="R100" s="317"/>
      <c r="S100" s="317"/>
      <c r="T100" s="317"/>
      <c r="U100" s="317"/>
      <c r="V100" s="317"/>
      <c r="W100" s="317"/>
      <c r="X100" s="317"/>
      <c r="Y100" s="317"/>
      <c r="Z100" s="317"/>
      <c r="AA100" s="317"/>
      <c r="AB100" s="317"/>
      <c r="AC100" s="317"/>
      <c r="AD100" s="317"/>
    </row>
    <row r="101" ht="20.25" customHeight="1">
      <c r="A101" s="317"/>
      <c r="B101" s="317"/>
      <c r="C101" s="317"/>
      <c r="D101" s="317"/>
      <c r="E101" s="317"/>
      <c r="F101" s="317"/>
      <c r="G101" s="317"/>
      <c r="H101" s="317"/>
      <c r="I101" s="317"/>
      <c r="J101" s="317"/>
      <c r="K101" s="317"/>
      <c r="L101" s="317"/>
      <c r="M101" s="317"/>
      <c r="N101" s="317"/>
      <c r="O101" s="317"/>
      <c r="P101" s="317"/>
      <c r="Q101" s="317"/>
      <c r="R101" s="317"/>
      <c r="S101" s="317"/>
      <c r="T101" s="317"/>
      <c r="U101" s="317"/>
      <c r="V101" s="317"/>
      <c r="W101" s="317"/>
      <c r="X101" s="317"/>
      <c r="Y101" s="317"/>
      <c r="Z101" s="317"/>
      <c r="AA101" s="317"/>
      <c r="AB101" s="317"/>
      <c r="AC101" s="317"/>
      <c r="AD101" s="317"/>
    </row>
    <row r="102" ht="20.25" customHeight="1">
      <c r="A102" s="317"/>
      <c r="B102" s="317"/>
      <c r="C102" s="317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7"/>
      <c r="T102" s="317"/>
      <c r="U102" s="317"/>
      <c r="V102" s="317"/>
      <c r="W102" s="317"/>
      <c r="X102" s="317"/>
      <c r="Y102" s="317"/>
      <c r="Z102" s="317"/>
      <c r="AA102" s="317"/>
      <c r="AB102" s="317"/>
      <c r="AC102" s="317"/>
      <c r="AD102" s="317"/>
    </row>
    <row r="103" ht="20.25" customHeight="1">
      <c r="A103" s="317"/>
      <c r="B103" s="317"/>
      <c r="C103" s="317"/>
      <c r="D103" s="317"/>
      <c r="E103" s="317"/>
      <c r="F103" s="317"/>
      <c r="G103" s="317"/>
      <c r="H103" s="317"/>
      <c r="I103" s="317"/>
      <c r="J103" s="317"/>
      <c r="K103" s="317"/>
      <c r="L103" s="317"/>
      <c r="M103" s="317"/>
      <c r="N103" s="317"/>
      <c r="O103" s="317"/>
      <c r="P103" s="317"/>
      <c r="Q103" s="317"/>
      <c r="R103" s="317"/>
      <c r="S103" s="317"/>
      <c r="T103" s="317"/>
      <c r="U103" s="317"/>
      <c r="V103" s="317"/>
      <c r="W103" s="317"/>
      <c r="X103" s="317"/>
      <c r="Y103" s="317"/>
      <c r="Z103" s="317"/>
      <c r="AA103" s="317"/>
      <c r="AB103" s="317"/>
      <c r="AC103" s="317"/>
      <c r="AD103" s="317"/>
    </row>
    <row r="104" ht="20.25" customHeight="1">
      <c r="A104" s="317"/>
      <c r="B104" s="317"/>
      <c r="C104" s="317"/>
      <c r="D104" s="317"/>
      <c r="E104" s="317"/>
      <c r="F104" s="317"/>
      <c r="G104" s="317"/>
      <c r="H104" s="317"/>
      <c r="I104" s="317"/>
      <c r="J104" s="317"/>
      <c r="K104" s="317"/>
      <c r="L104" s="317"/>
      <c r="M104" s="317"/>
      <c r="N104" s="317"/>
      <c r="O104" s="317"/>
      <c r="P104" s="317"/>
      <c r="Q104" s="317"/>
      <c r="R104" s="317"/>
      <c r="S104" s="317"/>
      <c r="T104" s="317"/>
      <c r="U104" s="317"/>
      <c r="V104" s="317"/>
      <c r="W104" s="317"/>
      <c r="X104" s="317"/>
      <c r="Y104" s="317"/>
      <c r="Z104" s="317"/>
      <c r="AA104" s="317"/>
      <c r="AB104" s="317"/>
      <c r="AC104" s="317"/>
      <c r="AD104" s="317"/>
    </row>
    <row r="105" ht="20.25" customHeight="1">
      <c r="A105" s="317"/>
      <c r="B105" s="317"/>
      <c r="C105" s="317"/>
      <c r="D105" s="317"/>
      <c r="E105" s="317"/>
      <c r="F105" s="317"/>
      <c r="G105" s="317"/>
      <c r="H105" s="317"/>
      <c r="I105" s="317"/>
      <c r="J105" s="317"/>
      <c r="K105" s="317"/>
      <c r="L105" s="317"/>
      <c r="M105" s="317"/>
      <c r="N105" s="317"/>
      <c r="O105" s="317"/>
      <c r="P105" s="317"/>
      <c r="Q105" s="317"/>
      <c r="R105" s="317"/>
      <c r="S105" s="317"/>
      <c r="T105" s="317"/>
      <c r="U105" s="317"/>
      <c r="V105" s="317"/>
      <c r="W105" s="317"/>
      <c r="X105" s="317"/>
      <c r="Y105" s="317"/>
      <c r="Z105" s="317"/>
      <c r="AA105" s="317"/>
      <c r="AB105" s="317"/>
      <c r="AC105" s="317"/>
      <c r="AD105" s="317"/>
    </row>
    <row r="106" ht="20.25" customHeight="1">
      <c r="A106" s="317"/>
      <c r="B106" s="317"/>
      <c r="C106" s="317"/>
      <c r="D106" s="317"/>
      <c r="E106" s="317"/>
      <c r="F106" s="317"/>
      <c r="G106" s="317"/>
      <c r="H106" s="317"/>
      <c r="I106" s="317"/>
      <c r="J106" s="317"/>
      <c r="K106" s="317"/>
      <c r="L106" s="317"/>
      <c r="M106" s="317"/>
      <c r="N106" s="317"/>
      <c r="O106" s="317"/>
      <c r="P106" s="317"/>
      <c r="Q106" s="317"/>
      <c r="R106" s="317"/>
      <c r="S106" s="317"/>
      <c r="T106" s="317"/>
      <c r="U106" s="317"/>
      <c r="V106" s="317"/>
      <c r="W106" s="317"/>
      <c r="X106" s="317"/>
      <c r="Y106" s="317"/>
      <c r="Z106" s="317"/>
      <c r="AA106" s="317"/>
      <c r="AB106" s="317"/>
      <c r="AC106" s="317"/>
      <c r="AD106" s="317"/>
    </row>
    <row r="107" ht="20.25" customHeight="1">
      <c r="A107" s="317"/>
      <c r="B107" s="317"/>
      <c r="C107" s="317"/>
      <c r="D107" s="317"/>
      <c r="E107" s="317"/>
      <c r="F107" s="317"/>
      <c r="G107" s="317"/>
      <c r="H107" s="317"/>
      <c r="I107" s="317"/>
      <c r="J107" s="317"/>
      <c r="K107" s="317"/>
      <c r="L107" s="317"/>
      <c r="M107" s="317"/>
      <c r="N107" s="317"/>
      <c r="O107" s="317"/>
      <c r="P107" s="317"/>
      <c r="Q107" s="317"/>
      <c r="R107" s="317"/>
      <c r="S107" s="317"/>
      <c r="T107" s="317"/>
      <c r="U107" s="317"/>
      <c r="V107" s="317"/>
      <c r="W107" s="317"/>
      <c r="X107" s="317"/>
      <c r="Y107" s="317"/>
      <c r="Z107" s="317"/>
      <c r="AA107" s="317"/>
      <c r="AB107" s="317"/>
      <c r="AC107" s="317"/>
      <c r="AD107" s="317"/>
    </row>
    <row r="108" ht="20.25" customHeight="1">
      <c r="A108" s="317"/>
      <c r="B108" s="317"/>
      <c r="C108" s="317"/>
      <c r="D108" s="317"/>
      <c r="E108" s="317"/>
      <c r="F108" s="317"/>
      <c r="G108" s="317"/>
      <c r="H108" s="317"/>
      <c r="I108" s="317"/>
      <c r="J108" s="317"/>
      <c r="K108" s="317"/>
      <c r="L108" s="317"/>
      <c r="M108" s="317"/>
      <c r="N108" s="317"/>
      <c r="O108" s="317"/>
      <c r="P108" s="317"/>
      <c r="Q108" s="317"/>
      <c r="R108" s="317"/>
      <c r="S108" s="317"/>
      <c r="T108" s="317"/>
      <c r="U108" s="317"/>
      <c r="V108" s="317"/>
      <c r="W108" s="317"/>
      <c r="X108" s="317"/>
      <c r="Y108" s="317"/>
      <c r="Z108" s="317"/>
      <c r="AA108" s="317"/>
      <c r="AB108" s="317"/>
      <c r="AC108" s="317"/>
      <c r="AD108" s="317"/>
    </row>
    <row r="109" ht="20.25" customHeight="1">
      <c r="A109" s="317"/>
      <c r="B109" s="317"/>
      <c r="C109" s="317"/>
      <c r="D109" s="317"/>
      <c r="E109" s="317"/>
      <c r="F109" s="317"/>
      <c r="G109" s="317"/>
      <c r="H109" s="317"/>
      <c r="I109" s="317"/>
      <c r="J109" s="317"/>
      <c r="K109" s="317"/>
      <c r="L109" s="317"/>
      <c r="M109" s="317"/>
      <c r="N109" s="317"/>
      <c r="O109" s="317"/>
      <c r="P109" s="317"/>
      <c r="Q109" s="317"/>
      <c r="R109" s="317"/>
      <c r="S109" s="317"/>
      <c r="T109" s="317"/>
      <c r="U109" s="317"/>
      <c r="V109" s="317"/>
      <c r="W109" s="317"/>
      <c r="X109" s="317"/>
      <c r="Y109" s="317"/>
      <c r="Z109" s="317"/>
      <c r="AA109" s="317"/>
      <c r="AB109" s="317"/>
      <c r="AC109" s="317"/>
      <c r="AD109" s="317"/>
    </row>
    <row r="110" ht="20.25" customHeight="1">
      <c r="A110" s="317"/>
      <c r="B110" s="317"/>
      <c r="C110" s="317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7"/>
      <c r="T110" s="317"/>
      <c r="U110" s="317"/>
      <c r="V110" s="317"/>
      <c r="W110" s="317"/>
      <c r="X110" s="317"/>
      <c r="Y110" s="317"/>
      <c r="Z110" s="317"/>
      <c r="AA110" s="317"/>
      <c r="AB110" s="317"/>
      <c r="AC110" s="317"/>
      <c r="AD110" s="317"/>
    </row>
    <row r="111" ht="20.25" customHeight="1">
      <c r="A111" s="317"/>
      <c r="B111" s="317"/>
      <c r="C111" s="317"/>
      <c r="D111" s="317"/>
      <c r="E111" s="317"/>
      <c r="F111" s="317"/>
      <c r="G111" s="317"/>
      <c r="H111" s="317"/>
      <c r="I111" s="317"/>
      <c r="J111" s="317"/>
      <c r="K111" s="317"/>
      <c r="L111" s="317"/>
      <c r="M111" s="317"/>
      <c r="N111" s="317"/>
      <c r="O111" s="317"/>
      <c r="P111" s="317"/>
      <c r="Q111" s="317"/>
      <c r="R111" s="317"/>
      <c r="S111" s="317"/>
      <c r="T111" s="317"/>
      <c r="U111" s="317"/>
      <c r="V111" s="317"/>
      <c r="W111" s="317"/>
      <c r="X111" s="317"/>
      <c r="Y111" s="317"/>
      <c r="Z111" s="317"/>
      <c r="AA111" s="317"/>
      <c r="AB111" s="317"/>
      <c r="AC111" s="317"/>
      <c r="AD111" s="317"/>
    </row>
    <row r="112" ht="20.25" customHeight="1">
      <c r="A112" s="317"/>
      <c r="B112" s="317"/>
      <c r="C112" s="317"/>
      <c r="D112" s="317"/>
      <c r="E112" s="317"/>
      <c r="F112" s="317"/>
      <c r="G112" s="317"/>
      <c r="H112" s="317"/>
      <c r="I112" s="317"/>
      <c r="J112" s="317"/>
      <c r="K112" s="317"/>
      <c r="L112" s="317"/>
      <c r="M112" s="317"/>
      <c r="N112" s="317"/>
      <c r="O112" s="317"/>
      <c r="P112" s="317"/>
      <c r="Q112" s="317"/>
      <c r="R112" s="317"/>
      <c r="S112" s="317"/>
      <c r="T112" s="317"/>
      <c r="U112" s="317"/>
      <c r="V112" s="317"/>
      <c r="W112" s="317"/>
      <c r="X112" s="317"/>
      <c r="Y112" s="317"/>
      <c r="Z112" s="317"/>
      <c r="AA112" s="317"/>
      <c r="AB112" s="317"/>
      <c r="AC112" s="317"/>
      <c r="AD112" s="317"/>
    </row>
    <row r="113" ht="20.25" customHeight="1">
      <c r="A113" s="317"/>
      <c r="B113" s="317"/>
      <c r="C113" s="317"/>
      <c r="D113" s="317"/>
      <c r="E113" s="317"/>
      <c r="F113" s="317"/>
      <c r="G113" s="317"/>
      <c r="H113" s="317"/>
      <c r="I113" s="317"/>
      <c r="J113" s="317"/>
      <c r="K113" s="317"/>
      <c r="L113" s="317"/>
      <c r="M113" s="317"/>
      <c r="N113" s="317"/>
      <c r="O113" s="317"/>
      <c r="P113" s="317"/>
      <c r="Q113" s="317"/>
      <c r="R113" s="317"/>
      <c r="S113" s="317"/>
      <c r="T113" s="317"/>
      <c r="U113" s="317"/>
      <c r="V113" s="317"/>
      <c r="W113" s="317"/>
      <c r="X113" s="317"/>
      <c r="Y113" s="317"/>
      <c r="Z113" s="317"/>
      <c r="AA113" s="317"/>
      <c r="AB113" s="317"/>
      <c r="AC113" s="317"/>
      <c r="AD113" s="317"/>
    </row>
    <row r="114" ht="20.25" customHeight="1">
      <c r="A114" s="317"/>
      <c r="B114" s="317"/>
      <c r="C114" s="317"/>
      <c r="D114" s="317"/>
      <c r="E114" s="317"/>
      <c r="F114" s="317"/>
      <c r="G114" s="317"/>
      <c r="H114" s="317"/>
      <c r="I114" s="317"/>
      <c r="J114" s="317"/>
      <c r="K114" s="317"/>
      <c r="L114" s="317"/>
      <c r="M114" s="317"/>
      <c r="N114" s="317"/>
      <c r="O114" s="317"/>
      <c r="P114" s="317"/>
      <c r="Q114" s="317"/>
      <c r="R114" s="317"/>
      <c r="S114" s="317"/>
      <c r="T114" s="317"/>
      <c r="U114" s="317"/>
      <c r="V114" s="317"/>
      <c r="W114" s="317"/>
      <c r="X114" s="317"/>
      <c r="Y114" s="317"/>
      <c r="Z114" s="317"/>
      <c r="AA114" s="317"/>
      <c r="AB114" s="317"/>
      <c r="AC114" s="317"/>
      <c r="AD114" s="317"/>
    </row>
    <row r="115" ht="20.25" customHeight="1">
      <c r="A115" s="317"/>
      <c r="B115" s="317"/>
      <c r="C115" s="317"/>
      <c r="D115" s="317"/>
      <c r="E115" s="317"/>
      <c r="F115" s="317"/>
      <c r="G115" s="317"/>
      <c r="H115" s="317"/>
      <c r="I115" s="317"/>
      <c r="J115" s="317"/>
      <c r="K115" s="317"/>
      <c r="L115" s="317"/>
      <c r="M115" s="317"/>
      <c r="N115" s="317"/>
      <c r="O115" s="317"/>
      <c r="P115" s="317"/>
      <c r="Q115" s="317"/>
      <c r="R115" s="317"/>
      <c r="S115" s="317"/>
      <c r="T115" s="317"/>
      <c r="U115" s="317"/>
      <c r="V115" s="317"/>
      <c r="W115" s="317"/>
      <c r="X115" s="317"/>
      <c r="Y115" s="317"/>
      <c r="Z115" s="317"/>
      <c r="AA115" s="317"/>
      <c r="AB115" s="317"/>
      <c r="AC115" s="317"/>
      <c r="AD115" s="317"/>
    </row>
    <row r="116" ht="20.25" customHeight="1">
      <c r="A116" s="317"/>
      <c r="B116" s="317"/>
      <c r="C116" s="317"/>
      <c r="D116" s="317"/>
      <c r="E116" s="317"/>
      <c r="F116" s="317"/>
      <c r="G116" s="317"/>
      <c r="H116" s="317"/>
      <c r="I116" s="317"/>
      <c r="J116" s="317"/>
      <c r="K116" s="317"/>
      <c r="L116" s="317"/>
      <c r="M116" s="317"/>
      <c r="N116" s="317"/>
      <c r="O116" s="317"/>
      <c r="P116" s="317"/>
      <c r="Q116" s="317"/>
      <c r="R116" s="317"/>
      <c r="S116" s="317"/>
      <c r="T116" s="317"/>
      <c r="U116" s="317"/>
      <c r="V116" s="317"/>
      <c r="W116" s="317"/>
      <c r="X116" s="317"/>
      <c r="Y116" s="317"/>
      <c r="Z116" s="317"/>
      <c r="AA116" s="317"/>
      <c r="AB116" s="317"/>
      <c r="AC116" s="317"/>
      <c r="AD116" s="317"/>
    </row>
    <row r="117" ht="20.25" customHeight="1">
      <c r="A117" s="317"/>
      <c r="B117" s="317"/>
      <c r="C117" s="317"/>
      <c r="D117" s="317"/>
      <c r="E117" s="317"/>
      <c r="F117" s="317"/>
      <c r="G117" s="317"/>
      <c r="H117" s="317"/>
      <c r="I117" s="317"/>
      <c r="J117" s="317"/>
      <c r="K117" s="317"/>
      <c r="L117" s="317"/>
      <c r="M117" s="317"/>
      <c r="N117" s="317"/>
      <c r="O117" s="317"/>
      <c r="P117" s="317"/>
      <c r="Q117" s="317"/>
      <c r="R117" s="317"/>
      <c r="S117" s="317"/>
      <c r="T117" s="317"/>
      <c r="U117" s="317"/>
      <c r="V117" s="317"/>
      <c r="W117" s="317"/>
      <c r="X117" s="317"/>
      <c r="Y117" s="317"/>
      <c r="Z117" s="317"/>
      <c r="AA117" s="317"/>
      <c r="AB117" s="317"/>
      <c r="AC117" s="317"/>
      <c r="AD117" s="317"/>
    </row>
    <row r="118" ht="20.25" customHeight="1">
      <c r="A118" s="317"/>
      <c r="B118" s="317"/>
      <c r="C118" s="317"/>
      <c r="D118" s="317"/>
      <c r="E118" s="317"/>
      <c r="F118" s="317"/>
      <c r="G118" s="317"/>
      <c r="H118" s="317"/>
      <c r="I118" s="317"/>
      <c r="J118" s="317"/>
      <c r="K118" s="317"/>
      <c r="L118" s="317"/>
      <c r="M118" s="317"/>
      <c r="N118" s="317"/>
      <c r="O118" s="317"/>
      <c r="P118" s="317"/>
      <c r="Q118" s="317"/>
      <c r="R118" s="317"/>
      <c r="S118" s="317"/>
      <c r="T118" s="317"/>
      <c r="U118" s="317"/>
      <c r="V118" s="317"/>
      <c r="W118" s="317"/>
      <c r="X118" s="317"/>
      <c r="Y118" s="317"/>
      <c r="Z118" s="317"/>
      <c r="AA118" s="317"/>
      <c r="AB118" s="317"/>
      <c r="AC118" s="317"/>
      <c r="AD118" s="317"/>
    </row>
    <row r="119" ht="20.25" customHeight="1">
      <c r="A119" s="317"/>
      <c r="B119" s="317"/>
      <c r="C119" s="317"/>
      <c r="D119" s="317"/>
      <c r="E119" s="317"/>
      <c r="F119" s="317"/>
      <c r="G119" s="317"/>
      <c r="H119" s="317"/>
      <c r="I119" s="317"/>
      <c r="J119" s="317"/>
      <c r="K119" s="317"/>
      <c r="L119" s="317"/>
      <c r="M119" s="317"/>
      <c r="N119" s="317"/>
      <c r="O119" s="317"/>
      <c r="P119" s="317"/>
      <c r="Q119" s="317"/>
      <c r="R119" s="317"/>
      <c r="S119" s="317"/>
      <c r="T119" s="317"/>
      <c r="U119" s="317"/>
      <c r="V119" s="317"/>
      <c r="W119" s="317"/>
      <c r="X119" s="317"/>
      <c r="Y119" s="317"/>
      <c r="Z119" s="317"/>
      <c r="AA119" s="317"/>
      <c r="AB119" s="317"/>
      <c r="AC119" s="317"/>
      <c r="AD119" s="317"/>
    </row>
    <row r="120" ht="20.25" customHeight="1">
      <c r="A120" s="317"/>
      <c r="B120" s="317"/>
      <c r="C120" s="317"/>
      <c r="D120" s="317"/>
      <c r="E120" s="317"/>
      <c r="F120" s="317"/>
      <c r="G120" s="317"/>
      <c r="H120" s="317"/>
      <c r="I120" s="317"/>
      <c r="J120" s="317"/>
      <c r="K120" s="317"/>
      <c r="L120" s="317"/>
      <c r="M120" s="317"/>
      <c r="N120" s="317"/>
      <c r="O120" s="317"/>
      <c r="P120" s="317"/>
      <c r="Q120" s="317"/>
      <c r="R120" s="317"/>
      <c r="S120" s="317"/>
      <c r="T120" s="317"/>
      <c r="U120" s="317"/>
      <c r="V120" s="317"/>
      <c r="W120" s="317"/>
      <c r="X120" s="317"/>
      <c r="Y120" s="317"/>
      <c r="Z120" s="317"/>
      <c r="AA120" s="317"/>
      <c r="AB120" s="317"/>
      <c r="AC120" s="317"/>
      <c r="AD120" s="317"/>
    </row>
    <row r="121" ht="20.25" customHeight="1">
      <c r="A121" s="317"/>
      <c r="B121" s="317"/>
      <c r="C121" s="317"/>
      <c r="D121" s="317"/>
      <c r="E121" s="317"/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7"/>
      <c r="AC121" s="317"/>
      <c r="AD121" s="317"/>
    </row>
    <row r="122" ht="20.25" customHeight="1">
      <c r="A122" s="317"/>
      <c r="B122" s="317"/>
      <c r="C122" s="317"/>
      <c r="D122" s="317"/>
      <c r="E122" s="317"/>
      <c r="F122" s="317"/>
      <c r="G122" s="317"/>
      <c r="H122" s="317"/>
      <c r="I122" s="317"/>
      <c r="J122" s="317"/>
      <c r="K122" s="317"/>
      <c r="L122" s="317"/>
      <c r="M122" s="317"/>
      <c r="N122" s="317"/>
      <c r="O122" s="317"/>
      <c r="P122" s="317"/>
      <c r="Q122" s="317"/>
      <c r="R122" s="317"/>
      <c r="S122" s="317"/>
      <c r="T122" s="317"/>
      <c r="U122" s="317"/>
      <c r="V122" s="317"/>
      <c r="W122" s="317"/>
      <c r="X122" s="317"/>
      <c r="Y122" s="317"/>
      <c r="Z122" s="317"/>
      <c r="AA122" s="317"/>
      <c r="AB122" s="317"/>
      <c r="AC122" s="317"/>
      <c r="AD122" s="317"/>
    </row>
    <row r="123" ht="20.25" customHeight="1">
      <c r="A123" s="317"/>
      <c r="B123" s="317"/>
      <c r="C123" s="317"/>
      <c r="D123" s="317"/>
      <c r="E123" s="317"/>
      <c r="F123" s="317"/>
      <c r="G123" s="317"/>
      <c r="H123" s="317"/>
      <c r="I123" s="317"/>
      <c r="J123" s="317"/>
      <c r="K123" s="317"/>
      <c r="L123" s="317"/>
      <c r="M123" s="317"/>
      <c r="N123" s="317"/>
      <c r="O123" s="317"/>
      <c r="P123" s="317"/>
      <c r="Q123" s="317"/>
      <c r="R123" s="317"/>
      <c r="S123" s="317"/>
      <c r="T123" s="317"/>
      <c r="U123" s="317"/>
      <c r="V123" s="317"/>
      <c r="W123" s="317"/>
      <c r="X123" s="317"/>
      <c r="Y123" s="317"/>
      <c r="Z123" s="317"/>
      <c r="AA123" s="317"/>
      <c r="AB123" s="317"/>
      <c r="AC123" s="317"/>
      <c r="AD123" s="317"/>
    </row>
    <row r="124" ht="20.25" customHeight="1">
      <c r="A124" s="317"/>
      <c r="B124" s="317"/>
      <c r="C124" s="317"/>
      <c r="D124" s="317"/>
      <c r="E124" s="317"/>
      <c r="F124" s="317"/>
      <c r="G124" s="317"/>
      <c r="H124" s="317"/>
      <c r="I124" s="317"/>
      <c r="J124" s="317"/>
      <c r="K124" s="317"/>
      <c r="L124" s="317"/>
      <c r="M124" s="317"/>
      <c r="N124" s="317"/>
      <c r="O124" s="317"/>
      <c r="P124" s="317"/>
      <c r="Q124" s="317"/>
      <c r="R124" s="317"/>
      <c r="S124" s="317"/>
      <c r="T124" s="317"/>
      <c r="U124" s="317"/>
      <c r="V124" s="317"/>
      <c r="W124" s="317"/>
      <c r="X124" s="317"/>
      <c r="Y124" s="317"/>
      <c r="Z124" s="317"/>
      <c r="AA124" s="317"/>
      <c r="AB124" s="317"/>
      <c r="AC124" s="317"/>
      <c r="AD124" s="317"/>
    </row>
    <row r="125" ht="20.25" customHeight="1">
      <c r="A125" s="317"/>
      <c r="B125" s="317"/>
      <c r="C125" s="317"/>
      <c r="D125" s="317"/>
      <c r="E125" s="317"/>
      <c r="F125" s="317"/>
      <c r="G125" s="317"/>
      <c r="H125" s="317"/>
      <c r="I125" s="317"/>
      <c r="J125" s="317"/>
      <c r="K125" s="317"/>
      <c r="L125" s="317"/>
      <c r="M125" s="317"/>
      <c r="N125" s="317"/>
      <c r="O125" s="317"/>
      <c r="P125" s="317"/>
      <c r="Q125" s="317"/>
      <c r="R125" s="317"/>
      <c r="S125" s="317"/>
      <c r="T125" s="317"/>
      <c r="U125" s="317"/>
      <c r="V125" s="317"/>
      <c r="W125" s="317"/>
      <c r="X125" s="317"/>
      <c r="Y125" s="317"/>
      <c r="Z125" s="317"/>
      <c r="AA125" s="317"/>
      <c r="AB125" s="317"/>
      <c r="AC125" s="317"/>
      <c r="AD125" s="317"/>
    </row>
    <row r="126" ht="20.25" customHeight="1">
      <c r="A126" s="317"/>
      <c r="B126" s="317"/>
      <c r="C126" s="317"/>
      <c r="D126" s="317"/>
      <c r="E126" s="317"/>
      <c r="F126" s="317"/>
      <c r="G126" s="317"/>
      <c r="H126" s="317"/>
      <c r="I126" s="317"/>
      <c r="J126" s="317"/>
      <c r="K126" s="317"/>
      <c r="L126" s="317"/>
      <c r="M126" s="317"/>
      <c r="N126" s="317"/>
      <c r="O126" s="317"/>
      <c r="P126" s="317"/>
      <c r="Q126" s="317"/>
      <c r="R126" s="317"/>
      <c r="S126" s="317"/>
      <c r="T126" s="317"/>
      <c r="U126" s="317"/>
      <c r="V126" s="317"/>
      <c r="W126" s="317"/>
      <c r="X126" s="317"/>
      <c r="Y126" s="317"/>
      <c r="Z126" s="317"/>
      <c r="AA126" s="317"/>
      <c r="AB126" s="317"/>
      <c r="AC126" s="317"/>
      <c r="AD126" s="317"/>
    </row>
    <row r="127" ht="20.25" customHeight="1">
      <c r="A127" s="317"/>
      <c r="B127" s="317"/>
      <c r="C127" s="317"/>
      <c r="D127" s="317"/>
      <c r="E127" s="317"/>
      <c r="F127" s="317"/>
      <c r="G127" s="317"/>
      <c r="H127" s="317"/>
      <c r="I127" s="317"/>
      <c r="J127" s="317"/>
      <c r="K127" s="317"/>
      <c r="L127" s="317"/>
      <c r="M127" s="317"/>
      <c r="N127" s="317"/>
      <c r="O127" s="317"/>
      <c r="P127" s="317"/>
      <c r="Q127" s="317"/>
      <c r="R127" s="317"/>
      <c r="S127" s="317"/>
      <c r="T127" s="317"/>
      <c r="U127" s="317"/>
      <c r="V127" s="317"/>
      <c r="W127" s="317"/>
      <c r="X127" s="317"/>
      <c r="Y127" s="317"/>
      <c r="Z127" s="317"/>
      <c r="AA127" s="317"/>
      <c r="AB127" s="317"/>
      <c r="AC127" s="317"/>
      <c r="AD127" s="317"/>
    </row>
    <row r="128" ht="20.25" customHeight="1">
      <c r="A128" s="317"/>
      <c r="B128" s="317"/>
      <c r="C128" s="317"/>
      <c r="D128" s="317"/>
      <c r="E128" s="317"/>
      <c r="F128" s="317"/>
      <c r="G128" s="317"/>
      <c r="H128" s="317"/>
      <c r="I128" s="317"/>
      <c r="J128" s="317"/>
      <c r="K128" s="317"/>
      <c r="L128" s="317"/>
      <c r="M128" s="317"/>
      <c r="N128" s="317"/>
      <c r="O128" s="317"/>
      <c r="P128" s="317"/>
      <c r="Q128" s="317"/>
      <c r="R128" s="317"/>
      <c r="S128" s="317"/>
      <c r="T128" s="317"/>
      <c r="U128" s="317"/>
      <c r="V128" s="317"/>
      <c r="W128" s="317"/>
      <c r="X128" s="317"/>
      <c r="Y128" s="317"/>
      <c r="Z128" s="317"/>
      <c r="AA128" s="317"/>
      <c r="AB128" s="317"/>
      <c r="AC128" s="317"/>
      <c r="AD128" s="317"/>
    </row>
    <row r="129" ht="20.25" customHeight="1">
      <c r="A129" s="317"/>
      <c r="B129" s="317"/>
      <c r="C129" s="317"/>
      <c r="D129" s="317"/>
      <c r="E129" s="317"/>
      <c r="F129" s="317"/>
      <c r="G129" s="317"/>
      <c r="H129" s="317"/>
      <c r="I129" s="317"/>
      <c r="J129" s="317"/>
      <c r="K129" s="317"/>
      <c r="L129" s="317"/>
      <c r="M129" s="317"/>
      <c r="N129" s="317"/>
      <c r="O129" s="317"/>
      <c r="P129" s="317"/>
      <c r="Q129" s="317"/>
      <c r="R129" s="317"/>
      <c r="S129" s="317"/>
      <c r="T129" s="317"/>
      <c r="U129" s="317"/>
      <c r="V129" s="317"/>
      <c r="W129" s="317"/>
      <c r="X129" s="317"/>
      <c r="Y129" s="317"/>
      <c r="Z129" s="317"/>
      <c r="AA129" s="317"/>
      <c r="AB129" s="317"/>
      <c r="AC129" s="317"/>
      <c r="AD129" s="317"/>
    </row>
    <row r="130" ht="20.25" customHeight="1">
      <c r="A130" s="317"/>
      <c r="B130" s="317"/>
      <c r="C130" s="317"/>
      <c r="D130" s="317"/>
      <c r="E130" s="317"/>
      <c r="F130" s="317"/>
      <c r="G130" s="317"/>
      <c r="H130" s="317"/>
      <c r="I130" s="317"/>
      <c r="J130" s="317"/>
      <c r="K130" s="317"/>
      <c r="L130" s="317"/>
      <c r="M130" s="317"/>
      <c r="N130" s="317"/>
      <c r="O130" s="317"/>
      <c r="P130" s="317"/>
      <c r="Q130" s="317"/>
      <c r="R130" s="317"/>
      <c r="S130" s="317"/>
      <c r="T130" s="317"/>
      <c r="U130" s="317"/>
      <c r="V130" s="317"/>
      <c r="W130" s="317"/>
      <c r="X130" s="317"/>
      <c r="Y130" s="317"/>
      <c r="Z130" s="317"/>
      <c r="AA130" s="317"/>
      <c r="AB130" s="317"/>
      <c r="AC130" s="317"/>
      <c r="AD130" s="317"/>
    </row>
    <row r="131" ht="20.25" customHeight="1">
      <c r="A131" s="317"/>
      <c r="B131" s="317"/>
      <c r="C131" s="317"/>
      <c r="D131" s="317"/>
      <c r="E131" s="317"/>
      <c r="F131" s="317"/>
      <c r="G131" s="317"/>
      <c r="H131" s="317"/>
      <c r="I131" s="317"/>
      <c r="J131" s="317"/>
      <c r="K131" s="317"/>
      <c r="L131" s="317"/>
      <c r="M131" s="317"/>
      <c r="N131" s="317"/>
      <c r="O131" s="317"/>
      <c r="P131" s="317"/>
      <c r="Q131" s="317"/>
      <c r="R131" s="317"/>
      <c r="S131" s="317"/>
      <c r="T131" s="317"/>
      <c r="U131" s="317"/>
      <c r="V131" s="317"/>
      <c r="W131" s="317"/>
      <c r="X131" s="317"/>
      <c r="Y131" s="317"/>
      <c r="Z131" s="317"/>
      <c r="AA131" s="317"/>
      <c r="AB131" s="317"/>
      <c r="AC131" s="317"/>
      <c r="AD131" s="317"/>
    </row>
    <row r="132" ht="20.25" customHeight="1">
      <c r="A132" s="317"/>
      <c r="B132" s="317"/>
      <c r="C132" s="317"/>
      <c r="D132" s="317"/>
      <c r="E132" s="317"/>
      <c r="F132" s="317"/>
      <c r="G132" s="317"/>
      <c r="H132" s="317"/>
      <c r="I132" s="317"/>
      <c r="J132" s="317"/>
      <c r="K132" s="317"/>
      <c r="L132" s="317"/>
      <c r="M132" s="317"/>
      <c r="N132" s="317"/>
      <c r="O132" s="317"/>
      <c r="P132" s="317"/>
      <c r="Q132" s="317"/>
      <c r="R132" s="317"/>
      <c r="S132" s="317"/>
      <c r="T132" s="317"/>
      <c r="U132" s="317"/>
      <c r="V132" s="317"/>
      <c r="W132" s="317"/>
      <c r="X132" s="317"/>
      <c r="Y132" s="317"/>
      <c r="Z132" s="317"/>
      <c r="AA132" s="317"/>
      <c r="AB132" s="317"/>
      <c r="AC132" s="317"/>
      <c r="AD132" s="317"/>
    </row>
    <row r="133" ht="20.25" customHeight="1">
      <c r="A133" s="317"/>
      <c r="B133" s="317"/>
      <c r="C133" s="317"/>
      <c r="D133" s="317"/>
      <c r="E133" s="317"/>
      <c r="F133" s="317"/>
      <c r="G133" s="317"/>
      <c r="H133" s="317"/>
      <c r="I133" s="317"/>
      <c r="J133" s="317"/>
      <c r="K133" s="317"/>
      <c r="L133" s="317"/>
      <c r="M133" s="317"/>
      <c r="N133" s="317"/>
      <c r="O133" s="317"/>
      <c r="P133" s="317"/>
      <c r="Q133" s="317"/>
      <c r="R133" s="317"/>
      <c r="S133" s="317"/>
      <c r="T133" s="317"/>
      <c r="U133" s="317"/>
      <c r="V133" s="317"/>
      <c r="W133" s="317"/>
      <c r="X133" s="317"/>
      <c r="Y133" s="317"/>
      <c r="Z133" s="317"/>
      <c r="AA133" s="317"/>
      <c r="AB133" s="317"/>
      <c r="AC133" s="317"/>
      <c r="AD133" s="317"/>
    </row>
    <row r="134" ht="20.25" customHeight="1">
      <c r="A134" s="317"/>
      <c r="B134" s="317"/>
      <c r="C134" s="317"/>
      <c r="D134" s="317"/>
      <c r="E134" s="317"/>
      <c r="F134" s="317"/>
      <c r="G134" s="317"/>
      <c r="H134" s="317"/>
      <c r="I134" s="317"/>
      <c r="J134" s="317"/>
      <c r="K134" s="317"/>
      <c r="L134" s="317"/>
      <c r="M134" s="317"/>
      <c r="N134" s="317"/>
      <c r="O134" s="317"/>
      <c r="P134" s="317"/>
      <c r="Q134" s="317"/>
      <c r="R134" s="317"/>
      <c r="S134" s="317"/>
      <c r="T134" s="317"/>
      <c r="U134" s="317"/>
      <c r="V134" s="317"/>
      <c r="W134" s="317"/>
      <c r="X134" s="317"/>
      <c r="Y134" s="317"/>
      <c r="Z134" s="317"/>
      <c r="AA134" s="317"/>
      <c r="AB134" s="317"/>
      <c r="AC134" s="317"/>
      <c r="AD134" s="317"/>
    </row>
    <row r="135" ht="20.25" customHeight="1">
      <c r="A135" s="317"/>
      <c r="B135" s="317"/>
      <c r="C135" s="317"/>
      <c r="D135" s="317"/>
      <c r="E135" s="317"/>
      <c r="F135" s="317"/>
      <c r="G135" s="317"/>
      <c r="H135" s="317"/>
      <c r="I135" s="317"/>
      <c r="J135" s="317"/>
      <c r="K135" s="317"/>
      <c r="L135" s="317"/>
      <c r="M135" s="317"/>
      <c r="N135" s="317"/>
      <c r="O135" s="317"/>
      <c r="P135" s="317"/>
      <c r="Q135" s="317"/>
      <c r="R135" s="317"/>
      <c r="S135" s="317"/>
      <c r="T135" s="317"/>
      <c r="U135" s="317"/>
      <c r="V135" s="317"/>
      <c r="W135" s="317"/>
      <c r="X135" s="317"/>
      <c r="Y135" s="317"/>
      <c r="Z135" s="317"/>
      <c r="AA135" s="317"/>
      <c r="AB135" s="317"/>
      <c r="AC135" s="317"/>
      <c r="AD135" s="317"/>
    </row>
    <row r="136" ht="20.25" customHeight="1">
      <c r="A136" s="317"/>
      <c r="B136" s="317"/>
      <c r="C136" s="317"/>
      <c r="D136" s="317"/>
      <c r="E136" s="317"/>
      <c r="F136" s="317"/>
      <c r="G136" s="317"/>
      <c r="H136" s="317"/>
      <c r="I136" s="317"/>
      <c r="J136" s="317"/>
      <c r="K136" s="317"/>
      <c r="L136" s="317"/>
      <c r="M136" s="317"/>
      <c r="N136" s="317"/>
      <c r="O136" s="317"/>
      <c r="P136" s="317"/>
      <c r="Q136" s="317"/>
      <c r="R136" s="317"/>
      <c r="S136" s="317"/>
      <c r="T136" s="317"/>
      <c r="U136" s="317"/>
      <c r="V136" s="317"/>
      <c r="W136" s="317"/>
      <c r="X136" s="317"/>
      <c r="Y136" s="317"/>
      <c r="Z136" s="317"/>
      <c r="AA136" s="317"/>
      <c r="AB136" s="317"/>
      <c r="AC136" s="317"/>
      <c r="AD136" s="317"/>
    </row>
    <row r="137" ht="20.25" customHeight="1">
      <c r="A137" s="317"/>
      <c r="B137" s="317"/>
      <c r="C137" s="317"/>
      <c r="D137" s="317"/>
      <c r="E137" s="317"/>
      <c r="F137" s="317"/>
      <c r="G137" s="317"/>
      <c r="H137" s="317"/>
      <c r="I137" s="317"/>
      <c r="J137" s="317"/>
      <c r="K137" s="317"/>
      <c r="L137" s="317"/>
      <c r="M137" s="317"/>
      <c r="N137" s="317"/>
      <c r="O137" s="317"/>
      <c r="P137" s="317"/>
      <c r="Q137" s="317"/>
      <c r="R137" s="317"/>
      <c r="S137" s="317"/>
      <c r="T137" s="317"/>
      <c r="U137" s="317"/>
      <c r="V137" s="317"/>
      <c r="W137" s="317"/>
      <c r="X137" s="317"/>
      <c r="Y137" s="317"/>
      <c r="Z137" s="317"/>
      <c r="AA137" s="317"/>
      <c r="AB137" s="317"/>
      <c r="AC137" s="317"/>
      <c r="AD137" s="317"/>
    </row>
    <row r="138" ht="20.25" customHeight="1">
      <c r="A138" s="317"/>
      <c r="B138" s="317"/>
      <c r="C138" s="317"/>
      <c r="D138" s="317"/>
      <c r="E138" s="317"/>
      <c r="F138" s="317"/>
      <c r="G138" s="317"/>
      <c r="H138" s="317"/>
      <c r="I138" s="317"/>
      <c r="J138" s="317"/>
      <c r="K138" s="317"/>
      <c r="L138" s="317"/>
      <c r="M138" s="317"/>
      <c r="N138" s="317"/>
      <c r="O138" s="317"/>
      <c r="P138" s="317"/>
      <c r="Q138" s="317"/>
      <c r="R138" s="317"/>
      <c r="S138" s="317"/>
      <c r="T138" s="317"/>
      <c r="U138" s="317"/>
      <c r="V138" s="317"/>
      <c r="W138" s="317"/>
      <c r="X138" s="317"/>
      <c r="Y138" s="317"/>
      <c r="Z138" s="317"/>
      <c r="AA138" s="317"/>
      <c r="AB138" s="317"/>
      <c r="AC138" s="317"/>
      <c r="AD138" s="317"/>
    </row>
    <row r="139" ht="20.25" customHeight="1">
      <c r="A139" s="317"/>
      <c r="B139" s="317"/>
      <c r="C139" s="317"/>
      <c r="D139" s="317"/>
      <c r="E139" s="317"/>
      <c r="F139" s="317"/>
      <c r="G139" s="317"/>
      <c r="H139" s="317"/>
      <c r="I139" s="317"/>
      <c r="J139" s="317"/>
      <c r="K139" s="317"/>
      <c r="L139" s="317"/>
      <c r="M139" s="317"/>
      <c r="N139" s="317"/>
      <c r="O139" s="317"/>
      <c r="P139" s="317"/>
      <c r="Q139" s="317"/>
      <c r="R139" s="317"/>
      <c r="S139" s="317"/>
      <c r="T139" s="317"/>
      <c r="U139" s="317"/>
      <c r="V139" s="317"/>
      <c r="W139" s="317"/>
      <c r="X139" s="317"/>
      <c r="Y139" s="317"/>
      <c r="Z139" s="317"/>
      <c r="AA139" s="317"/>
      <c r="AB139" s="317"/>
      <c r="AC139" s="317"/>
      <c r="AD139" s="317"/>
    </row>
    <row r="140" ht="20.25" customHeight="1">
      <c r="A140" s="317"/>
      <c r="B140" s="317"/>
      <c r="C140" s="317"/>
      <c r="D140" s="317"/>
      <c r="E140" s="317"/>
      <c r="F140" s="317"/>
      <c r="G140" s="317"/>
      <c r="H140" s="317"/>
      <c r="I140" s="317"/>
      <c r="J140" s="317"/>
      <c r="K140" s="317"/>
      <c r="L140" s="317"/>
      <c r="M140" s="317"/>
      <c r="N140" s="317"/>
      <c r="O140" s="317"/>
      <c r="P140" s="317"/>
      <c r="Q140" s="317"/>
      <c r="R140" s="317"/>
      <c r="S140" s="317"/>
      <c r="T140" s="317"/>
      <c r="U140" s="317"/>
      <c r="V140" s="317"/>
      <c r="W140" s="317"/>
      <c r="X140" s="317"/>
      <c r="Y140" s="317"/>
      <c r="Z140" s="317"/>
      <c r="AA140" s="317"/>
      <c r="AB140" s="317"/>
      <c r="AC140" s="317"/>
      <c r="AD140" s="317"/>
    </row>
    <row r="141" ht="20.25" customHeight="1">
      <c r="A141" s="317"/>
      <c r="B141" s="317"/>
      <c r="C141" s="317"/>
      <c r="D141" s="317"/>
      <c r="E141" s="317"/>
      <c r="F141" s="317"/>
      <c r="G141" s="317"/>
      <c r="H141" s="317"/>
      <c r="I141" s="317"/>
      <c r="J141" s="317"/>
      <c r="K141" s="317"/>
      <c r="L141" s="317"/>
      <c r="M141" s="317"/>
      <c r="N141" s="317"/>
      <c r="O141" s="317"/>
      <c r="P141" s="317"/>
      <c r="Q141" s="317"/>
      <c r="R141" s="317"/>
      <c r="S141" s="317"/>
      <c r="T141" s="317"/>
      <c r="U141" s="317"/>
      <c r="V141" s="317"/>
      <c r="W141" s="317"/>
      <c r="X141" s="317"/>
      <c r="Y141" s="317"/>
      <c r="Z141" s="317"/>
      <c r="AA141" s="317"/>
      <c r="AB141" s="317"/>
      <c r="AC141" s="317"/>
      <c r="AD141" s="317"/>
    </row>
    <row r="142" ht="20.25" customHeight="1">
      <c r="A142" s="317"/>
      <c r="B142" s="317"/>
      <c r="C142" s="317"/>
      <c r="D142" s="317"/>
      <c r="E142" s="317"/>
      <c r="F142" s="317"/>
      <c r="G142" s="317"/>
      <c r="H142" s="317"/>
      <c r="I142" s="317"/>
      <c r="J142" s="317"/>
      <c r="K142" s="317"/>
      <c r="L142" s="317"/>
      <c r="M142" s="317"/>
      <c r="N142" s="317"/>
      <c r="O142" s="317"/>
      <c r="P142" s="317"/>
      <c r="Q142" s="317"/>
      <c r="R142" s="317"/>
      <c r="S142" s="317"/>
      <c r="T142" s="317"/>
      <c r="U142" s="317"/>
      <c r="V142" s="317"/>
      <c r="W142" s="317"/>
      <c r="X142" s="317"/>
      <c r="Y142" s="317"/>
      <c r="Z142" s="317"/>
      <c r="AA142" s="317"/>
      <c r="AB142" s="317"/>
      <c r="AC142" s="317"/>
      <c r="AD142" s="317"/>
    </row>
    <row r="143" ht="20.25" customHeight="1">
      <c r="A143" s="317"/>
      <c r="B143" s="317"/>
      <c r="C143" s="317"/>
      <c r="D143" s="317"/>
      <c r="E143" s="317"/>
      <c r="F143" s="317"/>
      <c r="G143" s="317"/>
      <c r="H143" s="317"/>
      <c r="I143" s="317"/>
      <c r="J143" s="317"/>
      <c r="K143" s="317"/>
      <c r="L143" s="317"/>
      <c r="M143" s="317"/>
      <c r="N143" s="317"/>
      <c r="O143" s="317"/>
      <c r="P143" s="317"/>
      <c r="Q143" s="317"/>
      <c r="R143" s="317"/>
      <c r="S143" s="317"/>
      <c r="T143" s="317"/>
      <c r="U143" s="317"/>
      <c r="V143" s="317"/>
      <c r="W143" s="317"/>
      <c r="X143" s="317"/>
      <c r="Y143" s="317"/>
      <c r="Z143" s="317"/>
      <c r="AA143" s="317"/>
      <c r="AB143" s="317"/>
      <c r="AC143" s="317"/>
      <c r="AD143" s="317"/>
    </row>
    <row r="144" ht="20.25" customHeight="1">
      <c r="A144" s="317"/>
      <c r="B144" s="317"/>
      <c r="C144" s="317"/>
      <c r="D144" s="317"/>
      <c r="E144" s="317"/>
      <c r="F144" s="317"/>
      <c r="G144" s="317"/>
      <c r="H144" s="317"/>
      <c r="I144" s="317"/>
      <c r="J144" s="317"/>
      <c r="K144" s="317"/>
      <c r="L144" s="317"/>
      <c r="M144" s="317"/>
      <c r="N144" s="317"/>
      <c r="O144" s="317"/>
      <c r="P144" s="317"/>
      <c r="Q144" s="317"/>
      <c r="R144" s="317"/>
      <c r="S144" s="317"/>
      <c r="T144" s="317"/>
      <c r="U144" s="317"/>
      <c r="V144" s="317"/>
      <c r="W144" s="317"/>
      <c r="X144" s="317"/>
      <c r="Y144" s="317"/>
      <c r="Z144" s="317"/>
      <c r="AA144" s="317"/>
      <c r="AB144" s="317"/>
      <c r="AC144" s="317"/>
      <c r="AD144" s="317"/>
    </row>
    <row r="145" ht="20.25" customHeight="1">
      <c r="A145" s="317"/>
      <c r="B145" s="317"/>
      <c r="C145" s="317"/>
      <c r="D145" s="317"/>
      <c r="E145" s="317"/>
      <c r="F145" s="317"/>
      <c r="G145" s="317"/>
      <c r="H145" s="317"/>
      <c r="I145" s="317"/>
      <c r="J145" s="317"/>
      <c r="K145" s="317"/>
      <c r="L145" s="317"/>
      <c r="M145" s="317"/>
      <c r="N145" s="317"/>
      <c r="O145" s="317"/>
      <c r="P145" s="317"/>
      <c r="Q145" s="317"/>
      <c r="R145" s="317"/>
      <c r="S145" s="317"/>
      <c r="T145" s="317"/>
      <c r="U145" s="317"/>
      <c r="V145" s="317"/>
      <c r="W145" s="317"/>
      <c r="X145" s="317"/>
      <c r="Y145" s="317"/>
      <c r="Z145" s="317"/>
      <c r="AA145" s="317"/>
      <c r="AB145" s="317"/>
      <c r="AC145" s="317"/>
      <c r="AD145" s="317"/>
    </row>
    <row r="146" ht="20.25" customHeight="1">
      <c r="A146" s="317"/>
      <c r="B146" s="317"/>
      <c r="C146" s="317"/>
      <c r="D146" s="317"/>
      <c r="E146" s="317"/>
      <c r="F146" s="317"/>
      <c r="G146" s="317"/>
      <c r="H146" s="317"/>
      <c r="I146" s="317"/>
      <c r="J146" s="317"/>
      <c r="K146" s="317"/>
      <c r="L146" s="317"/>
      <c r="M146" s="317"/>
      <c r="N146" s="317"/>
      <c r="O146" s="317"/>
      <c r="P146" s="317"/>
      <c r="Q146" s="317"/>
      <c r="R146" s="317"/>
      <c r="S146" s="317"/>
      <c r="T146" s="317"/>
      <c r="U146" s="317"/>
      <c r="V146" s="317"/>
      <c r="W146" s="317"/>
      <c r="X146" s="317"/>
      <c r="Y146" s="317"/>
      <c r="Z146" s="317"/>
      <c r="AA146" s="317"/>
      <c r="AB146" s="317"/>
      <c r="AC146" s="317"/>
      <c r="AD146" s="317"/>
    </row>
    <row r="147" ht="20.25" customHeight="1">
      <c r="A147" s="317"/>
      <c r="B147" s="317"/>
      <c r="C147" s="317"/>
      <c r="D147" s="317"/>
      <c r="E147" s="317"/>
      <c r="F147" s="317"/>
      <c r="G147" s="317"/>
      <c r="H147" s="317"/>
      <c r="I147" s="317"/>
      <c r="J147" s="317"/>
      <c r="K147" s="317"/>
      <c r="L147" s="317"/>
      <c r="M147" s="317"/>
      <c r="N147" s="317"/>
      <c r="O147" s="317"/>
      <c r="P147" s="317"/>
      <c r="Q147" s="317"/>
      <c r="R147" s="317"/>
      <c r="S147" s="317"/>
      <c r="T147" s="317"/>
      <c r="U147" s="317"/>
      <c r="V147" s="317"/>
      <c r="W147" s="317"/>
      <c r="X147" s="317"/>
      <c r="Y147" s="317"/>
      <c r="Z147" s="317"/>
      <c r="AA147" s="317"/>
      <c r="AB147" s="317"/>
      <c r="AC147" s="317"/>
      <c r="AD147" s="317"/>
    </row>
    <row r="148" ht="20.25" customHeight="1">
      <c r="A148" s="317"/>
      <c r="B148" s="317"/>
      <c r="C148" s="317"/>
      <c r="D148" s="317"/>
      <c r="E148" s="317"/>
      <c r="F148" s="317"/>
      <c r="G148" s="317"/>
      <c r="H148" s="317"/>
      <c r="I148" s="317"/>
      <c r="J148" s="317"/>
      <c r="K148" s="317"/>
      <c r="L148" s="317"/>
      <c r="M148" s="317"/>
      <c r="N148" s="317"/>
      <c r="O148" s="317"/>
      <c r="P148" s="317"/>
      <c r="Q148" s="317"/>
      <c r="R148" s="317"/>
      <c r="S148" s="317"/>
      <c r="T148" s="317"/>
      <c r="U148" s="317"/>
      <c r="V148" s="317"/>
      <c r="W148" s="317"/>
      <c r="X148" s="317"/>
      <c r="Y148" s="317"/>
      <c r="Z148" s="317"/>
      <c r="AA148" s="317"/>
      <c r="AB148" s="317"/>
      <c r="AC148" s="317"/>
      <c r="AD148" s="317"/>
    </row>
    <row r="149" ht="20.25" customHeight="1">
      <c r="A149" s="317"/>
      <c r="B149" s="317"/>
      <c r="C149" s="317"/>
      <c r="D149" s="317"/>
      <c r="E149" s="317"/>
      <c r="F149" s="317"/>
      <c r="G149" s="317"/>
      <c r="H149" s="317"/>
      <c r="I149" s="317"/>
      <c r="J149" s="317"/>
      <c r="K149" s="317"/>
      <c r="L149" s="317"/>
      <c r="M149" s="317"/>
      <c r="N149" s="317"/>
      <c r="O149" s="317"/>
      <c r="P149" s="317"/>
      <c r="Q149" s="317"/>
      <c r="R149" s="317"/>
      <c r="S149" s="317"/>
      <c r="T149" s="317"/>
      <c r="U149" s="317"/>
      <c r="V149" s="317"/>
      <c r="W149" s="317"/>
      <c r="X149" s="317"/>
      <c r="Y149" s="317"/>
      <c r="Z149" s="317"/>
      <c r="AA149" s="317"/>
      <c r="AB149" s="317"/>
      <c r="AC149" s="317"/>
      <c r="AD149" s="317"/>
    </row>
    <row r="150" ht="20.25" customHeight="1">
      <c r="A150" s="317"/>
      <c r="B150" s="317"/>
      <c r="C150" s="317"/>
      <c r="D150" s="317"/>
      <c r="E150" s="317"/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7"/>
      <c r="AC150" s="317"/>
      <c r="AD150" s="317"/>
    </row>
    <row r="151" ht="20.25" customHeight="1">
      <c r="A151" s="317"/>
      <c r="B151" s="317"/>
      <c r="C151" s="317"/>
      <c r="D151" s="317"/>
      <c r="E151" s="317"/>
      <c r="F151" s="317"/>
      <c r="G151" s="317"/>
      <c r="H151" s="317"/>
      <c r="I151" s="317"/>
      <c r="J151" s="317"/>
      <c r="K151" s="317"/>
      <c r="L151" s="317"/>
      <c r="M151" s="317"/>
      <c r="N151" s="317"/>
      <c r="O151" s="317"/>
      <c r="P151" s="317"/>
      <c r="Q151" s="317"/>
      <c r="R151" s="317"/>
      <c r="S151" s="317"/>
      <c r="T151" s="317"/>
      <c r="U151" s="317"/>
      <c r="V151" s="317"/>
      <c r="W151" s="317"/>
      <c r="X151" s="317"/>
      <c r="Y151" s="317"/>
      <c r="Z151" s="317"/>
      <c r="AA151" s="317"/>
      <c r="AB151" s="317"/>
      <c r="AC151" s="317"/>
      <c r="AD151" s="317"/>
    </row>
    <row r="152" ht="20.25" customHeight="1">
      <c r="A152" s="317"/>
      <c r="B152" s="317"/>
      <c r="C152" s="317"/>
      <c r="D152" s="317"/>
      <c r="E152" s="317"/>
      <c r="F152" s="317"/>
      <c r="G152" s="317"/>
      <c r="H152" s="317"/>
      <c r="I152" s="317"/>
      <c r="J152" s="317"/>
      <c r="K152" s="317"/>
      <c r="L152" s="317"/>
      <c r="M152" s="317"/>
      <c r="N152" s="317"/>
      <c r="O152" s="317"/>
      <c r="P152" s="317"/>
      <c r="Q152" s="317"/>
      <c r="R152" s="317"/>
      <c r="S152" s="317"/>
      <c r="T152" s="317"/>
      <c r="U152" s="317"/>
      <c r="V152" s="317"/>
      <c r="W152" s="317"/>
      <c r="X152" s="317"/>
      <c r="Y152" s="317"/>
      <c r="Z152" s="317"/>
      <c r="AA152" s="317"/>
      <c r="AB152" s="317"/>
      <c r="AC152" s="317"/>
      <c r="AD152" s="317"/>
    </row>
    <row r="153" ht="20.25" customHeight="1">
      <c r="A153" s="317"/>
      <c r="B153" s="317"/>
      <c r="C153" s="317"/>
      <c r="D153" s="317"/>
      <c r="E153" s="317"/>
      <c r="F153" s="317"/>
      <c r="G153" s="317"/>
      <c r="H153" s="317"/>
      <c r="I153" s="317"/>
      <c r="J153" s="317"/>
      <c r="K153" s="317"/>
      <c r="L153" s="317"/>
      <c r="M153" s="317"/>
      <c r="N153" s="317"/>
      <c r="O153" s="317"/>
      <c r="P153" s="317"/>
      <c r="Q153" s="317"/>
      <c r="R153" s="317"/>
      <c r="S153" s="317"/>
      <c r="T153" s="317"/>
      <c r="U153" s="317"/>
      <c r="V153" s="317"/>
      <c r="W153" s="317"/>
      <c r="X153" s="317"/>
      <c r="Y153" s="317"/>
      <c r="Z153" s="317"/>
      <c r="AA153" s="317"/>
      <c r="AB153" s="317"/>
      <c r="AC153" s="317"/>
      <c r="AD153" s="317"/>
    </row>
    <row r="154" ht="20.25" customHeight="1">
      <c r="A154" s="317"/>
      <c r="B154" s="317"/>
      <c r="C154" s="317"/>
      <c r="D154" s="317"/>
      <c r="E154" s="317"/>
      <c r="F154" s="317"/>
      <c r="G154" s="317"/>
      <c r="H154" s="317"/>
      <c r="I154" s="317"/>
      <c r="J154" s="317"/>
      <c r="K154" s="317"/>
      <c r="L154" s="317"/>
      <c r="M154" s="317"/>
      <c r="N154" s="317"/>
      <c r="O154" s="317"/>
      <c r="P154" s="317"/>
      <c r="Q154" s="317"/>
      <c r="R154" s="317"/>
      <c r="S154" s="317"/>
      <c r="T154" s="317"/>
      <c r="U154" s="317"/>
      <c r="V154" s="317"/>
      <c r="W154" s="317"/>
      <c r="X154" s="317"/>
      <c r="Y154" s="317"/>
      <c r="Z154" s="317"/>
      <c r="AA154" s="317"/>
      <c r="AB154" s="317"/>
      <c r="AC154" s="317"/>
      <c r="AD154" s="317"/>
    </row>
    <row r="155" ht="20.25" customHeight="1">
      <c r="A155" s="317"/>
      <c r="B155" s="317"/>
      <c r="C155" s="317"/>
      <c r="D155" s="317"/>
      <c r="E155" s="317"/>
      <c r="F155" s="317"/>
      <c r="G155" s="317"/>
      <c r="H155" s="317"/>
      <c r="I155" s="317"/>
      <c r="J155" s="317"/>
      <c r="K155" s="317"/>
      <c r="L155" s="317"/>
      <c r="M155" s="317"/>
      <c r="N155" s="317"/>
      <c r="O155" s="317"/>
      <c r="P155" s="317"/>
      <c r="Q155" s="317"/>
      <c r="R155" s="317"/>
      <c r="S155" s="317"/>
      <c r="T155" s="317"/>
      <c r="U155" s="317"/>
      <c r="V155" s="317"/>
      <c r="W155" s="317"/>
      <c r="X155" s="317"/>
      <c r="Y155" s="317"/>
      <c r="Z155" s="317"/>
      <c r="AA155" s="317"/>
      <c r="AB155" s="317"/>
      <c r="AC155" s="317"/>
      <c r="AD155" s="317"/>
    </row>
    <row r="156" ht="20.25" customHeight="1">
      <c r="A156" s="317"/>
      <c r="B156" s="317"/>
      <c r="C156" s="317"/>
      <c r="D156" s="317"/>
      <c r="E156" s="317"/>
      <c r="F156" s="317"/>
      <c r="G156" s="317"/>
      <c r="H156" s="317"/>
      <c r="I156" s="317"/>
      <c r="J156" s="317"/>
      <c r="K156" s="317"/>
      <c r="L156" s="317"/>
      <c r="M156" s="317"/>
      <c r="N156" s="317"/>
      <c r="O156" s="317"/>
      <c r="P156" s="317"/>
      <c r="Q156" s="317"/>
      <c r="R156" s="317"/>
      <c r="S156" s="317"/>
      <c r="T156" s="317"/>
      <c r="U156" s="317"/>
      <c r="V156" s="317"/>
      <c r="W156" s="317"/>
      <c r="X156" s="317"/>
      <c r="Y156" s="317"/>
      <c r="Z156" s="317"/>
      <c r="AA156" s="317"/>
      <c r="AB156" s="317"/>
      <c r="AC156" s="317"/>
      <c r="AD156" s="317"/>
    </row>
    <row r="157" ht="20.25" customHeight="1">
      <c r="A157" s="317"/>
      <c r="B157" s="317"/>
      <c r="C157" s="317"/>
      <c r="D157" s="317"/>
      <c r="E157" s="317"/>
      <c r="F157" s="317"/>
      <c r="G157" s="317"/>
      <c r="H157" s="317"/>
      <c r="I157" s="317"/>
      <c r="J157" s="317"/>
      <c r="K157" s="317"/>
      <c r="L157" s="317"/>
      <c r="M157" s="317"/>
      <c r="N157" s="317"/>
      <c r="O157" s="317"/>
      <c r="P157" s="317"/>
      <c r="Q157" s="317"/>
      <c r="R157" s="317"/>
      <c r="S157" s="317"/>
      <c r="T157" s="317"/>
      <c r="U157" s="317"/>
      <c r="V157" s="317"/>
      <c r="W157" s="317"/>
      <c r="X157" s="317"/>
      <c r="Y157" s="317"/>
      <c r="Z157" s="317"/>
      <c r="AA157" s="317"/>
      <c r="AB157" s="317"/>
      <c r="AC157" s="317"/>
      <c r="AD157" s="317"/>
    </row>
    <row r="158" ht="20.25" customHeight="1">
      <c r="A158" s="317"/>
      <c r="B158" s="317"/>
      <c r="C158" s="317"/>
      <c r="D158" s="317"/>
      <c r="E158" s="317"/>
      <c r="F158" s="317"/>
      <c r="G158" s="317"/>
      <c r="H158" s="317"/>
      <c r="I158" s="317"/>
      <c r="J158" s="317"/>
      <c r="K158" s="317"/>
      <c r="L158" s="317"/>
      <c r="M158" s="317"/>
      <c r="N158" s="317"/>
      <c r="O158" s="317"/>
      <c r="P158" s="317"/>
      <c r="Q158" s="317"/>
      <c r="R158" s="317"/>
      <c r="S158" s="317"/>
      <c r="T158" s="317"/>
      <c r="U158" s="317"/>
      <c r="V158" s="317"/>
      <c r="W158" s="317"/>
      <c r="X158" s="317"/>
      <c r="Y158" s="317"/>
      <c r="Z158" s="317"/>
      <c r="AA158" s="317"/>
      <c r="AB158" s="317"/>
      <c r="AC158" s="317"/>
      <c r="AD158" s="317"/>
    </row>
    <row r="159" ht="20.25" customHeight="1">
      <c r="A159" s="317"/>
      <c r="B159" s="317"/>
      <c r="C159" s="317"/>
      <c r="D159" s="317"/>
      <c r="E159" s="317"/>
      <c r="F159" s="317"/>
      <c r="G159" s="317"/>
      <c r="H159" s="317"/>
      <c r="I159" s="317"/>
      <c r="J159" s="317"/>
      <c r="K159" s="317"/>
      <c r="L159" s="317"/>
      <c r="M159" s="317"/>
      <c r="N159" s="317"/>
      <c r="O159" s="317"/>
      <c r="P159" s="317"/>
      <c r="Q159" s="317"/>
      <c r="R159" s="317"/>
      <c r="S159" s="317"/>
      <c r="T159" s="317"/>
      <c r="U159" s="317"/>
      <c r="V159" s="317"/>
      <c r="W159" s="317"/>
      <c r="X159" s="317"/>
      <c r="Y159" s="317"/>
      <c r="Z159" s="317"/>
      <c r="AA159" s="317"/>
      <c r="AB159" s="317"/>
      <c r="AC159" s="317"/>
      <c r="AD159" s="317"/>
    </row>
    <row r="160" ht="20.25" customHeight="1">
      <c r="A160" s="317"/>
      <c r="B160" s="317"/>
      <c r="C160" s="317"/>
      <c r="D160" s="317"/>
      <c r="E160" s="317"/>
      <c r="F160" s="317"/>
      <c r="G160" s="317"/>
      <c r="H160" s="317"/>
      <c r="I160" s="317"/>
      <c r="J160" s="317"/>
      <c r="K160" s="317"/>
      <c r="L160" s="317"/>
      <c r="M160" s="317"/>
      <c r="N160" s="317"/>
      <c r="O160" s="317"/>
      <c r="P160" s="317"/>
      <c r="Q160" s="317"/>
      <c r="R160" s="317"/>
      <c r="S160" s="317"/>
      <c r="T160" s="317"/>
      <c r="U160" s="317"/>
      <c r="V160" s="317"/>
      <c r="W160" s="317"/>
      <c r="X160" s="317"/>
      <c r="Y160" s="317"/>
      <c r="Z160" s="317"/>
      <c r="AA160" s="317"/>
      <c r="AB160" s="317"/>
      <c r="AC160" s="317"/>
      <c r="AD160" s="317"/>
    </row>
    <row r="161" ht="20.25" customHeight="1">
      <c r="A161" s="317"/>
      <c r="B161" s="317"/>
      <c r="C161" s="317"/>
      <c r="D161" s="317"/>
      <c r="E161" s="317"/>
      <c r="F161" s="317"/>
      <c r="G161" s="317"/>
      <c r="H161" s="317"/>
      <c r="I161" s="317"/>
      <c r="J161" s="317"/>
      <c r="K161" s="317"/>
      <c r="L161" s="317"/>
      <c r="M161" s="317"/>
      <c r="N161" s="317"/>
      <c r="O161" s="317"/>
      <c r="P161" s="317"/>
      <c r="Q161" s="317"/>
      <c r="R161" s="317"/>
      <c r="S161" s="317"/>
      <c r="T161" s="317"/>
      <c r="U161" s="317"/>
      <c r="V161" s="317"/>
      <c r="W161" s="317"/>
      <c r="X161" s="317"/>
      <c r="Y161" s="317"/>
      <c r="Z161" s="317"/>
      <c r="AA161" s="317"/>
      <c r="AB161" s="317"/>
      <c r="AC161" s="317"/>
      <c r="AD161" s="317"/>
    </row>
    <row r="162" ht="20.25" customHeight="1">
      <c r="A162" s="317"/>
      <c r="B162" s="317"/>
      <c r="C162" s="317"/>
      <c r="D162" s="317"/>
      <c r="E162" s="317"/>
      <c r="F162" s="317"/>
      <c r="G162" s="317"/>
      <c r="H162" s="317"/>
      <c r="I162" s="317"/>
      <c r="J162" s="317"/>
      <c r="K162" s="317"/>
      <c r="L162" s="317"/>
      <c r="M162" s="317"/>
      <c r="N162" s="317"/>
      <c r="O162" s="317"/>
      <c r="P162" s="317"/>
      <c r="Q162" s="317"/>
      <c r="R162" s="317"/>
      <c r="S162" s="317"/>
      <c r="T162" s="317"/>
      <c r="U162" s="317"/>
      <c r="V162" s="317"/>
      <c r="W162" s="317"/>
      <c r="X162" s="317"/>
      <c r="Y162" s="317"/>
      <c r="Z162" s="317"/>
      <c r="AA162" s="317"/>
      <c r="AB162" s="317"/>
      <c r="AC162" s="317"/>
      <c r="AD162" s="317"/>
    </row>
    <row r="163" ht="20.25" customHeight="1">
      <c r="A163" s="317"/>
      <c r="B163" s="317"/>
      <c r="C163" s="317"/>
      <c r="D163" s="317"/>
      <c r="E163" s="317"/>
      <c r="F163" s="317"/>
      <c r="G163" s="317"/>
      <c r="H163" s="317"/>
      <c r="I163" s="317"/>
      <c r="J163" s="317"/>
      <c r="K163" s="317"/>
      <c r="L163" s="317"/>
      <c r="M163" s="317"/>
      <c r="N163" s="317"/>
      <c r="O163" s="317"/>
      <c r="P163" s="317"/>
      <c r="Q163" s="317"/>
      <c r="R163" s="317"/>
      <c r="S163" s="317"/>
      <c r="T163" s="317"/>
      <c r="U163" s="317"/>
      <c r="V163" s="317"/>
      <c r="W163" s="317"/>
      <c r="X163" s="317"/>
      <c r="Y163" s="317"/>
      <c r="Z163" s="317"/>
      <c r="AA163" s="317"/>
      <c r="AB163" s="317"/>
      <c r="AC163" s="317"/>
      <c r="AD163" s="317"/>
    </row>
    <row r="164" ht="20.25" customHeight="1">
      <c r="A164" s="317"/>
      <c r="B164" s="317"/>
      <c r="C164" s="317"/>
      <c r="D164" s="317"/>
      <c r="E164" s="317"/>
      <c r="F164" s="317"/>
      <c r="G164" s="317"/>
      <c r="H164" s="317"/>
      <c r="I164" s="317"/>
      <c r="J164" s="317"/>
      <c r="K164" s="317"/>
      <c r="L164" s="317"/>
      <c r="M164" s="317"/>
      <c r="N164" s="317"/>
      <c r="O164" s="317"/>
      <c r="P164" s="317"/>
      <c r="Q164" s="317"/>
      <c r="R164" s="317"/>
      <c r="S164" s="317"/>
      <c r="T164" s="317"/>
      <c r="U164" s="317"/>
      <c r="V164" s="317"/>
      <c r="W164" s="317"/>
      <c r="X164" s="317"/>
      <c r="Y164" s="317"/>
      <c r="Z164" s="317"/>
      <c r="AA164" s="317"/>
      <c r="AB164" s="317"/>
      <c r="AC164" s="317"/>
      <c r="AD164" s="317"/>
    </row>
    <row r="165" ht="20.25" customHeight="1">
      <c r="A165" s="317"/>
      <c r="B165" s="317"/>
      <c r="C165" s="317"/>
      <c r="D165" s="317"/>
      <c r="E165" s="317"/>
      <c r="F165" s="317"/>
      <c r="G165" s="317"/>
      <c r="H165" s="317"/>
      <c r="I165" s="317"/>
      <c r="J165" s="317"/>
      <c r="K165" s="317"/>
      <c r="L165" s="317"/>
      <c r="M165" s="317"/>
      <c r="N165" s="317"/>
      <c r="O165" s="317"/>
      <c r="P165" s="317"/>
      <c r="Q165" s="317"/>
      <c r="R165" s="317"/>
      <c r="S165" s="317"/>
      <c r="T165" s="317"/>
      <c r="U165" s="317"/>
      <c r="V165" s="317"/>
      <c r="W165" s="317"/>
      <c r="X165" s="317"/>
      <c r="Y165" s="317"/>
      <c r="Z165" s="317"/>
      <c r="AA165" s="317"/>
      <c r="AB165" s="317"/>
      <c r="AC165" s="317"/>
      <c r="AD165" s="317"/>
    </row>
    <row r="166" ht="20.25" customHeight="1">
      <c r="A166" s="317"/>
      <c r="B166" s="317"/>
      <c r="C166" s="317"/>
      <c r="D166" s="317"/>
      <c r="E166" s="317"/>
      <c r="F166" s="317"/>
      <c r="G166" s="317"/>
      <c r="H166" s="317"/>
      <c r="I166" s="317"/>
      <c r="J166" s="317"/>
      <c r="K166" s="317"/>
      <c r="L166" s="317"/>
      <c r="M166" s="317"/>
      <c r="N166" s="317"/>
      <c r="O166" s="317"/>
      <c r="P166" s="317"/>
      <c r="Q166" s="317"/>
      <c r="R166" s="317"/>
      <c r="S166" s="317"/>
      <c r="T166" s="317"/>
      <c r="U166" s="317"/>
      <c r="V166" s="317"/>
      <c r="W166" s="317"/>
      <c r="X166" s="317"/>
      <c r="Y166" s="317"/>
      <c r="Z166" s="317"/>
      <c r="AA166" s="317"/>
      <c r="AB166" s="317"/>
      <c r="AC166" s="317"/>
      <c r="AD166" s="317"/>
    </row>
    <row r="167" ht="20.25" customHeight="1">
      <c r="A167" s="317"/>
      <c r="B167" s="317"/>
      <c r="C167" s="317"/>
      <c r="D167" s="317"/>
      <c r="E167" s="317"/>
      <c r="F167" s="317"/>
      <c r="G167" s="317"/>
      <c r="H167" s="317"/>
      <c r="I167" s="317"/>
      <c r="J167" s="317"/>
      <c r="K167" s="317"/>
      <c r="L167" s="317"/>
      <c r="M167" s="317"/>
      <c r="N167" s="317"/>
      <c r="O167" s="317"/>
      <c r="P167" s="317"/>
      <c r="Q167" s="317"/>
      <c r="R167" s="317"/>
      <c r="S167" s="317"/>
      <c r="T167" s="317"/>
      <c r="U167" s="317"/>
      <c r="V167" s="317"/>
      <c r="W167" s="317"/>
      <c r="X167" s="317"/>
      <c r="Y167" s="317"/>
      <c r="Z167" s="317"/>
      <c r="AA167" s="317"/>
      <c r="AB167" s="317"/>
      <c r="AC167" s="317"/>
      <c r="AD167" s="317"/>
    </row>
    <row r="168" ht="20.25" customHeight="1">
      <c r="A168" s="317"/>
      <c r="B168" s="317"/>
      <c r="C168" s="317"/>
      <c r="D168" s="317"/>
      <c r="E168" s="317"/>
      <c r="F168" s="317"/>
      <c r="G168" s="317"/>
      <c r="H168" s="317"/>
      <c r="I168" s="317"/>
      <c r="J168" s="317"/>
      <c r="K168" s="317"/>
      <c r="L168" s="317"/>
      <c r="M168" s="317"/>
      <c r="N168" s="317"/>
      <c r="O168" s="317"/>
      <c r="P168" s="317"/>
      <c r="Q168" s="317"/>
      <c r="R168" s="317"/>
      <c r="S168" s="317"/>
      <c r="T168" s="317"/>
      <c r="U168" s="317"/>
      <c r="V168" s="317"/>
      <c r="W168" s="317"/>
      <c r="X168" s="317"/>
      <c r="Y168" s="317"/>
      <c r="Z168" s="317"/>
      <c r="AA168" s="317"/>
      <c r="AB168" s="317"/>
      <c r="AC168" s="317"/>
      <c r="AD168" s="317"/>
    </row>
    <row r="169" ht="20.25" customHeight="1">
      <c r="A169" s="317"/>
      <c r="B169" s="317"/>
      <c r="C169" s="317"/>
      <c r="D169" s="317"/>
      <c r="E169" s="317"/>
      <c r="F169" s="317"/>
      <c r="G169" s="317"/>
      <c r="H169" s="317"/>
      <c r="I169" s="317"/>
      <c r="J169" s="317"/>
      <c r="K169" s="317"/>
      <c r="L169" s="317"/>
      <c r="M169" s="317"/>
      <c r="N169" s="317"/>
      <c r="O169" s="317"/>
      <c r="P169" s="317"/>
      <c r="Q169" s="317"/>
      <c r="R169" s="317"/>
      <c r="S169" s="317"/>
      <c r="T169" s="317"/>
      <c r="U169" s="317"/>
      <c r="V169" s="317"/>
      <c r="W169" s="317"/>
      <c r="X169" s="317"/>
      <c r="Y169" s="317"/>
      <c r="Z169" s="317"/>
      <c r="AA169" s="317"/>
      <c r="AB169" s="317"/>
      <c r="AC169" s="317"/>
      <c r="AD169" s="317"/>
    </row>
    <row r="170" ht="20.25" customHeight="1">
      <c r="A170" s="317"/>
      <c r="B170" s="317"/>
      <c r="C170" s="317"/>
      <c r="D170" s="317"/>
      <c r="E170" s="317"/>
      <c r="F170" s="317"/>
      <c r="G170" s="317"/>
      <c r="H170" s="317"/>
      <c r="I170" s="317"/>
      <c r="J170" s="317"/>
      <c r="K170" s="317"/>
      <c r="L170" s="317"/>
      <c r="M170" s="317"/>
      <c r="N170" s="317"/>
      <c r="O170" s="317"/>
      <c r="P170" s="317"/>
      <c r="Q170" s="317"/>
      <c r="R170" s="317"/>
      <c r="S170" s="317"/>
      <c r="T170" s="317"/>
      <c r="U170" s="317"/>
      <c r="V170" s="317"/>
      <c r="W170" s="317"/>
      <c r="X170" s="317"/>
      <c r="Y170" s="317"/>
      <c r="Z170" s="317"/>
      <c r="AA170" s="317"/>
      <c r="AB170" s="317"/>
      <c r="AC170" s="317"/>
      <c r="AD170" s="317"/>
    </row>
    <row r="171" ht="20.25" customHeight="1">
      <c r="A171" s="317"/>
      <c r="B171" s="317"/>
      <c r="C171" s="317"/>
      <c r="D171" s="317"/>
      <c r="E171" s="317"/>
      <c r="F171" s="317"/>
      <c r="G171" s="317"/>
      <c r="H171" s="317"/>
      <c r="I171" s="317"/>
      <c r="J171" s="317"/>
      <c r="K171" s="317"/>
      <c r="L171" s="317"/>
      <c r="M171" s="317"/>
      <c r="N171" s="317"/>
      <c r="O171" s="317"/>
      <c r="P171" s="317"/>
      <c r="Q171" s="317"/>
      <c r="R171" s="317"/>
      <c r="S171" s="317"/>
      <c r="T171" s="317"/>
      <c r="U171" s="317"/>
      <c r="V171" s="317"/>
      <c r="W171" s="317"/>
      <c r="X171" s="317"/>
      <c r="Y171" s="317"/>
      <c r="Z171" s="317"/>
      <c r="AA171" s="317"/>
      <c r="AB171" s="317"/>
      <c r="AC171" s="317"/>
      <c r="AD171" s="317"/>
    </row>
    <row r="172" ht="20.25" customHeight="1">
      <c r="A172" s="317"/>
      <c r="B172" s="317"/>
      <c r="C172" s="317"/>
      <c r="D172" s="317"/>
      <c r="E172" s="317"/>
      <c r="F172" s="317"/>
      <c r="G172" s="317"/>
      <c r="H172" s="317"/>
      <c r="I172" s="317"/>
      <c r="J172" s="317"/>
      <c r="K172" s="317"/>
      <c r="L172" s="317"/>
      <c r="M172" s="317"/>
      <c r="N172" s="317"/>
      <c r="O172" s="317"/>
      <c r="P172" s="317"/>
      <c r="Q172" s="317"/>
      <c r="R172" s="317"/>
      <c r="S172" s="317"/>
      <c r="T172" s="317"/>
      <c r="U172" s="317"/>
      <c r="V172" s="317"/>
      <c r="W172" s="317"/>
      <c r="X172" s="317"/>
      <c r="Y172" s="317"/>
      <c r="Z172" s="317"/>
      <c r="AA172" s="317"/>
      <c r="AB172" s="317"/>
      <c r="AC172" s="317"/>
      <c r="AD172" s="317"/>
    </row>
    <row r="173" ht="20.25" customHeight="1">
      <c r="A173" s="317"/>
      <c r="B173" s="317"/>
      <c r="C173" s="317"/>
      <c r="D173" s="317"/>
      <c r="E173" s="317"/>
      <c r="F173" s="317"/>
      <c r="G173" s="317"/>
      <c r="H173" s="317"/>
      <c r="I173" s="317"/>
      <c r="J173" s="317"/>
      <c r="K173" s="317"/>
      <c r="L173" s="317"/>
      <c r="M173" s="317"/>
      <c r="N173" s="317"/>
      <c r="O173" s="317"/>
      <c r="P173" s="317"/>
      <c r="Q173" s="317"/>
      <c r="R173" s="317"/>
      <c r="S173" s="317"/>
      <c r="T173" s="317"/>
      <c r="U173" s="317"/>
      <c r="V173" s="317"/>
      <c r="W173" s="317"/>
      <c r="X173" s="317"/>
      <c r="Y173" s="317"/>
      <c r="Z173" s="317"/>
      <c r="AA173" s="317"/>
      <c r="AB173" s="317"/>
      <c r="AC173" s="317"/>
      <c r="AD173" s="317"/>
    </row>
    <row r="174" ht="20.25" customHeight="1">
      <c r="A174" s="317"/>
      <c r="B174" s="317"/>
      <c r="C174" s="317"/>
      <c r="D174" s="317"/>
      <c r="E174" s="317"/>
      <c r="F174" s="317"/>
      <c r="G174" s="317"/>
      <c r="H174" s="317"/>
      <c r="I174" s="317"/>
      <c r="J174" s="317"/>
      <c r="K174" s="317"/>
      <c r="L174" s="317"/>
      <c r="M174" s="317"/>
      <c r="N174" s="317"/>
      <c r="O174" s="317"/>
      <c r="P174" s="317"/>
      <c r="Q174" s="317"/>
      <c r="R174" s="317"/>
      <c r="S174" s="317"/>
      <c r="T174" s="317"/>
      <c r="U174" s="317"/>
      <c r="V174" s="317"/>
      <c r="W174" s="317"/>
      <c r="X174" s="317"/>
      <c r="Y174" s="317"/>
      <c r="Z174" s="317"/>
      <c r="AA174" s="317"/>
      <c r="AB174" s="317"/>
      <c r="AC174" s="317"/>
      <c r="AD174" s="317"/>
    </row>
    <row r="175" ht="20.25" customHeight="1">
      <c r="A175" s="317"/>
      <c r="B175" s="317"/>
      <c r="C175" s="317"/>
      <c r="D175" s="317"/>
      <c r="E175" s="317"/>
      <c r="F175" s="317"/>
      <c r="G175" s="317"/>
      <c r="H175" s="317"/>
      <c r="I175" s="317"/>
      <c r="J175" s="317"/>
      <c r="K175" s="317"/>
      <c r="L175" s="317"/>
      <c r="M175" s="317"/>
      <c r="N175" s="317"/>
      <c r="O175" s="317"/>
      <c r="P175" s="317"/>
      <c r="Q175" s="317"/>
      <c r="R175" s="317"/>
      <c r="S175" s="317"/>
      <c r="T175" s="317"/>
      <c r="U175" s="317"/>
      <c r="V175" s="317"/>
      <c r="W175" s="317"/>
      <c r="X175" s="317"/>
      <c r="Y175" s="317"/>
      <c r="Z175" s="317"/>
      <c r="AA175" s="317"/>
      <c r="AB175" s="317"/>
      <c r="AC175" s="317"/>
      <c r="AD175" s="317"/>
    </row>
    <row r="176" ht="20.25" customHeight="1">
      <c r="A176" s="317"/>
      <c r="B176" s="317"/>
      <c r="C176" s="317"/>
      <c r="D176" s="317"/>
      <c r="E176" s="317"/>
      <c r="F176" s="317"/>
      <c r="G176" s="317"/>
      <c r="H176" s="317"/>
      <c r="I176" s="317"/>
      <c r="J176" s="317"/>
      <c r="K176" s="317"/>
      <c r="L176" s="317"/>
      <c r="M176" s="317"/>
      <c r="N176" s="317"/>
      <c r="O176" s="317"/>
      <c r="P176" s="317"/>
      <c r="Q176" s="317"/>
      <c r="R176" s="317"/>
      <c r="S176" s="317"/>
      <c r="T176" s="317"/>
      <c r="U176" s="317"/>
      <c r="V176" s="317"/>
      <c r="W176" s="317"/>
      <c r="X176" s="317"/>
      <c r="Y176" s="317"/>
      <c r="Z176" s="317"/>
      <c r="AA176" s="317"/>
      <c r="AB176" s="317"/>
      <c r="AC176" s="317"/>
      <c r="AD176" s="317"/>
    </row>
    <row r="177" ht="20.25" customHeight="1">
      <c r="A177" s="317"/>
      <c r="B177" s="317"/>
      <c r="C177" s="317"/>
      <c r="D177" s="317"/>
      <c r="E177" s="317"/>
      <c r="F177" s="317"/>
      <c r="G177" s="317"/>
      <c r="H177" s="317"/>
      <c r="I177" s="317"/>
      <c r="J177" s="317"/>
      <c r="K177" s="317"/>
      <c r="L177" s="317"/>
      <c r="M177" s="317"/>
      <c r="N177" s="317"/>
      <c r="O177" s="317"/>
      <c r="P177" s="317"/>
      <c r="Q177" s="317"/>
      <c r="R177" s="317"/>
      <c r="S177" s="317"/>
      <c r="T177" s="317"/>
      <c r="U177" s="317"/>
      <c r="V177" s="317"/>
      <c r="W177" s="317"/>
      <c r="X177" s="317"/>
      <c r="Y177" s="317"/>
      <c r="Z177" s="317"/>
      <c r="AA177" s="317"/>
      <c r="AB177" s="317"/>
      <c r="AC177" s="317"/>
      <c r="AD177" s="317"/>
    </row>
    <row r="178" ht="20.25" customHeight="1">
      <c r="A178" s="317"/>
      <c r="B178" s="317"/>
      <c r="C178" s="317"/>
      <c r="D178" s="317"/>
      <c r="E178" s="317"/>
      <c r="F178" s="317"/>
      <c r="G178" s="317"/>
      <c r="H178" s="317"/>
      <c r="I178" s="317"/>
      <c r="J178" s="317"/>
      <c r="K178" s="317"/>
      <c r="L178" s="317"/>
      <c r="M178" s="317"/>
      <c r="N178" s="317"/>
      <c r="O178" s="317"/>
      <c r="P178" s="317"/>
      <c r="Q178" s="317"/>
      <c r="R178" s="317"/>
      <c r="S178" s="317"/>
      <c r="T178" s="317"/>
      <c r="U178" s="317"/>
      <c r="V178" s="317"/>
      <c r="W178" s="317"/>
      <c r="X178" s="317"/>
      <c r="Y178" s="317"/>
      <c r="Z178" s="317"/>
      <c r="AA178" s="317"/>
      <c r="AB178" s="317"/>
      <c r="AC178" s="317"/>
      <c r="AD178" s="317"/>
    </row>
    <row r="179" ht="20.25" customHeight="1">
      <c r="A179" s="317"/>
      <c r="B179" s="317"/>
      <c r="C179" s="317"/>
      <c r="D179" s="317"/>
      <c r="E179" s="317"/>
      <c r="F179" s="317"/>
      <c r="G179" s="317"/>
      <c r="H179" s="317"/>
      <c r="I179" s="317"/>
      <c r="J179" s="317"/>
      <c r="K179" s="317"/>
      <c r="L179" s="317"/>
      <c r="M179" s="317"/>
      <c r="N179" s="317"/>
      <c r="O179" s="317"/>
      <c r="P179" s="317"/>
      <c r="Q179" s="317"/>
      <c r="R179" s="317"/>
      <c r="S179" s="317"/>
      <c r="T179" s="317"/>
      <c r="U179" s="317"/>
      <c r="V179" s="317"/>
      <c r="W179" s="317"/>
      <c r="X179" s="317"/>
      <c r="Y179" s="317"/>
      <c r="Z179" s="317"/>
      <c r="AA179" s="317"/>
      <c r="AB179" s="317"/>
      <c r="AC179" s="317"/>
      <c r="AD179" s="317"/>
    </row>
    <row r="180" ht="20.25" customHeight="1">
      <c r="A180" s="317"/>
      <c r="B180" s="317"/>
      <c r="C180" s="317"/>
      <c r="D180" s="317"/>
      <c r="E180" s="317"/>
      <c r="F180" s="317"/>
      <c r="G180" s="317"/>
      <c r="H180" s="317"/>
      <c r="I180" s="317"/>
      <c r="J180" s="317"/>
      <c r="K180" s="317"/>
      <c r="L180" s="317"/>
      <c r="M180" s="317"/>
      <c r="N180" s="317"/>
      <c r="O180" s="317"/>
      <c r="P180" s="317"/>
      <c r="Q180" s="317"/>
      <c r="R180" s="317"/>
      <c r="S180" s="317"/>
      <c r="T180" s="317"/>
      <c r="U180" s="317"/>
      <c r="V180" s="317"/>
      <c r="W180" s="317"/>
      <c r="X180" s="317"/>
      <c r="Y180" s="317"/>
      <c r="Z180" s="317"/>
      <c r="AA180" s="317"/>
      <c r="AB180" s="317"/>
      <c r="AC180" s="317"/>
      <c r="AD180" s="317"/>
    </row>
    <row r="181" ht="20.25" customHeight="1">
      <c r="A181" s="317"/>
      <c r="B181" s="317"/>
      <c r="C181" s="317"/>
      <c r="D181" s="317"/>
      <c r="E181" s="317"/>
      <c r="F181" s="317"/>
      <c r="G181" s="317"/>
      <c r="H181" s="317"/>
      <c r="I181" s="317"/>
      <c r="J181" s="317"/>
      <c r="K181" s="317"/>
      <c r="L181" s="317"/>
      <c r="M181" s="317"/>
      <c r="N181" s="317"/>
      <c r="O181" s="317"/>
      <c r="P181" s="317"/>
      <c r="Q181" s="317"/>
      <c r="R181" s="317"/>
      <c r="S181" s="317"/>
      <c r="T181" s="317"/>
      <c r="U181" s="317"/>
      <c r="V181" s="317"/>
      <c r="W181" s="317"/>
      <c r="X181" s="317"/>
      <c r="Y181" s="317"/>
      <c r="Z181" s="317"/>
      <c r="AA181" s="317"/>
      <c r="AB181" s="317"/>
      <c r="AC181" s="317"/>
      <c r="AD181" s="317"/>
    </row>
    <row r="182" ht="20.25" customHeight="1">
      <c r="A182" s="317"/>
      <c r="B182" s="317"/>
      <c r="C182" s="317"/>
      <c r="D182" s="317"/>
      <c r="E182" s="317"/>
      <c r="F182" s="317"/>
      <c r="G182" s="317"/>
      <c r="H182" s="317"/>
      <c r="I182" s="317"/>
      <c r="J182" s="317"/>
      <c r="K182" s="317"/>
      <c r="L182" s="317"/>
      <c r="M182" s="317"/>
      <c r="N182" s="317"/>
      <c r="O182" s="317"/>
      <c r="P182" s="317"/>
      <c r="Q182" s="317"/>
      <c r="R182" s="317"/>
      <c r="S182" s="317"/>
      <c r="T182" s="317"/>
      <c r="U182" s="317"/>
      <c r="V182" s="317"/>
      <c r="W182" s="317"/>
      <c r="X182" s="317"/>
      <c r="Y182" s="317"/>
      <c r="Z182" s="317"/>
      <c r="AA182" s="317"/>
      <c r="AB182" s="317"/>
      <c r="AC182" s="317"/>
      <c r="AD182" s="317"/>
    </row>
    <row r="183" ht="20.25" customHeight="1">
      <c r="A183" s="317"/>
      <c r="B183" s="317"/>
      <c r="C183" s="317"/>
      <c r="D183" s="317"/>
      <c r="E183" s="317"/>
      <c r="F183" s="317"/>
      <c r="G183" s="317"/>
      <c r="H183" s="317"/>
      <c r="I183" s="317"/>
      <c r="J183" s="317"/>
      <c r="K183" s="317"/>
      <c r="L183" s="317"/>
      <c r="M183" s="317"/>
      <c r="N183" s="317"/>
      <c r="O183" s="317"/>
      <c r="P183" s="317"/>
      <c r="Q183" s="317"/>
      <c r="R183" s="317"/>
      <c r="S183" s="317"/>
      <c r="T183" s="317"/>
      <c r="U183" s="317"/>
      <c r="V183" s="317"/>
      <c r="W183" s="317"/>
      <c r="X183" s="317"/>
      <c r="Y183" s="317"/>
      <c r="Z183" s="317"/>
      <c r="AA183" s="317"/>
      <c r="AB183" s="317"/>
      <c r="AC183" s="317"/>
      <c r="AD183" s="317"/>
    </row>
    <row r="184" ht="20.25" customHeight="1">
      <c r="A184" s="317"/>
      <c r="B184" s="317"/>
      <c r="C184" s="317"/>
      <c r="D184" s="317"/>
      <c r="E184" s="317"/>
      <c r="F184" s="317"/>
      <c r="G184" s="317"/>
      <c r="H184" s="317"/>
      <c r="I184" s="317"/>
      <c r="J184" s="317"/>
      <c r="K184" s="317"/>
      <c r="L184" s="317"/>
      <c r="M184" s="317"/>
      <c r="N184" s="317"/>
      <c r="O184" s="317"/>
      <c r="P184" s="317"/>
      <c r="Q184" s="317"/>
      <c r="R184" s="317"/>
      <c r="S184" s="317"/>
      <c r="T184" s="317"/>
      <c r="U184" s="317"/>
      <c r="V184" s="317"/>
      <c r="W184" s="317"/>
      <c r="X184" s="317"/>
      <c r="Y184" s="317"/>
      <c r="Z184" s="317"/>
      <c r="AA184" s="317"/>
      <c r="AB184" s="317"/>
      <c r="AC184" s="317"/>
      <c r="AD184" s="317"/>
    </row>
    <row r="185" ht="20.25" customHeight="1">
      <c r="A185" s="317"/>
      <c r="B185" s="317"/>
      <c r="C185" s="317"/>
      <c r="D185" s="317"/>
      <c r="E185" s="317"/>
      <c r="F185" s="317"/>
      <c r="G185" s="317"/>
      <c r="H185" s="317"/>
      <c r="I185" s="317"/>
      <c r="J185" s="317"/>
      <c r="K185" s="317"/>
      <c r="L185" s="317"/>
      <c r="M185" s="317"/>
      <c r="N185" s="317"/>
      <c r="O185" s="317"/>
      <c r="P185" s="317"/>
      <c r="Q185" s="317"/>
      <c r="R185" s="317"/>
      <c r="S185" s="317"/>
      <c r="T185" s="317"/>
      <c r="U185" s="317"/>
      <c r="V185" s="317"/>
      <c r="W185" s="317"/>
      <c r="X185" s="317"/>
      <c r="Y185" s="317"/>
      <c r="Z185" s="317"/>
      <c r="AA185" s="317"/>
      <c r="AB185" s="317"/>
      <c r="AC185" s="317"/>
      <c r="AD185" s="317"/>
    </row>
    <row r="186" ht="20.25" customHeight="1">
      <c r="A186" s="317"/>
      <c r="B186" s="317"/>
      <c r="C186" s="317"/>
      <c r="D186" s="317"/>
      <c r="E186" s="317"/>
      <c r="F186" s="317"/>
      <c r="G186" s="317"/>
      <c r="H186" s="317"/>
      <c r="I186" s="317"/>
      <c r="J186" s="317"/>
      <c r="K186" s="317"/>
      <c r="L186" s="317"/>
      <c r="M186" s="317"/>
      <c r="N186" s="317"/>
      <c r="O186" s="317"/>
      <c r="P186" s="317"/>
      <c r="Q186" s="317"/>
      <c r="R186" s="317"/>
      <c r="S186" s="317"/>
      <c r="T186" s="317"/>
      <c r="U186" s="317"/>
      <c r="V186" s="317"/>
      <c r="W186" s="317"/>
      <c r="X186" s="317"/>
      <c r="Y186" s="317"/>
      <c r="Z186" s="317"/>
      <c r="AA186" s="317"/>
      <c r="AB186" s="317"/>
      <c r="AC186" s="317"/>
      <c r="AD186" s="317"/>
    </row>
    <row r="187" ht="20.25" customHeight="1">
      <c r="A187" s="317"/>
      <c r="B187" s="317"/>
      <c r="C187" s="317"/>
      <c r="D187" s="317"/>
      <c r="E187" s="317"/>
      <c r="F187" s="317"/>
      <c r="G187" s="317"/>
      <c r="H187" s="317"/>
      <c r="I187" s="317"/>
      <c r="J187" s="317"/>
      <c r="K187" s="317"/>
      <c r="L187" s="317"/>
      <c r="M187" s="317"/>
      <c r="N187" s="317"/>
      <c r="O187" s="317"/>
      <c r="P187" s="317"/>
      <c r="Q187" s="317"/>
      <c r="R187" s="317"/>
      <c r="S187" s="317"/>
      <c r="T187" s="317"/>
      <c r="U187" s="317"/>
      <c r="V187" s="317"/>
      <c r="W187" s="317"/>
      <c r="X187" s="317"/>
      <c r="Y187" s="317"/>
      <c r="Z187" s="317"/>
      <c r="AA187" s="317"/>
      <c r="AB187" s="317"/>
      <c r="AC187" s="317"/>
      <c r="AD187" s="317"/>
    </row>
    <row r="188" ht="20.25" customHeight="1">
      <c r="A188" s="317"/>
      <c r="B188" s="317"/>
      <c r="C188" s="317"/>
      <c r="D188" s="317"/>
      <c r="E188" s="317"/>
      <c r="F188" s="317"/>
      <c r="G188" s="317"/>
      <c r="H188" s="317"/>
      <c r="I188" s="317"/>
      <c r="J188" s="317"/>
      <c r="K188" s="317"/>
      <c r="L188" s="317"/>
      <c r="M188" s="317"/>
      <c r="N188" s="317"/>
      <c r="O188" s="317"/>
      <c r="P188" s="317"/>
      <c r="Q188" s="317"/>
      <c r="R188" s="317"/>
      <c r="S188" s="317"/>
      <c r="T188" s="317"/>
      <c r="U188" s="317"/>
      <c r="V188" s="317"/>
      <c r="W188" s="317"/>
      <c r="X188" s="317"/>
      <c r="Y188" s="317"/>
      <c r="Z188" s="317"/>
      <c r="AA188" s="317"/>
      <c r="AB188" s="317"/>
      <c r="AC188" s="317"/>
      <c r="AD188" s="317"/>
    </row>
    <row r="189" ht="20.25" customHeight="1">
      <c r="A189" s="317"/>
      <c r="B189" s="317"/>
      <c r="C189" s="317"/>
      <c r="D189" s="317"/>
      <c r="E189" s="317"/>
      <c r="F189" s="317"/>
      <c r="G189" s="317"/>
      <c r="H189" s="317"/>
      <c r="I189" s="317"/>
      <c r="J189" s="317"/>
      <c r="K189" s="317"/>
      <c r="L189" s="317"/>
      <c r="M189" s="317"/>
      <c r="N189" s="317"/>
      <c r="O189" s="317"/>
      <c r="P189" s="317"/>
      <c r="Q189" s="317"/>
      <c r="R189" s="317"/>
      <c r="S189" s="317"/>
      <c r="T189" s="317"/>
      <c r="U189" s="317"/>
      <c r="V189" s="317"/>
      <c r="W189" s="317"/>
      <c r="X189" s="317"/>
      <c r="Y189" s="317"/>
      <c r="Z189" s="317"/>
      <c r="AA189" s="317"/>
      <c r="AB189" s="317"/>
      <c r="AC189" s="317"/>
      <c r="AD189" s="317"/>
    </row>
    <row r="190" ht="20.25" customHeight="1">
      <c r="A190" s="317"/>
      <c r="B190" s="317"/>
      <c r="C190" s="317"/>
      <c r="D190" s="317"/>
      <c r="E190" s="317"/>
      <c r="F190" s="317"/>
      <c r="G190" s="317"/>
      <c r="H190" s="317"/>
      <c r="I190" s="317"/>
      <c r="J190" s="317"/>
      <c r="K190" s="317"/>
      <c r="L190" s="317"/>
      <c r="M190" s="317"/>
      <c r="N190" s="317"/>
      <c r="O190" s="317"/>
      <c r="P190" s="317"/>
      <c r="Q190" s="317"/>
      <c r="R190" s="317"/>
      <c r="S190" s="317"/>
      <c r="T190" s="317"/>
      <c r="U190" s="317"/>
      <c r="V190" s="317"/>
      <c r="W190" s="317"/>
      <c r="X190" s="317"/>
      <c r="Y190" s="317"/>
      <c r="Z190" s="317"/>
      <c r="AA190" s="317"/>
      <c r="AB190" s="317"/>
      <c r="AC190" s="317"/>
      <c r="AD190" s="317"/>
    </row>
    <row r="191" ht="20.25" customHeight="1">
      <c r="A191" s="317"/>
      <c r="B191" s="317"/>
      <c r="C191" s="317"/>
      <c r="D191" s="317"/>
      <c r="E191" s="317"/>
      <c r="F191" s="317"/>
      <c r="G191" s="317"/>
      <c r="H191" s="317"/>
      <c r="I191" s="317"/>
      <c r="J191" s="317"/>
      <c r="K191" s="317"/>
      <c r="L191" s="317"/>
      <c r="M191" s="317"/>
      <c r="N191" s="317"/>
      <c r="O191" s="317"/>
      <c r="P191" s="317"/>
      <c r="Q191" s="317"/>
      <c r="R191" s="317"/>
      <c r="S191" s="317"/>
      <c r="T191" s="317"/>
      <c r="U191" s="317"/>
      <c r="V191" s="317"/>
      <c r="W191" s="317"/>
      <c r="X191" s="317"/>
      <c r="Y191" s="317"/>
      <c r="Z191" s="317"/>
      <c r="AA191" s="317"/>
      <c r="AB191" s="317"/>
      <c r="AC191" s="317"/>
      <c r="AD191" s="317"/>
    </row>
    <row r="192" ht="20.25" customHeight="1">
      <c r="A192" s="317"/>
      <c r="B192" s="317"/>
      <c r="C192" s="317"/>
      <c r="D192" s="317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317"/>
      <c r="R192" s="317"/>
      <c r="S192" s="317"/>
      <c r="T192" s="317"/>
      <c r="U192" s="317"/>
      <c r="V192" s="317"/>
      <c r="W192" s="317"/>
      <c r="X192" s="317"/>
      <c r="Y192" s="317"/>
      <c r="Z192" s="317"/>
      <c r="AA192" s="317"/>
      <c r="AB192" s="317"/>
      <c r="AC192" s="317"/>
      <c r="AD192" s="317"/>
    </row>
    <row r="193" ht="20.25" customHeight="1">
      <c r="A193" s="317"/>
      <c r="B193" s="317"/>
      <c r="C193" s="317"/>
      <c r="D193" s="317"/>
      <c r="E193" s="317"/>
      <c r="F193" s="317"/>
      <c r="G193" s="317"/>
      <c r="H193" s="317"/>
      <c r="I193" s="317"/>
      <c r="J193" s="317"/>
      <c r="K193" s="317"/>
      <c r="L193" s="317"/>
      <c r="M193" s="317"/>
      <c r="N193" s="317"/>
      <c r="O193" s="317"/>
      <c r="P193" s="317"/>
      <c r="Q193" s="317"/>
      <c r="R193" s="317"/>
      <c r="S193" s="317"/>
      <c r="T193" s="317"/>
      <c r="U193" s="317"/>
      <c r="V193" s="317"/>
      <c r="W193" s="317"/>
      <c r="X193" s="317"/>
      <c r="Y193" s="317"/>
      <c r="Z193" s="317"/>
      <c r="AA193" s="317"/>
      <c r="AB193" s="317"/>
      <c r="AC193" s="317"/>
      <c r="AD193" s="317"/>
    </row>
    <row r="194" ht="20.25" customHeight="1">
      <c r="A194" s="317"/>
      <c r="B194" s="317"/>
      <c r="C194" s="317"/>
      <c r="D194" s="317"/>
      <c r="E194" s="317"/>
      <c r="F194" s="317"/>
      <c r="G194" s="317"/>
      <c r="H194" s="317"/>
      <c r="I194" s="317"/>
      <c r="J194" s="317"/>
      <c r="K194" s="317"/>
      <c r="L194" s="317"/>
      <c r="M194" s="317"/>
      <c r="N194" s="317"/>
      <c r="O194" s="317"/>
      <c r="P194" s="317"/>
      <c r="Q194" s="317"/>
      <c r="R194" s="317"/>
      <c r="S194" s="317"/>
      <c r="T194" s="317"/>
      <c r="U194" s="317"/>
      <c r="V194" s="317"/>
      <c r="W194" s="317"/>
      <c r="X194" s="317"/>
      <c r="Y194" s="317"/>
      <c r="Z194" s="317"/>
      <c r="AA194" s="317"/>
      <c r="AB194" s="317"/>
      <c r="AC194" s="317"/>
      <c r="AD194" s="317"/>
    </row>
    <row r="195" ht="20.25" customHeight="1">
      <c r="A195" s="317"/>
      <c r="B195" s="317"/>
      <c r="C195" s="317"/>
      <c r="D195" s="317"/>
      <c r="E195" s="317"/>
      <c r="F195" s="317"/>
      <c r="G195" s="317"/>
      <c r="H195" s="317"/>
      <c r="I195" s="317"/>
      <c r="J195" s="317"/>
      <c r="K195" s="317"/>
      <c r="L195" s="317"/>
      <c r="M195" s="317"/>
      <c r="N195" s="317"/>
      <c r="O195" s="317"/>
      <c r="P195" s="317"/>
      <c r="Q195" s="317"/>
      <c r="R195" s="317"/>
      <c r="S195" s="317"/>
      <c r="T195" s="317"/>
      <c r="U195" s="317"/>
      <c r="V195" s="317"/>
      <c r="W195" s="317"/>
      <c r="X195" s="317"/>
      <c r="Y195" s="317"/>
      <c r="Z195" s="317"/>
      <c r="AA195" s="317"/>
      <c r="AB195" s="317"/>
      <c r="AC195" s="317"/>
      <c r="AD195" s="317"/>
    </row>
    <row r="196" ht="20.25" customHeight="1">
      <c r="A196" s="317"/>
      <c r="B196" s="317"/>
      <c r="C196" s="317"/>
      <c r="D196" s="317"/>
      <c r="E196" s="317"/>
      <c r="F196" s="317"/>
      <c r="G196" s="317"/>
      <c r="H196" s="317"/>
      <c r="I196" s="317"/>
      <c r="J196" s="317"/>
      <c r="K196" s="317"/>
      <c r="L196" s="317"/>
      <c r="M196" s="317"/>
      <c r="N196" s="317"/>
      <c r="O196" s="317"/>
      <c r="P196" s="317"/>
      <c r="Q196" s="317"/>
      <c r="R196" s="317"/>
      <c r="S196" s="317"/>
      <c r="T196" s="317"/>
      <c r="U196" s="317"/>
      <c r="V196" s="317"/>
      <c r="W196" s="317"/>
      <c r="X196" s="317"/>
      <c r="Y196" s="317"/>
      <c r="Z196" s="317"/>
      <c r="AA196" s="317"/>
      <c r="AB196" s="317"/>
      <c r="AC196" s="317"/>
      <c r="AD196" s="317"/>
    </row>
    <row r="197" ht="20.25" customHeight="1">
      <c r="A197" s="317"/>
      <c r="B197" s="317"/>
      <c r="C197" s="317"/>
      <c r="D197" s="317"/>
      <c r="E197" s="317"/>
      <c r="F197" s="317"/>
      <c r="G197" s="317"/>
      <c r="H197" s="317"/>
      <c r="I197" s="317"/>
      <c r="J197" s="317"/>
      <c r="K197" s="317"/>
      <c r="L197" s="317"/>
      <c r="M197" s="317"/>
      <c r="N197" s="317"/>
      <c r="O197" s="317"/>
      <c r="P197" s="317"/>
      <c r="Q197" s="317"/>
      <c r="R197" s="317"/>
      <c r="S197" s="317"/>
      <c r="T197" s="317"/>
      <c r="U197" s="317"/>
      <c r="V197" s="317"/>
      <c r="W197" s="317"/>
      <c r="X197" s="317"/>
      <c r="Y197" s="317"/>
      <c r="Z197" s="317"/>
      <c r="AA197" s="317"/>
      <c r="AB197" s="317"/>
      <c r="AC197" s="317"/>
      <c r="AD197" s="317"/>
    </row>
    <row r="198" ht="20.25" customHeight="1">
      <c r="A198" s="317"/>
      <c r="B198" s="317"/>
      <c r="C198" s="317"/>
      <c r="D198" s="317"/>
      <c r="E198" s="317"/>
      <c r="F198" s="317"/>
      <c r="G198" s="317"/>
      <c r="H198" s="317"/>
      <c r="I198" s="317"/>
      <c r="J198" s="317"/>
      <c r="K198" s="317"/>
      <c r="L198" s="317"/>
      <c r="M198" s="317"/>
      <c r="N198" s="317"/>
      <c r="O198" s="317"/>
      <c r="P198" s="317"/>
      <c r="Q198" s="317"/>
      <c r="R198" s="317"/>
      <c r="S198" s="317"/>
      <c r="T198" s="317"/>
      <c r="U198" s="317"/>
      <c r="V198" s="317"/>
      <c r="W198" s="317"/>
      <c r="X198" s="317"/>
      <c r="Y198" s="317"/>
      <c r="Z198" s="317"/>
      <c r="AA198" s="317"/>
      <c r="AB198" s="317"/>
      <c r="AC198" s="317"/>
      <c r="AD198" s="317"/>
    </row>
    <row r="199" ht="20.25" customHeight="1">
      <c r="A199" s="317"/>
      <c r="B199" s="317"/>
      <c r="C199" s="317"/>
      <c r="D199" s="317"/>
      <c r="E199" s="317"/>
      <c r="F199" s="317"/>
      <c r="G199" s="317"/>
      <c r="H199" s="317"/>
      <c r="I199" s="317"/>
      <c r="J199" s="317"/>
      <c r="K199" s="317"/>
      <c r="L199" s="317"/>
      <c r="M199" s="317"/>
      <c r="N199" s="317"/>
      <c r="O199" s="317"/>
      <c r="P199" s="317"/>
      <c r="Q199" s="317"/>
      <c r="R199" s="317"/>
      <c r="S199" s="317"/>
      <c r="T199" s="317"/>
      <c r="U199" s="317"/>
      <c r="V199" s="317"/>
      <c r="W199" s="317"/>
      <c r="X199" s="317"/>
      <c r="Y199" s="317"/>
      <c r="Z199" s="317"/>
      <c r="AA199" s="317"/>
      <c r="AB199" s="317"/>
      <c r="AC199" s="317"/>
      <c r="AD199" s="317"/>
    </row>
    <row r="200" ht="20.25" customHeight="1">
      <c r="A200" s="317"/>
      <c r="B200" s="317"/>
      <c r="C200" s="317"/>
      <c r="D200" s="317"/>
      <c r="E200" s="317"/>
      <c r="F200" s="317"/>
      <c r="G200" s="317"/>
      <c r="H200" s="317"/>
      <c r="I200" s="317"/>
      <c r="J200" s="317"/>
      <c r="K200" s="317"/>
      <c r="L200" s="317"/>
      <c r="M200" s="317"/>
      <c r="N200" s="317"/>
      <c r="O200" s="317"/>
      <c r="P200" s="317"/>
      <c r="Q200" s="317"/>
      <c r="R200" s="317"/>
      <c r="S200" s="317"/>
      <c r="T200" s="317"/>
      <c r="U200" s="317"/>
      <c r="V200" s="317"/>
      <c r="W200" s="317"/>
      <c r="X200" s="317"/>
      <c r="Y200" s="317"/>
      <c r="Z200" s="317"/>
      <c r="AA200" s="317"/>
      <c r="AB200" s="317"/>
      <c r="AC200" s="317"/>
      <c r="AD200" s="317"/>
    </row>
    <row r="201" ht="20.25" customHeight="1">
      <c r="A201" s="317"/>
      <c r="B201" s="317"/>
      <c r="C201" s="317"/>
      <c r="D201" s="317"/>
      <c r="E201" s="317"/>
      <c r="F201" s="317"/>
      <c r="G201" s="317"/>
      <c r="H201" s="317"/>
      <c r="I201" s="317"/>
      <c r="J201" s="317"/>
      <c r="K201" s="317"/>
      <c r="L201" s="317"/>
      <c r="M201" s="317"/>
      <c r="N201" s="317"/>
      <c r="O201" s="317"/>
      <c r="P201" s="317"/>
      <c r="Q201" s="317"/>
      <c r="R201" s="317"/>
      <c r="S201" s="317"/>
      <c r="T201" s="317"/>
      <c r="U201" s="317"/>
      <c r="V201" s="317"/>
      <c r="W201" s="317"/>
      <c r="X201" s="317"/>
      <c r="Y201" s="317"/>
      <c r="Z201" s="317"/>
      <c r="AA201" s="317"/>
      <c r="AB201" s="317"/>
      <c r="AC201" s="317"/>
      <c r="AD201" s="317"/>
    </row>
    <row r="202" ht="20.25" customHeight="1">
      <c r="A202" s="317"/>
      <c r="B202" s="317"/>
      <c r="C202" s="317"/>
      <c r="D202" s="317"/>
      <c r="E202" s="317"/>
      <c r="F202" s="317"/>
      <c r="G202" s="317"/>
      <c r="H202" s="317"/>
      <c r="I202" s="317"/>
      <c r="J202" s="317"/>
      <c r="K202" s="317"/>
      <c r="L202" s="317"/>
      <c r="M202" s="317"/>
      <c r="N202" s="317"/>
      <c r="O202" s="317"/>
      <c r="P202" s="317"/>
      <c r="Q202" s="317"/>
      <c r="R202" s="317"/>
      <c r="S202" s="317"/>
      <c r="T202" s="317"/>
      <c r="U202" s="317"/>
      <c r="V202" s="317"/>
      <c r="W202" s="317"/>
      <c r="X202" s="317"/>
      <c r="Y202" s="317"/>
      <c r="Z202" s="317"/>
      <c r="AA202" s="317"/>
      <c r="AB202" s="317"/>
      <c r="AC202" s="317"/>
      <c r="AD202" s="317"/>
    </row>
    <row r="203" ht="20.25" customHeight="1">
      <c r="A203" s="317"/>
      <c r="B203" s="317"/>
      <c r="C203" s="317"/>
      <c r="D203" s="317"/>
      <c r="E203" s="317"/>
      <c r="F203" s="317"/>
      <c r="G203" s="317"/>
      <c r="H203" s="317"/>
      <c r="I203" s="317"/>
      <c r="J203" s="317"/>
      <c r="K203" s="317"/>
      <c r="L203" s="317"/>
      <c r="M203" s="317"/>
      <c r="N203" s="317"/>
      <c r="O203" s="317"/>
      <c r="P203" s="317"/>
      <c r="Q203" s="317"/>
      <c r="R203" s="317"/>
      <c r="S203" s="317"/>
      <c r="T203" s="317"/>
      <c r="U203" s="317"/>
      <c r="V203" s="317"/>
      <c r="W203" s="317"/>
      <c r="X203" s="317"/>
      <c r="Y203" s="317"/>
      <c r="Z203" s="317"/>
      <c r="AA203" s="317"/>
      <c r="AB203" s="317"/>
      <c r="AC203" s="317"/>
      <c r="AD203" s="317"/>
    </row>
    <row r="204" ht="20.25" customHeight="1">
      <c r="A204" s="317"/>
      <c r="B204" s="317"/>
      <c r="C204" s="317"/>
      <c r="D204" s="317"/>
      <c r="E204" s="317"/>
      <c r="F204" s="317"/>
      <c r="G204" s="317"/>
      <c r="H204" s="317"/>
      <c r="I204" s="317"/>
      <c r="J204" s="317"/>
      <c r="K204" s="317"/>
      <c r="L204" s="317"/>
      <c r="M204" s="317"/>
      <c r="N204" s="317"/>
      <c r="O204" s="317"/>
      <c r="P204" s="317"/>
      <c r="Q204" s="317"/>
      <c r="R204" s="317"/>
      <c r="S204" s="317"/>
      <c r="T204" s="317"/>
      <c r="U204" s="317"/>
      <c r="V204" s="317"/>
      <c r="W204" s="317"/>
      <c r="X204" s="317"/>
      <c r="Y204" s="317"/>
      <c r="Z204" s="317"/>
      <c r="AA204" s="317"/>
      <c r="AB204" s="317"/>
      <c r="AC204" s="317"/>
      <c r="AD204" s="317"/>
    </row>
    <row r="205" ht="20.25" customHeight="1">
      <c r="A205" s="317"/>
      <c r="B205" s="317"/>
      <c r="C205" s="317"/>
      <c r="D205" s="317"/>
      <c r="E205" s="317"/>
      <c r="F205" s="317"/>
      <c r="G205" s="317"/>
      <c r="H205" s="317"/>
      <c r="I205" s="317"/>
      <c r="J205" s="317"/>
      <c r="K205" s="317"/>
      <c r="L205" s="317"/>
      <c r="M205" s="317"/>
      <c r="N205" s="317"/>
      <c r="O205" s="317"/>
      <c r="P205" s="317"/>
      <c r="Q205" s="317"/>
      <c r="R205" s="317"/>
      <c r="S205" s="317"/>
      <c r="T205" s="317"/>
      <c r="U205" s="317"/>
      <c r="V205" s="317"/>
      <c r="W205" s="317"/>
      <c r="X205" s="317"/>
      <c r="Y205" s="317"/>
      <c r="Z205" s="317"/>
      <c r="AA205" s="317"/>
      <c r="AB205" s="317"/>
      <c r="AC205" s="317"/>
      <c r="AD205" s="317"/>
    </row>
    <row r="206" ht="20.25" customHeight="1">
      <c r="A206" s="317"/>
      <c r="B206" s="317"/>
      <c r="C206" s="317"/>
      <c r="D206" s="317"/>
      <c r="E206" s="317"/>
      <c r="F206" s="317"/>
      <c r="G206" s="317"/>
      <c r="H206" s="317"/>
      <c r="I206" s="317"/>
      <c r="J206" s="317"/>
      <c r="K206" s="317"/>
      <c r="L206" s="317"/>
      <c r="M206" s="317"/>
      <c r="N206" s="317"/>
      <c r="O206" s="317"/>
      <c r="P206" s="317"/>
      <c r="Q206" s="317"/>
      <c r="R206" s="317"/>
      <c r="S206" s="317"/>
      <c r="T206" s="317"/>
      <c r="U206" s="317"/>
      <c r="V206" s="317"/>
      <c r="W206" s="317"/>
      <c r="X206" s="317"/>
      <c r="Y206" s="317"/>
      <c r="Z206" s="317"/>
      <c r="AA206" s="317"/>
      <c r="AB206" s="317"/>
      <c r="AC206" s="317"/>
      <c r="AD206" s="317"/>
    </row>
    <row r="207" ht="20.25" customHeight="1">
      <c r="A207" s="317"/>
      <c r="B207" s="317"/>
      <c r="C207" s="317"/>
      <c r="D207" s="317"/>
      <c r="E207" s="317"/>
      <c r="F207" s="317"/>
      <c r="G207" s="317"/>
      <c r="H207" s="317"/>
      <c r="I207" s="317"/>
      <c r="J207" s="317"/>
      <c r="K207" s="317"/>
      <c r="L207" s="317"/>
      <c r="M207" s="317"/>
      <c r="N207" s="317"/>
      <c r="O207" s="317"/>
      <c r="P207" s="317"/>
      <c r="Q207" s="317"/>
      <c r="R207" s="317"/>
      <c r="S207" s="317"/>
      <c r="T207" s="317"/>
      <c r="U207" s="317"/>
      <c r="V207" s="317"/>
      <c r="W207" s="317"/>
      <c r="X207" s="317"/>
      <c r="Y207" s="317"/>
      <c r="Z207" s="317"/>
      <c r="AA207" s="317"/>
      <c r="AB207" s="317"/>
      <c r="AC207" s="317"/>
      <c r="AD207" s="317"/>
    </row>
    <row r="208" ht="20.25" customHeight="1">
      <c r="A208" s="317"/>
      <c r="B208" s="317"/>
      <c r="C208" s="317"/>
      <c r="D208" s="317"/>
      <c r="E208" s="317"/>
      <c r="F208" s="317"/>
      <c r="G208" s="317"/>
      <c r="H208" s="317"/>
      <c r="I208" s="317"/>
      <c r="J208" s="317"/>
      <c r="K208" s="317"/>
      <c r="L208" s="317"/>
      <c r="M208" s="317"/>
      <c r="N208" s="317"/>
      <c r="O208" s="317"/>
      <c r="P208" s="317"/>
      <c r="Q208" s="317"/>
      <c r="R208" s="317"/>
      <c r="S208" s="317"/>
      <c r="T208" s="317"/>
      <c r="U208" s="317"/>
      <c r="V208" s="317"/>
      <c r="W208" s="317"/>
      <c r="X208" s="317"/>
      <c r="Y208" s="317"/>
      <c r="Z208" s="317"/>
      <c r="AA208" s="317"/>
      <c r="AB208" s="317"/>
      <c r="AC208" s="317"/>
      <c r="AD208" s="317"/>
    </row>
    <row r="209" ht="20.25" customHeight="1">
      <c r="A209" s="317"/>
      <c r="B209" s="317"/>
      <c r="C209" s="317"/>
      <c r="D209" s="317"/>
      <c r="E209" s="317"/>
      <c r="F209" s="317"/>
      <c r="G209" s="317"/>
      <c r="H209" s="317"/>
      <c r="I209" s="317"/>
      <c r="J209" s="317"/>
      <c r="K209" s="317"/>
      <c r="L209" s="317"/>
      <c r="M209" s="317"/>
      <c r="N209" s="317"/>
      <c r="O209" s="317"/>
      <c r="P209" s="317"/>
      <c r="Q209" s="317"/>
      <c r="R209" s="317"/>
      <c r="S209" s="317"/>
      <c r="T209" s="317"/>
      <c r="U209" s="317"/>
      <c r="V209" s="317"/>
      <c r="W209" s="317"/>
      <c r="X209" s="317"/>
      <c r="Y209" s="317"/>
      <c r="Z209" s="317"/>
      <c r="AA209" s="317"/>
      <c r="AB209" s="317"/>
      <c r="AC209" s="317"/>
      <c r="AD209" s="317"/>
    </row>
    <row r="210" ht="20.25" customHeight="1">
      <c r="A210" s="317"/>
      <c r="B210" s="317"/>
      <c r="C210" s="317"/>
      <c r="D210" s="317"/>
      <c r="E210" s="317"/>
      <c r="F210" s="317"/>
      <c r="G210" s="317"/>
      <c r="H210" s="317"/>
      <c r="I210" s="317"/>
      <c r="J210" s="317"/>
      <c r="K210" s="317"/>
      <c r="L210" s="317"/>
      <c r="M210" s="317"/>
      <c r="N210" s="317"/>
      <c r="O210" s="317"/>
      <c r="P210" s="317"/>
      <c r="Q210" s="317"/>
      <c r="R210" s="317"/>
      <c r="S210" s="317"/>
      <c r="T210" s="317"/>
      <c r="U210" s="317"/>
      <c r="V210" s="317"/>
      <c r="W210" s="317"/>
      <c r="X210" s="317"/>
      <c r="Y210" s="317"/>
      <c r="Z210" s="317"/>
      <c r="AA210" s="317"/>
      <c r="AB210" s="317"/>
      <c r="AC210" s="317"/>
      <c r="AD210" s="317"/>
    </row>
    <row r="211" ht="20.25" customHeight="1">
      <c r="A211" s="317"/>
      <c r="B211" s="317"/>
      <c r="C211" s="317"/>
      <c r="D211" s="317"/>
      <c r="E211" s="317"/>
      <c r="F211" s="317"/>
      <c r="G211" s="317"/>
      <c r="H211" s="317"/>
      <c r="I211" s="317"/>
      <c r="J211" s="317"/>
      <c r="K211" s="317"/>
      <c r="L211" s="317"/>
      <c r="M211" s="317"/>
      <c r="N211" s="317"/>
      <c r="O211" s="317"/>
      <c r="P211" s="317"/>
      <c r="Q211" s="317"/>
      <c r="R211" s="317"/>
      <c r="S211" s="317"/>
      <c r="T211" s="317"/>
      <c r="U211" s="317"/>
      <c r="V211" s="317"/>
      <c r="W211" s="317"/>
      <c r="X211" s="317"/>
      <c r="Y211" s="317"/>
      <c r="Z211" s="317"/>
      <c r="AA211" s="317"/>
      <c r="AB211" s="317"/>
      <c r="AC211" s="317"/>
      <c r="AD211" s="317"/>
    </row>
    <row r="212" ht="20.25" customHeight="1">
      <c r="A212" s="317"/>
      <c r="B212" s="317"/>
      <c r="C212" s="317"/>
      <c r="D212" s="317"/>
      <c r="E212" s="317"/>
      <c r="F212" s="317"/>
      <c r="G212" s="317"/>
      <c r="H212" s="317"/>
      <c r="I212" s="317"/>
      <c r="J212" s="317"/>
      <c r="K212" s="317"/>
      <c r="L212" s="317"/>
      <c r="M212" s="317"/>
      <c r="N212" s="317"/>
      <c r="O212" s="317"/>
      <c r="P212" s="317"/>
      <c r="Q212" s="317"/>
      <c r="R212" s="317"/>
      <c r="S212" s="317"/>
      <c r="T212" s="317"/>
      <c r="U212" s="317"/>
      <c r="V212" s="317"/>
      <c r="W212" s="317"/>
      <c r="X212" s="317"/>
      <c r="Y212" s="317"/>
      <c r="Z212" s="317"/>
      <c r="AA212" s="317"/>
      <c r="AB212" s="317"/>
      <c r="AC212" s="317"/>
      <c r="AD212" s="317"/>
    </row>
    <row r="213" ht="20.25" customHeight="1">
      <c r="A213" s="317"/>
      <c r="B213" s="317"/>
      <c r="C213" s="317"/>
      <c r="D213" s="317"/>
      <c r="E213" s="317"/>
      <c r="F213" s="317"/>
      <c r="G213" s="317"/>
      <c r="H213" s="317"/>
      <c r="I213" s="317"/>
      <c r="J213" s="317"/>
      <c r="K213" s="317"/>
      <c r="L213" s="317"/>
      <c r="M213" s="317"/>
      <c r="N213" s="317"/>
      <c r="O213" s="317"/>
      <c r="P213" s="317"/>
      <c r="Q213" s="317"/>
      <c r="R213" s="317"/>
      <c r="S213" s="317"/>
      <c r="T213" s="317"/>
      <c r="U213" s="317"/>
      <c r="V213" s="317"/>
      <c r="W213" s="317"/>
      <c r="X213" s="317"/>
      <c r="Y213" s="317"/>
      <c r="Z213" s="317"/>
      <c r="AA213" s="317"/>
      <c r="AB213" s="317"/>
      <c r="AC213" s="317"/>
      <c r="AD213" s="317"/>
    </row>
    <row r="214" ht="20.25" customHeight="1">
      <c r="A214" s="317"/>
      <c r="B214" s="317"/>
      <c r="C214" s="317"/>
      <c r="D214" s="317"/>
      <c r="E214" s="317"/>
      <c r="F214" s="317"/>
      <c r="G214" s="317"/>
      <c r="H214" s="317"/>
      <c r="I214" s="317"/>
      <c r="J214" s="317"/>
      <c r="K214" s="317"/>
      <c r="L214" s="317"/>
      <c r="M214" s="317"/>
      <c r="N214" s="317"/>
      <c r="O214" s="317"/>
      <c r="P214" s="317"/>
      <c r="Q214" s="317"/>
      <c r="R214" s="317"/>
      <c r="S214" s="317"/>
      <c r="T214" s="317"/>
      <c r="U214" s="317"/>
      <c r="V214" s="317"/>
      <c r="W214" s="317"/>
      <c r="X214" s="317"/>
      <c r="Y214" s="317"/>
      <c r="Z214" s="317"/>
      <c r="AA214" s="317"/>
      <c r="AB214" s="317"/>
      <c r="AC214" s="317"/>
      <c r="AD214" s="317"/>
    </row>
    <row r="215" ht="20.25" customHeight="1">
      <c r="A215" s="317"/>
      <c r="B215" s="317"/>
      <c r="C215" s="317"/>
      <c r="D215" s="317"/>
      <c r="E215" s="317"/>
      <c r="F215" s="317"/>
      <c r="G215" s="317"/>
      <c r="H215" s="317"/>
      <c r="I215" s="317"/>
      <c r="J215" s="317"/>
      <c r="K215" s="317"/>
      <c r="L215" s="317"/>
      <c r="M215" s="317"/>
      <c r="N215" s="317"/>
      <c r="O215" s="317"/>
      <c r="P215" s="317"/>
      <c r="Q215" s="317"/>
      <c r="R215" s="317"/>
      <c r="S215" s="317"/>
      <c r="T215" s="317"/>
      <c r="U215" s="317"/>
      <c r="V215" s="317"/>
      <c r="W215" s="317"/>
      <c r="X215" s="317"/>
      <c r="Y215" s="317"/>
      <c r="Z215" s="317"/>
      <c r="AA215" s="317"/>
      <c r="AB215" s="317"/>
      <c r="AC215" s="317"/>
      <c r="AD215" s="317"/>
    </row>
    <row r="216" ht="20.25" customHeight="1">
      <c r="A216" s="317"/>
      <c r="B216" s="317"/>
      <c r="C216" s="317"/>
      <c r="D216" s="317"/>
      <c r="E216" s="317"/>
      <c r="F216" s="317"/>
      <c r="G216" s="317"/>
      <c r="H216" s="317"/>
      <c r="I216" s="317"/>
      <c r="J216" s="317"/>
      <c r="K216" s="317"/>
      <c r="L216" s="317"/>
      <c r="M216" s="317"/>
      <c r="N216" s="317"/>
      <c r="O216" s="317"/>
      <c r="P216" s="317"/>
      <c r="Q216" s="317"/>
      <c r="R216" s="317"/>
      <c r="S216" s="317"/>
      <c r="T216" s="317"/>
      <c r="U216" s="317"/>
      <c r="V216" s="317"/>
      <c r="W216" s="317"/>
      <c r="X216" s="317"/>
      <c r="Y216" s="317"/>
      <c r="Z216" s="317"/>
      <c r="AA216" s="317"/>
      <c r="AB216" s="317"/>
      <c r="AC216" s="317"/>
      <c r="AD216" s="317"/>
    </row>
    <row r="217" ht="20.25" customHeight="1">
      <c r="A217" s="317"/>
      <c r="B217" s="317"/>
      <c r="C217" s="317"/>
      <c r="D217" s="317"/>
      <c r="E217" s="317"/>
      <c r="F217" s="317"/>
      <c r="G217" s="317"/>
      <c r="H217" s="317"/>
      <c r="I217" s="317"/>
      <c r="J217" s="317"/>
      <c r="K217" s="317"/>
      <c r="L217" s="317"/>
      <c r="M217" s="317"/>
      <c r="N217" s="317"/>
      <c r="O217" s="317"/>
      <c r="P217" s="317"/>
      <c r="Q217" s="317"/>
      <c r="R217" s="317"/>
      <c r="S217" s="317"/>
      <c r="T217" s="317"/>
      <c r="U217" s="317"/>
      <c r="V217" s="317"/>
      <c r="W217" s="317"/>
      <c r="X217" s="317"/>
      <c r="Y217" s="317"/>
      <c r="Z217" s="317"/>
      <c r="AA217" s="317"/>
      <c r="AB217" s="317"/>
      <c r="AC217" s="317"/>
      <c r="AD217" s="317"/>
    </row>
    <row r="218" ht="20.25" customHeight="1">
      <c r="A218" s="317"/>
      <c r="B218" s="317"/>
      <c r="C218" s="317"/>
      <c r="D218" s="317"/>
      <c r="E218" s="317"/>
      <c r="F218" s="317"/>
      <c r="G218" s="317"/>
      <c r="H218" s="317"/>
      <c r="I218" s="317"/>
      <c r="J218" s="317"/>
      <c r="K218" s="317"/>
      <c r="L218" s="317"/>
      <c r="M218" s="317"/>
      <c r="N218" s="317"/>
      <c r="O218" s="317"/>
      <c r="P218" s="317"/>
      <c r="Q218" s="317"/>
      <c r="R218" s="317"/>
      <c r="S218" s="317"/>
      <c r="T218" s="317"/>
      <c r="U218" s="317"/>
      <c r="V218" s="317"/>
      <c r="W218" s="317"/>
      <c r="X218" s="317"/>
      <c r="Y218" s="317"/>
      <c r="Z218" s="317"/>
      <c r="AA218" s="317"/>
      <c r="AB218" s="317"/>
      <c r="AC218" s="317"/>
      <c r="AD218" s="317"/>
    </row>
    <row r="219" ht="20.25" customHeight="1">
      <c r="A219" s="317"/>
      <c r="B219" s="317"/>
      <c r="C219" s="317"/>
      <c r="D219" s="317"/>
      <c r="E219" s="317"/>
      <c r="F219" s="317"/>
      <c r="G219" s="317"/>
      <c r="H219" s="317"/>
      <c r="I219" s="317"/>
      <c r="J219" s="317"/>
      <c r="K219" s="317"/>
      <c r="L219" s="317"/>
      <c r="M219" s="317"/>
      <c r="N219" s="317"/>
      <c r="O219" s="317"/>
      <c r="P219" s="317"/>
      <c r="Q219" s="317"/>
      <c r="R219" s="317"/>
      <c r="S219" s="317"/>
      <c r="T219" s="317"/>
      <c r="U219" s="317"/>
      <c r="V219" s="317"/>
      <c r="W219" s="317"/>
      <c r="X219" s="317"/>
      <c r="Y219" s="317"/>
      <c r="Z219" s="317"/>
      <c r="AA219" s="317"/>
      <c r="AB219" s="317"/>
      <c r="AC219" s="317"/>
      <c r="AD219" s="317"/>
    </row>
    <row r="220" ht="20.25" customHeight="1">
      <c r="A220" s="317"/>
      <c r="B220" s="317"/>
      <c r="C220" s="317"/>
      <c r="D220" s="317"/>
      <c r="E220" s="317"/>
      <c r="F220" s="317"/>
      <c r="G220" s="317"/>
      <c r="H220" s="317"/>
      <c r="I220" s="317"/>
      <c r="J220" s="317"/>
      <c r="K220" s="317"/>
      <c r="L220" s="317"/>
      <c r="M220" s="317"/>
      <c r="N220" s="317"/>
      <c r="O220" s="317"/>
      <c r="P220" s="317"/>
      <c r="Q220" s="317"/>
      <c r="R220" s="317"/>
      <c r="S220" s="317"/>
      <c r="T220" s="317"/>
      <c r="U220" s="317"/>
      <c r="V220" s="317"/>
      <c r="W220" s="317"/>
      <c r="X220" s="317"/>
      <c r="Y220" s="317"/>
      <c r="Z220" s="317"/>
      <c r="AA220" s="317"/>
      <c r="AB220" s="317"/>
      <c r="AC220" s="317"/>
      <c r="AD220" s="317"/>
    </row>
    <row r="221" ht="20.25" customHeight="1">
      <c r="A221" s="317"/>
      <c r="B221" s="317"/>
      <c r="C221" s="317"/>
      <c r="D221" s="317"/>
      <c r="E221" s="317"/>
      <c r="F221" s="317"/>
      <c r="G221" s="317"/>
      <c r="H221" s="317"/>
      <c r="I221" s="317"/>
      <c r="J221" s="317"/>
      <c r="K221" s="317"/>
      <c r="L221" s="317"/>
      <c r="M221" s="317"/>
      <c r="N221" s="317"/>
      <c r="O221" s="317"/>
      <c r="P221" s="317"/>
      <c r="Q221" s="317"/>
      <c r="R221" s="317"/>
      <c r="S221" s="317"/>
      <c r="T221" s="317"/>
      <c r="U221" s="317"/>
      <c r="V221" s="317"/>
      <c r="W221" s="317"/>
      <c r="X221" s="317"/>
      <c r="Y221" s="317"/>
      <c r="Z221" s="317"/>
      <c r="AA221" s="317"/>
      <c r="AB221" s="317"/>
      <c r="AC221" s="317"/>
      <c r="AD221" s="317"/>
    </row>
    <row r="222" ht="20.25" customHeight="1">
      <c r="A222" s="317"/>
      <c r="B222" s="317"/>
      <c r="C222" s="317"/>
      <c r="D222" s="317"/>
      <c r="E222" s="317"/>
      <c r="F222" s="317"/>
      <c r="G222" s="317"/>
      <c r="H222" s="317"/>
      <c r="I222" s="317"/>
      <c r="J222" s="317"/>
      <c r="K222" s="317"/>
      <c r="L222" s="317"/>
      <c r="M222" s="317"/>
      <c r="N222" s="317"/>
      <c r="O222" s="317"/>
      <c r="P222" s="317"/>
      <c r="Q222" s="317"/>
      <c r="R222" s="317"/>
      <c r="S222" s="317"/>
      <c r="T222" s="317"/>
      <c r="U222" s="317"/>
      <c r="V222" s="317"/>
      <c r="W222" s="317"/>
      <c r="X222" s="317"/>
      <c r="Y222" s="317"/>
      <c r="Z222" s="317"/>
      <c r="AA222" s="317"/>
      <c r="AB222" s="317"/>
      <c r="AC222" s="317"/>
      <c r="AD222" s="317"/>
    </row>
    <row r="223" ht="20.25" customHeight="1">
      <c r="A223" s="317"/>
      <c r="B223" s="317"/>
      <c r="C223" s="317"/>
      <c r="D223" s="317"/>
      <c r="E223" s="317"/>
      <c r="F223" s="317"/>
      <c r="G223" s="317"/>
      <c r="H223" s="317"/>
      <c r="I223" s="317"/>
      <c r="J223" s="317"/>
      <c r="K223" s="317"/>
      <c r="L223" s="317"/>
      <c r="M223" s="317"/>
      <c r="N223" s="317"/>
      <c r="O223" s="317"/>
      <c r="P223" s="317"/>
      <c r="Q223" s="317"/>
      <c r="R223" s="317"/>
      <c r="S223" s="317"/>
      <c r="T223" s="317"/>
      <c r="U223" s="317"/>
      <c r="V223" s="317"/>
      <c r="W223" s="317"/>
      <c r="X223" s="317"/>
      <c r="Y223" s="317"/>
      <c r="Z223" s="317"/>
      <c r="AA223" s="317"/>
      <c r="AB223" s="317"/>
      <c r="AC223" s="317"/>
      <c r="AD223" s="317"/>
    </row>
    <row r="224" ht="20.25" customHeight="1">
      <c r="A224" s="317"/>
      <c r="B224" s="317"/>
      <c r="C224" s="317"/>
      <c r="D224" s="317"/>
      <c r="E224" s="317"/>
      <c r="F224" s="317"/>
      <c r="G224" s="317"/>
      <c r="H224" s="317"/>
      <c r="I224" s="317"/>
      <c r="J224" s="317"/>
      <c r="K224" s="317"/>
      <c r="L224" s="317"/>
      <c r="M224" s="317"/>
      <c r="N224" s="317"/>
      <c r="O224" s="317"/>
      <c r="P224" s="317"/>
      <c r="Q224" s="317"/>
      <c r="R224" s="317"/>
      <c r="S224" s="317"/>
      <c r="T224" s="317"/>
      <c r="U224" s="317"/>
      <c r="V224" s="317"/>
      <c r="W224" s="317"/>
      <c r="X224" s="317"/>
      <c r="Y224" s="317"/>
      <c r="Z224" s="317"/>
      <c r="AA224" s="317"/>
      <c r="AB224" s="317"/>
      <c r="AC224" s="317"/>
      <c r="AD224" s="317"/>
    </row>
    <row r="225" ht="20.25" customHeight="1">
      <c r="A225" s="317"/>
      <c r="B225" s="317"/>
      <c r="C225" s="317"/>
      <c r="D225" s="317"/>
      <c r="E225" s="317"/>
      <c r="F225" s="317"/>
      <c r="G225" s="317"/>
      <c r="H225" s="317"/>
      <c r="I225" s="317"/>
      <c r="J225" s="317"/>
      <c r="K225" s="317"/>
      <c r="L225" s="317"/>
      <c r="M225" s="317"/>
      <c r="N225" s="317"/>
      <c r="O225" s="317"/>
      <c r="P225" s="317"/>
      <c r="Q225" s="317"/>
      <c r="R225" s="317"/>
      <c r="S225" s="317"/>
      <c r="T225" s="317"/>
      <c r="U225" s="317"/>
      <c r="V225" s="317"/>
      <c r="W225" s="317"/>
      <c r="X225" s="317"/>
      <c r="Y225" s="317"/>
      <c r="Z225" s="317"/>
      <c r="AA225" s="317"/>
      <c r="AB225" s="317"/>
      <c r="AC225" s="317"/>
      <c r="AD225" s="317"/>
    </row>
    <row r="226" ht="20.25" customHeight="1">
      <c r="A226" s="317"/>
      <c r="B226" s="317"/>
      <c r="C226" s="317"/>
      <c r="D226" s="317"/>
      <c r="E226" s="317"/>
      <c r="F226" s="317"/>
      <c r="G226" s="317"/>
      <c r="H226" s="317"/>
      <c r="I226" s="317"/>
      <c r="J226" s="317"/>
      <c r="K226" s="317"/>
      <c r="L226" s="317"/>
      <c r="M226" s="317"/>
      <c r="N226" s="317"/>
      <c r="O226" s="317"/>
      <c r="P226" s="317"/>
      <c r="Q226" s="317"/>
      <c r="R226" s="317"/>
      <c r="S226" s="317"/>
      <c r="T226" s="317"/>
      <c r="U226" s="317"/>
      <c r="V226" s="317"/>
      <c r="W226" s="317"/>
      <c r="X226" s="317"/>
      <c r="Y226" s="317"/>
      <c r="Z226" s="317"/>
      <c r="AA226" s="317"/>
      <c r="AB226" s="317"/>
      <c r="AC226" s="317"/>
      <c r="AD226" s="317"/>
    </row>
    <row r="227" ht="20.25" customHeight="1">
      <c r="A227" s="317"/>
      <c r="B227" s="317"/>
      <c r="C227" s="317"/>
      <c r="D227" s="317"/>
      <c r="E227" s="317"/>
      <c r="F227" s="317"/>
      <c r="G227" s="317"/>
      <c r="H227" s="317"/>
      <c r="I227" s="317"/>
      <c r="J227" s="317"/>
      <c r="K227" s="317"/>
      <c r="L227" s="317"/>
      <c r="M227" s="317"/>
      <c r="N227" s="317"/>
      <c r="O227" s="317"/>
      <c r="P227" s="317"/>
      <c r="Q227" s="317"/>
      <c r="R227" s="317"/>
      <c r="S227" s="317"/>
      <c r="T227" s="317"/>
      <c r="U227" s="317"/>
      <c r="V227" s="317"/>
      <c r="W227" s="317"/>
      <c r="X227" s="317"/>
      <c r="Y227" s="317"/>
      <c r="Z227" s="317"/>
      <c r="AA227" s="317"/>
      <c r="AB227" s="317"/>
      <c r="AC227" s="317"/>
      <c r="AD227" s="317"/>
    </row>
    <row r="228" ht="20.25" customHeight="1">
      <c r="A228" s="317"/>
      <c r="B228" s="317"/>
      <c r="C228" s="317"/>
      <c r="D228" s="317"/>
      <c r="E228" s="317"/>
      <c r="F228" s="317"/>
      <c r="G228" s="317"/>
      <c r="H228" s="317"/>
      <c r="I228" s="317"/>
      <c r="J228" s="317"/>
      <c r="K228" s="317"/>
      <c r="L228" s="317"/>
      <c r="M228" s="317"/>
      <c r="N228" s="317"/>
      <c r="O228" s="317"/>
      <c r="P228" s="317"/>
      <c r="Q228" s="317"/>
      <c r="R228" s="317"/>
      <c r="S228" s="317"/>
      <c r="T228" s="317"/>
      <c r="U228" s="317"/>
      <c r="V228" s="317"/>
      <c r="W228" s="317"/>
      <c r="X228" s="317"/>
      <c r="Y228" s="317"/>
      <c r="Z228" s="317"/>
      <c r="AA228" s="317"/>
      <c r="AB228" s="317"/>
      <c r="AC228" s="317"/>
      <c r="AD228" s="317"/>
    </row>
    <row r="229" ht="20.25" customHeight="1">
      <c r="A229" s="317"/>
      <c r="B229" s="317"/>
      <c r="C229" s="317"/>
      <c r="D229" s="317"/>
      <c r="E229" s="317"/>
      <c r="F229" s="317"/>
      <c r="G229" s="317"/>
      <c r="H229" s="317"/>
      <c r="I229" s="317"/>
      <c r="J229" s="317"/>
      <c r="K229" s="317"/>
      <c r="L229" s="317"/>
      <c r="M229" s="317"/>
      <c r="N229" s="317"/>
      <c r="O229" s="317"/>
      <c r="P229" s="317"/>
      <c r="Q229" s="317"/>
      <c r="R229" s="317"/>
      <c r="S229" s="317"/>
      <c r="T229" s="317"/>
      <c r="U229" s="317"/>
      <c r="V229" s="317"/>
      <c r="W229" s="317"/>
      <c r="X229" s="317"/>
      <c r="Y229" s="317"/>
      <c r="Z229" s="317"/>
      <c r="AA229" s="317"/>
      <c r="AB229" s="317"/>
      <c r="AC229" s="317"/>
      <c r="AD229" s="317"/>
    </row>
    <row r="230" ht="20.25" customHeight="1">
      <c r="A230" s="317"/>
      <c r="B230" s="317"/>
      <c r="C230" s="317"/>
      <c r="D230" s="317"/>
      <c r="E230" s="317"/>
      <c r="F230" s="317"/>
      <c r="G230" s="317"/>
      <c r="H230" s="317"/>
      <c r="I230" s="317"/>
      <c r="J230" s="317"/>
      <c r="K230" s="317"/>
      <c r="L230" s="317"/>
      <c r="M230" s="317"/>
      <c r="N230" s="317"/>
      <c r="O230" s="317"/>
      <c r="P230" s="317"/>
      <c r="Q230" s="317"/>
      <c r="R230" s="317"/>
      <c r="S230" s="317"/>
      <c r="T230" s="317"/>
      <c r="U230" s="317"/>
      <c r="V230" s="317"/>
      <c r="W230" s="317"/>
      <c r="X230" s="317"/>
      <c r="Y230" s="317"/>
      <c r="Z230" s="317"/>
      <c r="AA230" s="317"/>
      <c r="AB230" s="317"/>
      <c r="AC230" s="317"/>
      <c r="AD230" s="317"/>
    </row>
    <row r="231" ht="20.25" customHeight="1">
      <c r="A231" s="317"/>
      <c r="B231" s="317"/>
      <c r="C231" s="317"/>
      <c r="D231" s="317"/>
      <c r="E231" s="317"/>
      <c r="F231" s="317"/>
      <c r="G231" s="317"/>
      <c r="H231" s="317"/>
      <c r="I231" s="317"/>
      <c r="J231" s="317"/>
      <c r="K231" s="317"/>
      <c r="L231" s="317"/>
      <c r="M231" s="317"/>
      <c r="N231" s="317"/>
      <c r="O231" s="317"/>
      <c r="P231" s="317"/>
      <c r="Q231" s="317"/>
      <c r="R231" s="317"/>
      <c r="S231" s="317"/>
      <c r="T231" s="317"/>
      <c r="U231" s="317"/>
      <c r="V231" s="317"/>
      <c r="W231" s="317"/>
      <c r="X231" s="317"/>
      <c r="Y231" s="317"/>
      <c r="Z231" s="317"/>
      <c r="AA231" s="317"/>
      <c r="AB231" s="317"/>
      <c r="AC231" s="317"/>
      <c r="AD231" s="317"/>
    </row>
    <row r="232" ht="20.25" customHeight="1">
      <c r="A232" s="317"/>
      <c r="B232" s="317"/>
      <c r="C232" s="317"/>
      <c r="D232" s="317"/>
      <c r="E232" s="317"/>
      <c r="F232" s="317"/>
      <c r="G232" s="317"/>
      <c r="H232" s="317"/>
      <c r="I232" s="317"/>
      <c r="J232" s="317"/>
      <c r="K232" s="317"/>
      <c r="L232" s="317"/>
      <c r="M232" s="317"/>
      <c r="N232" s="317"/>
      <c r="O232" s="317"/>
      <c r="P232" s="317"/>
      <c r="Q232" s="317"/>
      <c r="R232" s="317"/>
      <c r="S232" s="317"/>
      <c r="T232" s="317"/>
      <c r="U232" s="317"/>
      <c r="V232" s="317"/>
      <c r="W232" s="317"/>
      <c r="X232" s="317"/>
      <c r="Y232" s="317"/>
      <c r="Z232" s="317"/>
      <c r="AA232" s="317"/>
      <c r="AB232" s="317"/>
      <c r="AC232" s="317"/>
      <c r="AD232" s="317"/>
    </row>
    <row r="233" ht="20.25" customHeight="1">
      <c r="A233" s="317"/>
      <c r="B233" s="317"/>
      <c r="C233" s="317"/>
      <c r="D233" s="317"/>
      <c r="E233" s="317"/>
      <c r="F233" s="317"/>
      <c r="G233" s="317"/>
      <c r="H233" s="317"/>
      <c r="I233" s="317"/>
      <c r="J233" s="317"/>
      <c r="K233" s="317"/>
      <c r="L233" s="317"/>
      <c r="M233" s="317"/>
      <c r="N233" s="317"/>
      <c r="O233" s="317"/>
      <c r="P233" s="317"/>
      <c r="Q233" s="317"/>
      <c r="R233" s="317"/>
      <c r="S233" s="317"/>
      <c r="T233" s="317"/>
      <c r="U233" s="317"/>
      <c r="V233" s="317"/>
      <c r="W233" s="317"/>
      <c r="X233" s="317"/>
      <c r="Y233" s="317"/>
      <c r="Z233" s="317"/>
      <c r="AA233" s="317"/>
      <c r="AB233" s="317"/>
      <c r="AC233" s="317"/>
      <c r="AD233" s="317"/>
    </row>
    <row r="234" ht="20.25" customHeight="1">
      <c r="A234" s="317"/>
      <c r="B234" s="317"/>
      <c r="C234" s="317"/>
      <c r="D234" s="317"/>
      <c r="E234" s="317"/>
      <c r="F234" s="317"/>
      <c r="G234" s="317"/>
      <c r="H234" s="317"/>
      <c r="I234" s="317"/>
      <c r="J234" s="317"/>
      <c r="K234" s="317"/>
      <c r="L234" s="317"/>
      <c r="M234" s="317"/>
      <c r="N234" s="317"/>
      <c r="O234" s="317"/>
      <c r="P234" s="317"/>
      <c r="Q234" s="317"/>
      <c r="R234" s="317"/>
      <c r="S234" s="317"/>
      <c r="T234" s="317"/>
      <c r="U234" s="317"/>
      <c r="V234" s="317"/>
      <c r="W234" s="317"/>
      <c r="X234" s="317"/>
      <c r="Y234" s="317"/>
      <c r="Z234" s="317"/>
      <c r="AA234" s="317"/>
      <c r="AB234" s="317"/>
      <c r="AC234" s="317"/>
      <c r="AD234" s="317"/>
    </row>
    <row r="235" ht="20.25" customHeight="1">
      <c r="A235" s="317"/>
      <c r="B235" s="317"/>
      <c r="C235" s="317"/>
      <c r="D235" s="317"/>
      <c r="E235" s="317"/>
      <c r="F235" s="317"/>
      <c r="G235" s="317"/>
      <c r="H235" s="317"/>
      <c r="I235" s="317"/>
      <c r="J235" s="317"/>
      <c r="K235" s="317"/>
      <c r="L235" s="317"/>
      <c r="M235" s="317"/>
      <c r="N235" s="317"/>
      <c r="O235" s="317"/>
      <c r="P235" s="317"/>
      <c r="Q235" s="317"/>
      <c r="R235" s="317"/>
      <c r="S235" s="317"/>
      <c r="T235" s="317"/>
      <c r="U235" s="317"/>
      <c r="V235" s="317"/>
      <c r="W235" s="317"/>
      <c r="X235" s="317"/>
      <c r="Y235" s="317"/>
      <c r="Z235" s="317"/>
      <c r="AA235" s="317"/>
      <c r="AB235" s="317"/>
      <c r="AC235" s="317"/>
      <c r="AD235" s="317"/>
    </row>
    <row r="236" ht="20.25" customHeight="1">
      <c r="A236" s="317"/>
      <c r="B236" s="317"/>
      <c r="C236" s="317"/>
      <c r="D236" s="317"/>
      <c r="E236" s="317"/>
      <c r="F236" s="317"/>
      <c r="G236" s="317"/>
      <c r="H236" s="317"/>
      <c r="I236" s="317"/>
      <c r="J236" s="317"/>
      <c r="K236" s="317"/>
      <c r="L236" s="317"/>
      <c r="M236" s="317"/>
      <c r="N236" s="317"/>
      <c r="O236" s="317"/>
      <c r="P236" s="317"/>
      <c r="Q236" s="317"/>
      <c r="R236" s="317"/>
      <c r="S236" s="317"/>
      <c r="T236" s="317"/>
      <c r="U236" s="317"/>
      <c r="V236" s="317"/>
      <c r="W236" s="317"/>
      <c r="X236" s="317"/>
      <c r="Y236" s="317"/>
      <c r="Z236" s="317"/>
      <c r="AA236" s="317"/>
      <c r="AB236" s="317"/>
      <c r="AC236" s="317"/>
      <c r="AD236" s="317"/>
    </row>
    <row r="237" ht="20.25" customHeight="1">
      <c r="A237" s="317"/>
      <c r="B237" s="317"/>
      <c r="C237" s="317"/>
      <c r="D237" s="317"/>
      <c r="E237" s="317"/>
      <c r="F237" s="317"/>
      <c r="G237" s="317"/>
      <c r="H237" s="317"/>
      <c r="I237" s="317"/>
      <c r="J237" s="317"/>
      <c r="K237" s="317"/>
      <c r="L237" s="317"/>
      <c r="M237" s="317"/>
      <c r="N237" s="317"/>
      <c r="O237" s="317"/>
      <c r="P237" s="317"/>
      <c r="Q237" s="317"/>
      <c r="R237" s="317"/>
      <c r="S237" s="317"/>
      <c r="T237" s="317"/>
      <c r="U237" s="317"/>
      <c r="V237" s="317"/>
      <c r="W237" s="317"/>
      <c r="X237" s="317"/>
      <c r="Y237" s="317"/>
      <c r="Z237" s="317"/>
      <c r="AA237" s="317"/>
      <c r="AB237" s="317"/>
      <c r="AC237" s="317"/>
      <c r="AD237" s="317"/>
    </row>
    <row r="238" ht="20.25" customHeight="1">
      <c r="A238" s="317"/>
      <c r="B238" s="317"/>
      <c r="C238" s="317"/>
      <c r="D238" s="317"/>
      <c r="E238" s="317"/>
      <c r="F238" s="317"/>
      <c r="G238" s="317"/>
      <c r="H238" s="317"/>
      <c r="I238" s="317"/>
      <c r="J238" s="317"/>
      <c r="K238" s="317"/>
      <c r="L238" s="317"/>
      <c r="M238" s="317"/>
      <c r="N238" s="317"/>
      <c r="O238" s="317"/>
      <c r="P238" s="317"/>
      <c r="Q238" s="317"/>
      <c r="R238" s="317"/>
      <c r="S238" s="317"/>
      <c r="T238" s="317"/>
      <c r="U238" s="317"/>
      <c r="V238" s="317"/>
      <c r="W238" s="317"/>
      <c r="X238" s="317"/>
      <c r="Y238" s="317"/>
      <c r="Z238" s="317"/>
      <c r="AA238" s="317"/>
      <c r="AB238" s="317"/>
      <c r="AC238" s="317"/>
      <c r="AD238" s="317"/>
    </row>
    <row r="239" ht="20.25" customHeight="1">
      <c r="A239" s="317"/>
      <c r="B239" s="317"/>
      <c r="C239" s="317"/>
      <c r="D239" s="317"/>
      <c r="E239" s="317"/>
      <c r="F239" s="317"/>
      <c r="G239" s="317"/>
      <c r="H239" s="317"/>
      <c r="I239" s="317"/>
      <c r="J239" s="317"/>
      <c r="K239" s="317"/>
      <c r="L239" s="317"/>
      <c r="M239" s="317"/>
      <c r="N239" s="317"/>
      <c r="O239" s="317"/>
      <c r="P239" s="317"/>
      <c r="Q239" s="317"/>
      <c r="R239" s="317"/>
      <c r="S239" s="317"/>
      <c r="T239" s="317"/>
      <c r="U239" s="317"/>
      <c r="V239" s="317"/>
      <c r="W239" s="317"/>
      <c r="X239" s="317"/>
      <c r="Y239" s="317"/>
      <c r="Z239" s="317"/>
      <c r="AA239" s="317"/>
      <c r="AB239" s="317"/>
      <c r="AC239" s="317"/>
      <c r="AD239" s="317"/>
    </row>
    <row r="240" ht="20.25" customHeight="1">
      <c r="A240" s="317"/>
      <c r="B240" s="317"/>
      <c r="C240" s="317"/>
      <c r="D240" s="317"/>
      <c r="E240" s="317"/>
      <c r="F240" s="317"/>
      <c r="G240" s="317"/>
      <c r="H240" s="317"/>
      <c r="I240" s="317"/>
      <c r="J240" s="317"/>
      <c r="K240" s="317"/>
      <c r="L240" s="317"/>
      <c r="M240" s="317"/>
      <c r="N240" s="317"/>
      <c r="O240" s="317"/>
      <c r="P240" s="317"/>
      <c r="Q240" s="317"/>
      <c r="R240" s="317"/>
      <c r="S240" s="317"/>
      <c r="T240" s="317"/>
      <c r="U240" s="317"/>
      <c r="V240" s="317"/>
      <c r="W240" s="317"/>
      <c r="X240" s="317"/>
      <c r="Y240" s="317"/>
      <c r="Z240" s="317"/>
      <c r="AA240" s="317"/>
      <c r="AB240" s="317"/>
      <c r="AC240" s="317"/>
      <c r="AD240" s="317"/>
    </row>
    <row r="241" ht="20.25" customHeight="1">
      <c r="A241" s="317"/>
      <c r="B241" s="317"/>
      <c r="C241" s="317"/>
      <c r="D241" s="317"/>
      <c r="E241" s="317"/>
      <c r="F241" s="317"/>
      <c r="G241" s="317"/>
      <c r="H241" s="317"/>
      <c r="I241" s="317"/>
      <c r="J241" s="317"/>
      <c r="K241" s="317"/>
      <c r="L241" s="317"/>
      <c r="M241" s="317"/>
      <c r="N241" s="317"/>
      <c r="O241" s="317"/>
      <c r="P241" s="317"/>
      <c r="Q241" s="317"/>
      <c r="R241" s="317"/>
      <c r="S241" s="317"/>
      <c r="T241" s="317"/>
      <c r="U241" s="317"/>
      <c r="V241" s="317"/>
      <c r="W241" s="317"/>
      <c r="X241" s="317"/>
      <c r="Y241" s="317"/>
      <c r="Z241" s="317"/>
      <c r="AA241" s="317"/>
      <c r="AB241" s="317"/>
      <c r="AC241" s="317"/>
      <c r="AD241" s="317"/>
    </row>
    <row r="242" ht="20.25" customHeight="1">
      <c r="A242" s="317"/>
      <c r="B242" s="317"/>
      <c r="C242" s="317"/>
      <c r="D242" s="317"/>
      <c r="E242" s="317"/>
      <c r="F242" s="317"/>
      <c r="G242" s="317"/>
      <c r="H242" s="317"/>
      <c r="I242" s="317"/>
      <c r="J242" s="317"/>
      <c r="K242" s="317"/>
      <c r="L242" s="317"/>
      <c r="M242" s="317"/>
      <c r="N242" s="317"/>
      <c r="O242" s="317"/>
      <c r="P242" s="317"/>
      <c r="Q242" s="317"/>
      <c r="R242" s="317"/>
      <c r="S242" s="317"/>
      <c r="T242" s="317"/>
      <c r="U242" s="317"/>
      <c r="V242" s="317"/>
      <c r="W242" s="317"/>
      <c r="X242" s="317"/>
      <c r="Y242" s="317"/>
      <c r="Z242" s="317"/>
      <c r="AA242" s="317"/>
      <c r="AB242" s="317"/>
      <c r="AC242" s="317"/>
      <c r="AD242" s="317"/>
    </row>
    <row r="243" ht="20.25" customHeight="1">
      <c r="A243" s="317"/>
      <c r="B243" s="317"/>
      <c r="C243" s="317"/>
      <c r="D243" s="317"/>
      <c r="E243" s="317"/>
      <c r="F243" s="317"/>
      <c r="G243" s="317"/>
      <c r="H243" s="317"/>
      <c r="I243" s="317"/>
      <c r="J243" s="317"/>
      <c r="K243" s="317"/>
      <c r="L243" s="317"/>
      <c r="M243" s="317"/>
      <c r="N243" s="317"/>
      <c r="O243" s="317"/>
      <c r="P243" s="317"/>
      <c r="Q243" s="317"/>
      <c r="R243" s="317"/>
      <c r="S243" s="317"/>
      <c r="T243" s="317"/>
      <c r="U243" s="317"/>
      <c r="V243" s="317"/>
      <c r="W243" s="317"/>
      <c r="X243" s="317"/>
      <c r="Y243" s="317"/>
      <c r="Z243" s="317"/>
      <c r="AA243" s="317"/>
      <c r="AB243" s="317"/>
      <c r="AC243" s="317"/>
      <c r="AD243" s="317"/>
    </row>
    <row r="244" ht="20.25" customHeight="1">
      <c r="A244" s="317"/>
      <c r="B244" s="317"/>
      <c r="C244" s="317"/>
      <c r="D244" s="317"/>
      <c r="E244" s="317"/>
      <c r="F244" s="317"/>
      <c r="G244" s="317"/>
      <c r="H244" s="317"/>
      <c r="I244" s="317"/>
      <c r="J244" s="317"/>
      <c r="K244" s="317"/>
      <c r="L244" s="317"/>
      <c r="M244" s="317"/>
      <c r="N244" s="317"/>
      <c r="O244" s="317"/>
      <c r="P244" s="317"/>
      <c r="Q244" s="317"/>
      <c r="R244" s="317"/>
      <c r="S244" s="317"/>
      <c r="T244" s="317"/>
      <c r="U244" s="317"/>
      <c r="V244" s="317"/>
      <c r="W244" s="317"/>
      <c r="X244" s="317"/>
      <c r="Y244" s="317"/>
      <c r="Z244" s="317"/>
      <c r="AA244" s="317"/>
      <c r="AB244" s="317"/>
      <c r="AC244" s="317"/>
      <c r="AD244" s="317"/>
    </row>
    <row r="245" ht="20.25" customHeight="1">
      <c r="A245" s="317"/>
      <c r="B245" s="317"/>
      <c r="C245" s="317"/>
      <c r="D245" s="317"/>
      <c r="E245" s="317"/>
      <c r="F245" s="317"/>
      <c r="G245" s="317"/>
      <c r="H245" s="317"/>
      <c r="I245" s="317"/>
      <c r="J245" s="317"/>
      <c r="K245" s="317"/>
      <c r="L245" s="317"/>
      <c r="M245" s="317"/>
      <c r="N245" s="317"/>
      <c r="O245" s="317"/>
      <c r="P245" s="317"/>
      <c r="Q245" s="317"/>
      <c r="R245" s="317"/>
      <c r="S245" s="317"/>
      <c r="T245" s="317"/>
      <c r="U245" s="317"/>
      <c r="V245" s="317"/>
      <c r="W245" s="317"/>
      <c r="X245" s="317"/>
      <c r="Y245" s="317"/>
      <c r="Z245" s="317"/>
      <c r="AA245" s="317"/>
      <c r="AB245" s="317"/>
      <c r="AC245" s="317"/>
      <c r="AD245" s="317"/>
    </row>
    <row r="246" ht="20.25" customHeight="1">
      <c r="A246" s="317"/>
      <c r="B246" s="317"/>
      <c r="C246" s="317"/>
      <c r="D246" s="317"/>
      <c r="E246" s="317"/>
      <c r="F246" s="317"/>
      <c r="G246" s="317"/>
      <c r="H246" s="317"/>
      <c r="I246" s="317"/>
      <c r="J246" s="317"/>
      <c r="K246" s="317"/>
      <c r="L246" s="317"/>
      <c r="M246" s="317"/>
      <c r="N246" s="317"/>
      <c r="O246" s="317"/>
      <c r="P246" s="317"/>
      <c r="Q246" s="317"/>
      <c r="R246" s="317"/>
      <c r="S246" s="317"/>
      <c r="T246" s="317"/>
      <c r="U246" s="317"/>
      <c r="V246" s="317"/>
      <c r="W246" s="317"/>
      <c r="X246" s="317"/>
      <c r="Y246" s="317"/>
      <c r="Z246" s="317"/>
      <c r="AA246" s="317"/>
      <c r="AB246" s="317"/>
      <c r="AC246" s="317"/>
      <c r="AD246" s="317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2" width="8.0"/>
  </cols>
  <sheetData>
    <row r="1" ht="18.0" customHeight="1">
      <c r="A1" s="494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18.0" customHeight="1">
      <c r="A3" s="494" t="s">
        <v>238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18.0" customHeight="1">
      <c r="A4" s="7"/>
      <c r="B4" s="7"/>
      <c r="C4" s="7"/>
      <c r="D4" s="7"/>
      <c r="E4" s="7"/>
      <c r="F4" s="495"/>
      <c r="G4" s="495"/>
      <c r="H4" s="495"/>
      <c r="I4" s="495"/>
      <c r="J4" s="495"/>
      <c r="K4" s="495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20.25" customHeight="1">
      <c r="A5" s="494" t="s">
        <v>239</v>
      </c>
      <c r="B5" s="388" t="s">
        <v>260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18.75" customHeight="1">
      <c r="A6" s="7"/>
      <c r="B6" s="7"/>
      <c r="C6" s="7"/>
      <c r="D6" s="7"/>
      <c r="E6" s="7"/>
      <c r="F6" s="7"/>
      <c r="G6" s="496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33.0" customHeight="1">
      <c r="A7" s="497"/>
      <c r="B7" s="498"/>
      <c r="C7" s="499"/>
      <c r="D7" s="500"/>
      <c r="E7" s="501"/>
      <c r="F7" s="501"/>
      <c r="G7" s="501"/>
      <c r="H7" s="501"/>
      <c r="I7" s="501"/>
      <c r="J7" s="501"/>
      <c r="K7" s="501"/>
      <c r="L7" s="501"/>
      <c r="M7" s="501"/>
      <c r="N7" s="501"/>
      <c r="O7" s="501"/>
      <c r="P7" s="501"/>
      <c r="Q7" s="501"/>
      <c r="R7" s="501"/>
      <c r="S7" s="501"/>
      <c r="T7" s="501"/>
      <c r="U7" s="501"/>
      <c r="V7" s="501"/>
    </row>
    <row r="8" ht="33.0" customHeight="1">
      <c r="A8" s="502"/>
      <c r="B8" s="503"/>
      <c r="C8" s="499"/>
      <c r="D8" s="500"/>
      <c r="E8" s="501"/>
      <c r="F8" s="501"/>
      <c r="G8" s="501"/>
      <c r="H8" s="501"/>
      <c r="I8" s="501"/>
      <c r="J8" s="501"/>
      <c r="K8" s="501"/>
      <c r="L8" s="501"/>
      <c r="M8" s="501"/>
      <c r="N8" s="501"/>
      <c r="O8" s="501"/>
      <c r="P8" s="501"/>
      <c r="Q8" s="501"/>
      <c r="R8" s="501"/>
      <c r="S8" s="501"/>
      <c r="T8" s="501"/>
      <c r="U8" s="501"/>
      <c r="V8" s="501"/>
    </row>
    <row r="9" ht="33.0" customHeight="1">
      <c r="A9" s="497"/>
      <c r="B9" s="498"/>
      <c r="C9" s="499"/>
      <c r="D9" s="500"/>
      <c r="E9" s="504"/>
      <c r="F9" s="504"/>
      <c r="G9" s="504"/>
      <c r="H9" s="504"/>
      <c r="I9" s="504"/>
      <c r="J9" s="504"/>
      <c r="K9" s="504"/>
      <c r="L9" s="504"/>
      <c r="M9" s="504"/>
      <c r="N9" s="504"/>
      <c r="O9" s="504"/>
      <c r="P9" s="504"/>
      <c r="Q9" s="504"/>
      <c r="R9" s="504"/>
      <c r="S9" s="504"/>
      <c r="T9" s="504"/>
      <c r="U9" s="504"/>
      <c r="V9" s="504"/>
    </row>
    <row r="10" ht="33.0" customHeight="1">
      <c r="A10" s="497"/>
      <c r="B10" s="498"/>
      <c r="C10" s="499"/>
      <c r="D10" s="500"/>
      <c r="E10" s="501"/>
      <c r="F10" s="501"/>
      <c r="G10" s="501"/>
      <c r="H10" s="501"/>
      <c r="I10" s="501"/>
      <c r="J10" s="501"/>
      <c r="K10" s="501"/>
      <c r="L10" s="501"/>
      <c r="M10" s="501"/>
      <c r="N10" s="501"/>
      <c r="O10" s="501"/>
      <c r="P10" s="501"/>
      <c r="Q10" s="501"/>
      <c r="R10" s="501"/>
      <c r="S10" s="501"/>
      <c r="T10" s="501"/>
      <c r="U10" s="501"/>
      <c r="V10" s="501"/>
    </row>
    <row r="11" ht="33.0" customHeight="1">
      <c r="A11" s="497"/>
      <c r="B11" s="498"/>
      <c r="C11" s="499"/>
      <c r="D11" s="500"/>
      <c r="E11" s="501"/>
      <c r="F11" s="501"/>
      <c r="G11" s="501"/>
      <c r="H11" s="501"/>
      <c r="I11" s="501"/>
      <c r="J11" s="501"/>
      <c r="K11" s="501"/>
      <c r="L11" s="501"/>
      <c r="M11" s="501"/>
      <c r="N11" s="501"/>
      <c r="O11" s="501"/>
      <c r="P11" s="501"/>
      <c r="Q11" s="501"/>
      <c r="R11" s="501"/>
      <c r="S11" s="501"/>
      <c r="T11" s="501"/>
      <c r="U11" s="501"/>
      <c r="V11" s="501"/>
    </row>
    <row r="12" ht="33.0" customHeight="1">
      <c r="A12" s="497"/>
      <c r="B12" s="498"/>
      <c r="C12" s="499"/>
      <c r="D12" s="500"/>
      <c r="E12" s="501"/>
      <c r="F12" s="501"/>
      <c r="G12" s="501"/>
      <c r="H12" s="501"/>
      <c r="I12" s="501"/>
      <c r="J12" s="501"/>
      <c r="K12" s="501"/>
      <c r="L12" s="501"/>
      <c r="M12" s="501"/>
      <c r="N12" s="501"/>
      <c r="O12" s="501"/>
      <c r="P12" s="501"/>
      <c r="Q12" s="501"/>
      <c r="R12" s="501"/>
      <c r="S12" s="501"/>
      <c r="T12" s="501"/>
      <c r="U12" s="501"/>
      <c r="V12" s="501"/>
    </row>
    <row r="13" ht="33.0" customHeight="1">
      <c r="A13" s="497"/>
      <c r="B13" s="498"/>
      <c r="C13" s="499"/>
      <c r="D13" s="500"/>
      <c r="E13" s="501"/>
      <c r="F13" s="501"/>
      <c r="G13" s="501"/>
      <c r="H13" s="501"/>
      <c r="I13" s="501"/>
      <c r="J13" s="501"/>
      <c r="K13" s="501"/>
      <c r="L13" s="501"/>
      <c r="M13" s="501"/>
      <c r="N13" s="501"/>
      <c r="O13" s="501"/>
      <c r="P13" s="501"/>
      <c r="Q13" s="501"/>
      <c r="R13" s="501"/>
      <c r="S13" s="501"/>
      <c r="T13" s="501"/>
      <c r="U13" s="501"/>
      <c r="V13" s="501"/>
    </row>
    <row r="14" ht="33.0" customHeight="1">
      <c r="A14" s="497"/>
      <c r="B14" s="498"/>
      <c r="C14" s="497"/>
      <c r="D14" s="500"/>
      <c r="E14" s="501"/>
      <c r="F14" s="501"/>
      <c r="G14" s="501"/>
      <c r="H14" s="501"/>
      <c r="I14" s="501"/>
      <c r="J14" s="501"/>
      <c r="K14" s="501"/>
      <c r="L14" s="501"/>
      <c r="M14" s="501"/>
      <c r="N14" s="501"/>
      <c r="O14" s="501"/>
      <c r="P14" s="501"/>
      <c r="Q14" s="501"/>
      <c r="R14" s="501"/>
      <c r="S14" s="501"/>
      <c r="T14" s="501"/>
      <c r="U14" s="501"/>
      <c r="V14" s="501"/>
    </row>
    <row r="15" ht="33.0" customHeight="1">
      <c r="A15" s="497"/>
      <c r="B15" s="498"/>
      <c r="C15" s="499"/>
      <c r="D15" s="500"/>
      <c r="E15" s="501"/>
      <c r="F15" s="501"/>
      <c r="G15" s="501"/>
      <c r="H15" s="501"/>
      <c r="I15" s="501"/>
      <c r="J15" s="501"/>
      <c r="K15" s="501"/>
      <c r="L15" s="501"/>
      <c r="M15" s="501"/>
      <c r="N15" s="501"/>
      <c r="O15" s="501"/>
      <c r="P15" s="501"/>
      <c r="Q15" s="501"/>
      <c r="R15" s="501"/>
      <c r="S15" s="501"/>
      <c r="T15" s="501"/>
      <c r="U15" s="501"/>
      <c r="V15" s="501"/>
    </row>
    <row r="16" ht="33.0" customHeight="1">
      <c r="A16" s="497"/>
      <c r="B16" s="498"/>
      <c r="C16" s="499"/>
      <c r="D16" s="500"/>
      <c r="E16" s="504"/>
      <c r="F16" s="504"/>
      <c r="G16" s="504"/>
      <c r="H16" s="504"/>
      <c r="I16" s="504"/>
      <c r="J16" s="504"/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504"/>
    </row>
    <row r="17" ht="33.0" customHeight="1">
      <c r="A17" s="497"/>
      <c r="B17" s="498"/>
      <c r="C17" s="499"/>
      <c r="D17" s="500"/>
      <c r="E17" s="501"/>
      <c r="F17" s="501"/>
      <c r="G17" s="501"/>
      <c r="H17" s="501"/>
      <c r="I17" s="501"/>
      <c r="J17" s="501"/>
      <c r="K17" s="501"/>
      <c r="L17" s="501"/>
      <c r="M17" s="501"/>
      <c r="N17" s="501"/>
      <c r="O17" s="501"/>
      <c r="P17" s="501"/>
      <c r="Q17" s="501"/>
      <c r="R17" s="501"/>
      <c r="S17" s="501"/>
      <c r="T17" s="501"/>
      <c r="U17" s="501"/>
      <c r="V17" s="501"/>
    </row>
    <row r="18" ht="33.0" customHeight="1">
      <c r="A18" s="497"/>
      <c r="B18" s="498"/>
      <c r="C18" s="499"/>
      <c r="D18" s="500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</row>
    <row r="19" ht="33.0" customHeight="1">
      <c r="A19" s="497"/>
      <c r="B19" s="498"/>
      <c r="C19" s="499"/>
      <c r="D19" s="500"/>
      <c r="E19" s="501"/>
      <c r="F19" s="501"/>
      <c r="G19" s="501"/>
      <c r="H19" s="501"/>
      <c r="I19" s="501"/>
      <c r="J19" s="501"/>
      <c r="K19" s="501"/>
      <c r="L19" s="501"/>
      <c r="M19" s="501"/>
      <c r="N19" s="501"/>
      <c r="O19" s="501"/>
      <c r="P19" s="501"/>
      <c r="Q19" s="501"/>
      <c r="R19" s="501"/>
      <c r="S19" s="501"/>
      <c r="T19" s="501"/>
      <c r="U19" s="501"/>
      <c r="V19" s="501"/>
    </row>
    <row r="20" ht="33.0" customHeight="1">
      <c r="A20" s="497"/>
      <c r="B20" s="498"/>
      <c r="C20" s="499"/>
      <c r="D20" s="500"/>
      <c r="E20" s="501"/>
      <c r="F20" s="501"/>
      <c r="G20" s="501"/>
      <c r="H20" s="501"/>
      <c r="I20" s="501"/>
      <c r="J20" s="501"/>
      <c r="K20" s="501"/>
      <c r="L20" s="501"/>
      <c r="M20" s="501"/>
      <c r="N20" s="501"/>
      <c r="O20" s="501"/>
      <c r="P20" s="501"/>
      <c r="Q20" s="501"/>
      <c r="R20" s="501"/>
      <c r="S20" s="501"/>
      <c r="T20" s="501"/>
      <c r="U20" s="501"/>
      <c r="V20" s="501"/>
    </row>
    <row r="21" ht="33.0" customHeight="1">
      <c r="A21" s="497"/>
      <c r="B21" s="498"/>
      <c r="C21" s="499"/>
      <c r="D21" s="500"/>
      <c r="E21" s="501"/>
      <c r="F21" s="501"/>
      <c r="G21" s="501"/>
      <c r="H21" s="501"/>
      <c r="I21" s="501"/>
      <c r="J21" s="501"/>
      <c r="K21" s="501"/>
      <c r="L21" s="501"/>
      <c r="M21" s="501"/>
      <c r="N21" s="501"/>
      <c r="O21" s="501"/>
      <c r="P21" s="501"/>
      <c r="Q21" s="501"/>
      <c r="R21" s="501"/>
      <c r="S21" s="501"/>
      <c r="T21" s="501"/>
      <c r="U21" s="501"/>
      <c r="V21" s="501"/>
    </row>
    <row r="22" ht="33.0" customHeight="1">
      <c r="A22" s="497"/>
      <c r="B22" s="498"/>
      <c r="C22" s="499"/>
      <c r="D22" s="500"/>
      <c r="E22" s="501"/>
      <c r="F22" s="501"/>
      <c r="G22" s="501"/>
      <c r="H22" s="501"/>
      <c r="I22" s="501"/>
      <c r="J22" s="501"/>
      <c r="K22" s="501"/>
      <c r="L22" s="501"/>
      <c r="M22" s="501"/>
      <c r="N22" s="501"/>
      <c r="O22" s="501"/>
      <c r="P22" s="501"/>
      <c r="Q22" s="501"/>
      <c r="R22" s="501"/>
      <c r="S22" s="501"/>
      <c r="T22" s="501"/>
      <c r="U22" s="501"/>
      <c r="V22" s="501"/>
    </row>
    <row r="23" ht="33.0" customHeight="1">
      <c r="A23" s="497"/>
      <c r="B23" s="498"/>
      <c r="C23" s="499"/>
      <c r="D23" s="500"/>
      <c r="E23" s="501"/>
      <c r="F23" s="501"/>
      <c r="G23" s="501"/>
      <c r="H23" s="501"/>
      <c r="I23" s="501"/>
      <c r="J23" s="501"/>
      <c r="K23" s="501"/>
      <c r="L23" s="501"/>
      <c r="M23" s="501"/>
      <c r="N23" s="501"/>
      <c r="O23" s="501"/>
      <c r="P23" s="501"/>
      <c r="Q23" s="501"/>
      <c r="R23" s="501"/>
      <c r="S23" s="501"/>
      <c r="T23" s="501"/>
      <c r="U23" s="501"/>
      <c r="V23" s="501"/>
    </row>
    <row r="24" ht="33.0" customHeight="1">
      <c r="A24" s="497"/>
      <c r="B24" s="498"/>
      <c r="C24" s="499"/>
      <c r="D24" s="505"/>
      <c r="E24" s="501"/>
      <c r="F24" s="501"/>
      <c r="G24" s="501"/>
      <c r="H24" s="501"/>
      <c r="I24" s="501"/>
      <c r="J24" s="501"/>
      <c r="K24" s="501"/>
      <c r="L24" s="501"/>
      <c r="M24" s="501"/>
      <c r="N24" s="501"/>
      <c r="O24" s="501"/>
      <c r="P24" s="501"/>
      <c r="Q24" s="501"/>
      <c r="R24" s="501"/>
      <c r="S24" s="501"/>
      <c r="T24" s="501"/>
      <c r="U24" s="501"/>
      <c r="V24" s="501"/>
    </row>
    <row r="25" ht="33.0" customHeight="1">
      <c r="A25" s="497"/>
      <c r="B25" s="498"/>
      <c r="C25" s="499"/>
      <c r="D25" s="505"/>
      <c r="E25" s="501"/>
      <c r="F25" s="501"/>
      <c r="G25" s="501"/>
      <c r="H25" s="501"/>
      <c r="I25" s="501"/>
      <c r="J25" s="501"/>
      <c r="K25" s="501"/>
      <c r="L25" s="501"/>
      <c r="M25" s="501"/>
      <c r="N25" s="501"/>
      <c r="O25" s="501"/>
      <c r="P25" s="501"/>
      <c r="Q25" s="501"/>
      <c r="R25" s="501"/>
      <c r="S25" s="501"/>
      <c r="T25" s="501"/>
      <c r="U25" s="501"/>
      <c r="V25" s="501"/>
    </row>
    <row r="26" ht="33.0" customHeight="1">
      <c r="A26" s="497"/>
      <c r="B26" s="498"/>
      <c r="C26" s="499"/>
      <c r="D26" s="505"/>
      <c r="E26" s="501"/>
      <c r="F26" s="501"/>
      <c r="G26" s="501"/>
      <c r="H26" s="501"/>
      <c r="I26" s="501"/>
      <c r="J26" s="501"/>
      <c r="K26" s="501"/>
      <c r="L26" s="501"/>
      <c r="M26" s="501"/>
      <c r="N26" s="501"/>
      <c r="O26" s="501"/>
      <c r="P26" s="501"/>
      <c r="Q26" s="501"/>
      <c r="R26" s="501"/>
      <c r="S26" s="501"/>
      <c r="T26" s="501"/>
      <c r="U26" s="501"/>
      <c r="V26" s="501"/>
    </row>
    <row r="27" ht="33.0" customHeight="1">
      <c r="A27" s="497"/>
      <c r="B27" s="498"/>
      <c r="C27" s="499"/>
      <c r="D27" s="505"/>
      <c r="E27" s="501"/>
      <c r="F27" s="501"/>
      <c r="G27" s="501"/>
      <c r="H27" s="501"/>
      <c r="I27" s="501"/>
      <c r="J27" s="501"/>
      <c r="K27" s="501"/>
      <c r="L27" s="501"/>
      <c r="M27" s="501"/>
      <c r="N27" s="501"/>
      <c r="O27" s="501"/>
      <c r="P27" s="501"/>
      <c r="Q27" s="501"/>
      <c r="R27" s="501"/>
      <c r="S27" s="501"/>
      <c r="T27" s="501"/>
      <c r="U27" s="501"/>
      <c r="V27" s="501"/>
    </row>
    <row r="28" ht="33.0" customHeight="1">
      <c r="A28" s="497"/>
      <c r="B28" s="498"/>
      <c r="C28" s="499"/>
      <c r="D28" s="505"/>
      <c r="E28" s="501"/>
      <c r="F28" s="501"/>
      <c r="G28" s="501"/>
      <c r="H28" s="501"/>
      <c r="I28" s="501"/>
      <c r="J28" s="501"/>
      <c r="K28" s="501"/>
      <c r="L28" s="501"/>
      <c r="M28" s="501"/>
      <c r="N28" s="501"/>
      <c r="O28" s="501"/>
      <c r="P28" s="501"/>
      <c r="Q28" s="501"/>
      <c r="R28" s="501"/>
      <c r="S28" s="501"/>
      <c r="T28" s="501"/>
      <c r="U28" s="501"/>
      <c r="V28" s="501"/>
    </row>
    <row r="29" ht="33.0" customHeight="1">
      <c r="A29" s="497"/>
      <c r="B29" s="498"/>
      <c r="C29" s="499"/>
      <c r="D29" s="500"/>
      <c r="E29" s="501"/>
      <c r="F29" s="501"/>
      <c r="G29" s="501"/>
      <c r="H29" s="501"/>
      <c r="I29" s="501"/>
      <c r="J29" s="501"/>
      <c r="K29" s="501"/>
      <c r="L29" s="501"/>
      <c r="M29" s="501"/>
      <c r="N29" s="501"/>
      <c r="O29" s="501"/>
      <c r="P29" s="501"/>
      <c r="Q29" s="501"/>
      <c r="R29" s="501"/>
      <c r="S29" s="501"/>
      <c r="T29" s="501"/>
      <c r="U29" s="501"/>
      <c r="V29" s="501"/>
    </row>
    <row r="30" ht="33.0" customHeight="1">
      <c r="A30" s="506"/>
      <c r="B30" s="388"/>
      <c r="C30" s="500"/>
      <c r="D30" s="500"/>
      <c r="E30" s="501"/>
      <c r="F30" s="501"/>
      <c r="G30" s="501"/>
      <c r="H30" s="501"/>
      <c r="I30" s="501"/>
      <c r="J30" s="501"/>
      <c r="K30" s="501"/>
      <c r="L30" s="501"/>
      <c r="M30" s="501"/>
      <c r="N30" s="501"/>
      <c r="O30" s="501"/>
      <c r="P30" s="501"/>
      <c r="Q30" s="501"/>
      <c r="R30" s="501"/>
      <c r="S30" s="501"/>
      <c r="T30" s="501"/>
      <c r="U30" s="501"/>
      <c r="V30" s="501"/>
    </row>
    <row r="31" ht="23.25" customHeight="1">
      <c r="A31" s="501"/>
      <c r="B31" s="501"/>
      <c r="C31" s="501"/>
      <c r="D31" s="501"/>
      <c r="E31" s="501"/>
      <c r="F31" s="501"/>
      <c r="G31" s="501"/>
      <c r="H31" s="501"/>
      <c r="I31" s="501"/>
      <c r="J31" s="501"/>
      <c r="K31" s="501"/>
      <c r="L31" s="501"/>
      <c r="M31" s="501"/>
      <c r="N31" s="501"/>
      <c r="O31" s="501"/>
      <c r="P31" s="501"/>
      <c r="Q31" s="501"/>
      <c r="R31" s="501"/>
      <c r="S31" s="501"/>
      <c r="T31" s="501"/>
      <c r="U31" s="501"/>
      <c r="V31" s="501"/>
    </row>
    <row r="32" ht="23.25" customHeight="1">
      <c r="A32" s="501"/>
      <c r="B32" s="501"/>
      <c r="C32" s="501"/>
      <c r="D32" s="501"/>
      <c r="E32" s="501"/>
      <c r="F32" s="501"/>
      <c r="G32" s="501"/>
      <c r="H32" s="501"/>
      <c r="I32" s="501"/>
      <c r="J32" s="501"/>
      <c r="K32" s="501"/>
      <c r="L32" s="501"/>
      <c r="M32" s="501"/>
      <c r="N32" s="501"/>
      <c r="O32" s="501"/>
      <c r="P32" s="501"/>
      <c r="Q32" s="501"/>
      <c r="R32" s="501"/>
      <c r="S32" s="501"/>
      <c r="T32" s="501"/>
      <c r="U32" s="501"/>
      <c r="V32" s="501"/>
    </row>
    <row r="33" ht="23.25" customHeight="1">
      <c r="A33" s="501"/>
      <c r="B33" s="501"/>
      <c r="C33" s="501"/>
      <c r="D33" s="501"/>
      <c r="E33" s="501"/>
      <c r="F33" s="501"/>
      <c r="G33" s="501"/>
      <c r="H33" s="501"/>
      <c r="I33" s="501"/>
      <c r="J33" s="501"/>
      <c r="K33" s="501"/>
      <c r="L33" s="501"/>
      <c r="M33" s="501"/>
      <c r="N33" s="501"/>
      <c r="O33" s="501"/>
      <c r="P33" s="501"/>
      <c r="Q33" s="501"/>
      <c r="R33" s="501"/>
      <c r="S33" s="501"/>
      <c r="T33" s="501"/>
      <c r="U33" s="501"/>
      <c r="V33" s="501"/>
    </row>
    <row r="34" ht="23.25" customHeight="1">
      <c r="A34" s="501"/>
      <c r="B34" s="501"/>
      <c r="C34" s="501"/>
      <c r="D34" s="501"/>
      <c r="E34" s="501"/>
      <c r="F34" s="501"/>
      <c r="G34" s="501"/>
      <c r="H34" s="501"/>
      <c r="I34" s="501"/>
      <c r="J34" s="501"/>
      <c r="K34" s="501"/>
      <c r="L34" s="501"/>
      <c r="M34" s="501"/>
      <c r="N34" s="501"/>
      <c r="O34" s="501"/>
      <c r="P34" s="501"/>
      <c r="Q34" s="501"/>
      <c r="R34" s="501"/>
      <c r="S34" s="501"/>
      <c r="T34" s="501"/>
      <c r="U34" s="501"/>
      <c r="V34" s="501"/>
    </row>
    <row r="35" ht="23.25" customHeight="1">
      <c r="A35" s="501"/>
      <c r="B35" s="501"/>
      <c r="C35" s="501"/>
      <c r="D35" s="501"/>
      <c r="E35" s="501"/>
      <c r="F35" s="501"/>
      <c r="G35" s="501"/>
      <c r="H35" s="501"/>
      <c r="I35" s="501"/>
      <c r="J35" s="501"/>
      <c r="K35" s="501"/>
      <c r="L35" s="501"/>
      <c r="M35" s="501"/>
      <c r="N35" s="501"/>
      <c r="O35" s="501"/>
      <c r="P35" s="501"/>
      <c r="Q35" s="501"/>
      <c r="R35" s="501"/>
      <c r="S35" s="501"/>
      <c r="T35" s="501"/>
      <c r="U35" s="501"/>
      <c r="V35" s="501"/>
    </row>
    <row r="36" ht="23.25" customHeight="1">
      <c r="A36" s="501"/>
      <c r="B36" s="501"/>
      <c r="C36" s="501"/>
      <c r="D36" s="501"/>
      <c r="E36" s="501"/>
      <c r="F36" s="501"/>
      <c r="G36" s="501"/>
      <c r="H36" s="501"/>
      <c r="I36" s="501"/>
      <c r="J36" s="501"/>
      <c r="K36" s="501"/>
      <c r="L36" s="501"/>
      <c r="M36" s="501"/>
      <c r="N36" s="501"/>
      <c r="O36" s="501"/>
      <c r="P36" s="501"/>
      <c r="Q36" s="501"/>
      <c r="R36" s="501"/>
      <c r="S36" s="501"/>
      <c r="T36" s="501"/>
      <c r="U36" s="501"/>
      <c r="V36" s="501"/>
    </row>
    <row r="37" ht="23.25" customHeight="1">
      <c r="A37" s="501"/>
      <c r="B37" s="501"/>
      <c r="C37" s="501"/>
      <c r="D37" s="501"/>
      <c r="E37" s="501"/>
      <c r="F37" s="501"/>
      <c r="G37" s="501"/>
      <c r="H37" s="501"/>
      <c r="I37" s="501"/>
      <c r="J37" s="501"/>
      <c r="K37" s="501"/>
      <c r="L37" s="501"/>
      <c r="M37" s="501"/>
      <c r="N37" s="501"/>
      <c r="O37" s="501"/>
      <c r="P37" s="501"/>
      <c r="Q37" s="501"/>
      <c r="R37" s="501"/>
      <c r="S37" s="501"/>
      <c r="T37" s="501"/>
      <c r="U37" s="501"/>
      <c r="V37" s="501"/>
    </row>
    <row r="38" ht="23.25" customHeight="1">
      <c r="A38" s="501"/>
      <c r="B38" s="501"/>
      <c r="C38" s="501"/>
      <c r="D38" s="501"/>
      <c r="E38" s="501"/>
      <c r="F38" s="501"/>
      <c r="G38" s="501"/>
      <c r="H38" s="501"/>
      <c r="I38" s="501"/>
      <c r="J38" s="501"/>
      <c r="K38" s="501"/>
      <c r="L38" s="501"/>
      <c r="M38" s="501"/>
      <c r="N38" s="501"/>
      <c r="O38" s="501"/>
      <c r="P38" s="501"/>
      <c r="Q38" s="501"/>
      <c r="R38" s="501"/>
      <c r="S38" s="501"/>
      <c r="T38" s="501"/>
      <c r="U38" s="501"/>
      <c r="V38" s="501"/>
    </row>
    <row r="39" ht="23.25" customHeight="1">
      <c r="A39" s="501"/>
      <c r="B39" s="501"/>
      <c r="C39" s="501"/>
      <c r="D39" s="501"/>
      <c r="E39" s="501"/>
      <c r="F39" s="501"/>
      <c r="G39" s="501"/>
      <c r="H39" s="501"/>
      <c r="I39" s="501"/>
      <c r="J39" s="501"/>
      <c r="K39" s="501"/>
      <c r="L39" s="501"/>
      <c r="M39" s="501"/>
      <c r="N39" s="501"/>
      <c r="O39" s="501"/>
      <c r="P39" s="501"/>
      <c r="Q39" s="501"/>
      <c r="R39" s="501"/>
      <c r="S39" s="501"/>
      <c r="T39" s="501"/>
      <c r="U39" s="501"/>
      <c r="V39" s="501"/>
    </row>
    <row r="40" ht="23.25" customHeight="1">
      <c r="A40" s="501"/>
      <c r="B40" s="501"/>
      <c r="C40" s="501"/>
      <c r="D40" s="501"/>
      <c r="E40" s="501"/>
      <c r="F40" s="501"/>
      <c r="G40" s="501"/>
      <c r="H40" s="501"/>
      <c r="I40" s="501"/>
      <c r="J40" s="501"/>
      <c r="K40" s="501"/>
      <c r="L40" s="501"/>
      <c r="M40" s="501"/>
      <c r="N40" s="501"/>
      <c r="O40" s="501"/>
      <c r="P40" s="501"/>
      <c r="Q40" s="501"/>
      <c r="R40" s="501"/>
      <c r="S40" s="501"/>
      <c r="T40" s="501"/>
      <c r="U40" s="501"/>
      <c r="V40" s="501"/>
    </row>
    <row r="41" ht="23.25" customHeight="1">
      <c r="A41" s="501"/>
      <c r="B41" s="501"/>
      <c r="C41" s="501"/>
      <c r="D41" s="501"/>
      <c r="E41" s="501"/>
      <c r="F41" s="501"/>
      <c r="G41" s="501"/>
      <c r="H41" s="501"/>
      <c r="I41" s="501"/>
      <c r="J41" s="501"/>
      <c r="K41" s="501"/>
      <c r="L41" s="501"/>
      <c r="M41" s="501"/>
      <c r="N41" s="501"/>
      <c r="O41" s="501"/>
      <c r="P41" s="501"/>
      <c r="Q41" s="501"/>
      <c r="R41" s="501"/>
      <c r="S41" s="501"/>
      <c r="T41" s="501"/>
      <c r="U41" s="501"/>
      <c r="V41" s="501"/>
    </row>
    <row r="42" ht="23.25" customHeight="1">
      <c r="A42" s="501"/>
      <c r="B42" s="501"/>
      <c r="C42" s="501"/>
      <c r="D42" s="501"/>
      <c r="E42" s="501"/>
      <c r="F42" s="501"/>
      <c r="G42" s="501"/>
      <c r="H42" s="501"/>
      <c r="I42" s="501"/>
      <c r="J42" s="501"/>
      <c r="K42" s="501"/>
      <c r="L42" s="501"/>
      <c r="M42" s="501"/>
      <c r="N42" s="501"/>
      <c r="O42" s="501"/>
      <c r="P42" s="501"/>
      <c r="Q42" s="501"/>
      <c r="R42" s="501"/>
      <c r="S42" s="501"/>
      <c r="T42" s="501"/>
      <c r="U42" s="501"/>
      <c r="V42" s="501"/>
    </row>
    <row r="43" ht="23.25" customHeight="1">
      <c r="A43" s="501"/>
      <c r="B43" s="501"/>
      <c r="C43" s="501"/>
      <c r="D43" s="501"/>
      <c r="E43" s="501"/>
      <c r="F43" s="501"/>
      <c r="G43" s="501"/>
      <c r="H43" s="501"/>
      <c r="I43" s="501"/>
      <c r="J43" s="501"/>
      <c r="K43" s="501"/>
      <c r="L43" s="501"/>
      <c r="M43" s="501"/>
      <c r="N43" s="501"/>
      <c r="O43" s="501"/>
      <c r="P43" s="501"/>
      <c r="Q43" s="501"/>
      <c r="R43" s="501"/>
      <c r="S43" s="501"/>
      <c r="T43" s="501"/>
      <c r="U43" s="501"/>
      <c r="V43" s="501"/>
    </row>
    <row r="44" ht="23.25" customHeight="1">
      <c r="A44" s="501"/>
      <c r="B44" s="501"/>
      <c r="C44" s="501"/>
      <c r="D44" s="501"/>
      <c r="E44" s="501"/>
      <c r="F44" s="501"/>
      <c r="G44" s="501"/>
      <c r="H44" s="501"/>
      <c r="I44" s="501"/>
      <c r="J44" s="501"/>
      <c r="K44" s="501"/>
      <c r="L44" s="501"/>
      <c r="M44" s="501"/>
      <c r="N44" s="501"/>
      <c r="O44" s="501"/>
      <c r="P44" s="501"/>
      <c r="Q44" s="501"/>
      <c r="R44" s="501"/>
      <c r="S44" s="501"/>
      <c r="T44" s="501"/>
      <c r="U44" s="501"/>
      <c r="V44" s="501"/>
    </row>
    <row r="45" ht="23.25" customHeight="1">
      <c r="A45" s="501"/>
      <c r="B45" s="501"/>
      <c r="C45" s="501"/>
      <c r="D45" s="501"/>
      <c r="E45" s="501"/>
      <c r="F45" s="501"/>
      <c r="G45" s="501"/>
      <c r="H45" s="501"/>
      <c r="I45" s="501"/>
      <c r="J45" s="501"/>
      <c r="K45" s="501"/>
      <c r="L45" s="501"/>
      <c r="M45" s="501"/>
      <c r="N45" s="501"/>
      <c r="O45" s="501"/>
      <c r="P45" s="501"/>
      <c r="Q45" s="501"/>
      <c r="R45" s="501"/>
      <c r="S45" s="501"/>
      <c r="T45" s="501"/>
      <c r="U45" s="501"/>
      <c r="V45" s="501"/>
    </row>
    <row r="46" ht="23.25" customHeight="1">
      <c r="A46" s="501"/>
      <c r="B46" s="501"/>
      <c r="C46" s="501"/>
      <c r="D46" s="501"/>
      <c r="E46" s="501"/>
      <c r="F46" s="501"/>
      <c r="G46" s="501"/>
      <c r="H46" s="501"/>
      <c r="I46" s="501"/>
      <c r="J46" s="501"/>
      <c r="K46" s="501"/>
      <c r="L46" s="501"/>
      <c r="M46" s="501"/>
      <c r="N46" s="501"/>
      <c r="O46" s="501"/>
      <c r="P46" s="501"/>
      <c r="Q46" s="501"/>
      <c r="R46" s="501"/>
      <c r="S46" s="501"/>
      <c r="T46" s="501"/>
      <c r="U46" s="501"/>
      <c r="V46" s="501"/>
    </row>
    <row r="47" ht="23.25" customHeight="1">
      <c r="A47" s="501"/>
      <c r="B47" s="501"/>
      <c r="C47" s="501"/>
      <c r="D47" s="501"/>
      <c r="E47" s="501"/>
      <c r="F47" s="501"/>
      <c r="G47" s="501"/>
      <c r="H47" s="501"/>
      <c r="I47" s="501"/>
      <c r="J47" s="501"/>
      <c r="K47" s="501"/>
      <c r="L47" s="501"/>
      <c r="M47" s="501"/>
      <c r="N47" s="501"/>
      <c r="O47" s="501"/>
      <c r="P47" s="501"/>
      <c r="Q47" s="501"/>
      <c r="R47" s="501"/>
      <c r="S47" s="501"/>
      <c r="T47" s="501"/>
      <c r="U47" s="501"/>
      <c r="V47" s="501"/>
    </row>
    <row r="48" ht="23.25" customHeight="1">
      <c r="A48" s="501"/>
      <c r="B48" s="501"/>
      <c r="C48" s="501"/>
      <c r="D48" s="501"/>
      <c r="E48" s="501"/>
      <c r="F48" s="501"/>
      <c r="G48" s="501"/>
      <c r="H48" s="501"/>
      <c r="I48" s="501"/>
      <c r="J48" s="501"/>
      <c r="K48" s="501"/>
      <c r="L48" s="501"/>
      <c r="M48" s="501"/>
      <c r="N48" s="501"/>
      <c r="O48" s="501"/>
      <c r="P48" s="501"/>
      <c r="Q48" s="501"/>
      <c r="R48" s="501"/>
      <c r="S48" s="501"/>
      <c r="T48" s="501"/>
      <c r="U48" s="501"/>
      <c r="V48" s="501"/>
    </row>
    <row r="49" ht="23.25" customHeight="1">
      <c r="A49" s="501"/>
      <c r="B49" s="501"/>
      <c r="C49" s="501"/>
      <c r="D49" s="501"/>
      <c r="E49" s="501"/>
      <c r="F49" s="501"/>
      <c r="G49" s="501"/>
      <c r="H49" s="501"/>
      <c r="I49" s="501"/>
      <c r="J49" s="501"/>
      <c r="K49" s="501"/>
      <c r="L49" s="501"/>
      <c r="M49" s="501"/>
      <c r="N49" s="501"/>
      <c r="O49" s="501"/>
      <c r="P49" s="501"/>
      <c r="Q49" s="501"/>
      <c r="R49" s="501"/>
      <c r="S49" s="501"/>
      <c r="T49" s="501"/>
      <c r="U49" s="501"/>
      <c r="V49" s="501"/>
    </row>
    <row r="50" ht="23.25" customHeight="1">
      <c r="A50" s="501"/>
      <c r="B50" s="501"/>
      <c r="C50" s="501"/>
      <c r="D50" s="501"/>
      <c r="E50" s="501"/>
      <c r="F50" s="501"/>
      <c r="G50" s="501"/>
      <c r="H50" s="501"/>
      <c r="I50" s="501"/>
      <c r="J50" s="501"/>
      <c r="K50" s="501"/>
      <c r="L50" s="501"/>
      <c r="M50" s="501"/>
      <c r="N50" s="501"/>
      <c r="O50" s="501"/>
      <c r="P50" s="501"/>
      <c r="Q50" s="501"/>
      <c r="R50" s="501"/>
      <c r="S50" s="501"/>
      <c r="T50" s="501"/>
      <c r="U50" s="501"/>
      <c r="V50" s="501"/>
    </row>
    <row r="51" ht="23.25" customHeight="1">
      <c r="A51" s="501"/>
      <c r="B51" s="501"/>
      <c r="C51" s="501"/>
      <c r="D51" s="501"/>
      <c r="E51" s="501"/>
      <c r="F51" s="501"/>
      <c r="G51" s="501"/>
      <c r="H51" s="501"/>
      <c r="I51" s="501"/>
      <c r="J51" s="501"/>
      <c r="K51" s="501"/>
      <c r="L51" s="501"/>
      <c r="M51" s="501"/>
      <c r="N51" s="501"/>
      <c r="O51" s="501"/>
      <c r="P51" s="501"/>
      <c r="Q51" s="501"/>
      <c r="R51" s="501"/>
      <c r="S51" s="501"/>
      <c r="T51" s="501"/>
      <c r="U51" s="501"/>
      <c r="V51" s="501"/>
    </row>
    <row r="52" ht="23.25" customHeight="1">
      <c r="A52" s="501"/>
      <c r="B52" s="501"/>
      <c r="C52" s="501"/>
      <c r="D52" s="501"/>
      <c r="E52" s="501"/>
      <c r="F52" s="501"/>
      <c r="G52" s="501"/>
      <c r="H52" s="501"/>
      <c r="I52" s="501"/>
      <c r="J52" s="501"/>
      <c r="K52" s="501"/>
      <c r="L52" s="501"/>
      <c r="M52" s="501"/>
      <c r="N52" s="501"/>
      <c r="O52" s="501"/>
      <c r="P52" s="501"/>
      <c r="Q52" s="501"/>
      <c r="R52" s="501"/>
      <c r="S52" s="501"/>
      <c r="T52" s="501"/>
      <c r="U52" s="501"/>
      <c r="V52" s="501"/>
    </row>
    <row r="53" ht="23.25" customHeight="1">
      <c r="A53" s="501"/>
      <c r="B53" s="501"/>
      <c r="C53" s="501"/>
      <c r="D53" s="501"/>
      <c r="E53" s="501"/>
      <c r="F53" s="501"/>
      <c r="G53" s="501"/>
      <c r="H53" s="501"/>
      <c r="I53" s="501"/>
      <c r="J53" s="501"/>
      <c r="K53" s="501"/>
      <c r="L53" s="501"/>
      <c r="M53" s="501"/>
      <c r="N53" s="501"/>
      <c r="O53" s="501"/>
      <c r="P53" s="501"/>
      <c r="Q53" s="501"/>
      <c r="R53" s="501"/>
      <c r="S53" s="501"/>
      <c r="T53" s="501"/>
      <c r="U53" s="501"/>
      <c r="V53" s="501"/>
    </row>
    <row r="54" ht="23.25" customHeight="1">
      <c r="A54" s="501"/>
      <c r="B54" s="501"/>
      <c r="C54" s="501"/>
      <c r="D54" s="501"/>
      <c r="E54" s="501"/>
      <c r="F54" s="501"/>
      <c r="G54" s="501"/>
      <c r="H54" s="501"/>
      <c r="I54" s="501"/>
      <c r="J54" s="501"/>
      <c r="K54" s="501"/>
      <c r="L54" s="501"/>
      <c r="M54" s="501"/>
      <c r="N54" s="501"/>
      <c r="O54" s="501"/>
      <c r="P54" s="501"/>
      <c r="Q54" s="501"/>
      <c r="R54" s="501"/>
      <c r="S54" s="501"/>
      <c r="T54" s="501"/>
      <c r="U54" s="501"/>
      <c r="V54" s="501"/>
    </row>
    <row r="55" ht="23.25" customHeight="1">
      <c r="A55" s="501"/>
      <c r="B55" s="501"/>
      <c r="C55" s="501"/>
      <c r="D55" s="501"/>
      <c r="E55" s="501"/>
      <c r="F55" s="501"/>
      <c r="G55" s="501"/>
      <c r="H55" s="501"/>
      <c r="I55" s="501"/>
      <c r="J55" s="501"/>
      <c r="K55" s="501"/>
      <c r="L55" s="501"/>
      <c r="M55" s="501"/>
      <c r="N55" s="501"/>
      <c r="O55" s="501"/>
      <c r="P55" s="501"/>
      <c r="Q55" s="501"/>
      <c r="R55" s="501"/>
      <c r="S55" s="501"/>
      <c r="T55" s="501"/>
      <c r="U55" s="501"/>
      <c r="V55" s="501"/>
    </row>
    <row r="56" ht="23.25" customHeight="1">
      <c r="A56" s="501"/>
      <c r="B56" s="501"/>
      <c r="C56" s="501"/>
      <c r="D56" s="501"/>
      <c r="E56" s="501"/>
      <c r="F56" s="501"/>
      <c r="G56" s="501"/>
      <c r="H56" s="501"/>
      <c r="I56" s="501"/>
      <c r="J56" s="501"/>
      <c r="K56" s="501"/>
      <c r="L56" s="501"/>
      <c r="M56" s="501"/>
      <c r="N56" s="501"/>
      <c r="O56" s="501"/>
      <c r="P56" s="501"/>
      <c r="Q56" s="501"/>
      <c r="R56" s="501"/>
      <c r="S56" s="501"/>
      <c r="T56" s="501"/>
      <c r="U56" s="501"/>
      <c r="V56" s="501"/>
    </row>
    <row r="57" ht="23.25" customHeight="1">
      <c r="A57" s="501"/>
      <c r="B57" s="501"/>
      <c r="C57" s="501"/>
      <c r="D57" s="501"/>
      <c r="E57" s="501"/>
      <c r="F57" s="501"/>
      <c r="G57" s="501"/>
      <c r="H57" s="501"/>
      <c r="I57" s="501"/>
      <c r="J57" s="501"/>
      <c r="K57" s="501"/>
      <c r="L57" s="501"/>
      <c r="M57" s="501"/>
      <c r="N57" s="501"/>
      <c r="O57" s="501"/>
      <c r="P57" s="501"/>
      <c r="Q57" s="501"/>
      <c r="R57" s="501"/>
      <c r="S57" s="501"/>
      <c r="T57" s="501"/>
      <c r="U57" s="501"/>
      <c r="V57" s="501"/>
    </row>
    <row r="58" ht="23.25" customHeight="1">
      <c r="A58" s="501"/>
      <c r="B58" s="501"/>
      <c r="C58" s="501"/>
      <c r="D58" s="501"/>
      <c r="E58" s="501"/>
      <c r="F58" s="501"/>
      <c r="G58" s="501"/>
      <c r="H58" s="501"/>
      <c r="I58" s="501"/>
      <c r="J58" s="501"/>
      <c r="K58" s="501"/>
      <c r="L58" s="501"/>
      <c r="M58" s="501"/>
      <c r="N58" s="501"/>
      <c r="O58" s="501"/>
      <c r="P58" s="501"/>
      <c r="Q58" s="501"/>
      <c r="R58" s="501"/>
      <c r="S58" s="501"/>
      <c r="T58" s="501"/>
      <c r="U58" s="501"/>
      <c r="V58" s="501"/>
    </row>
    <row r="59" ht="23.25" customHeight="1">
      <c r="A59" s="501"/>
      <c r="B59" s="501"/>
      <c r="C59" s="501"/>
      <c r="D59" s="501"/>
      <c r="E59" s="501"/>
      <c r="F59" s="501"/>
      <c r="G59" s="501"/>
      <c r="H59" s="501"/>
      <c r="I59" s="501"/>
      <c r="J59" s="501"/>
      <c r="K59" s="501"/>
      <c r="L59" s="501"/>
      <c r="M59" s="501"/>
      <c r="N59" s="501"/>
      <c r="O59" s="501"/>
      <c r="P59" s="501"/>
      <c r="Q59" s="501"/>
      <c r="R59" s="501"/>
      <c r="S59" s="501"/>
      <c r="T59" s="501"/>
      <c r="U59" s="501"/>
      <c r="V59" s="501"/>
    </row>
    <row r="60" ht="23.25" customHeight="1">
      <c r="A60" s="501"/>
      <c r="B60" s="501"/>
      <c r="C60" s="501"/>
      <c r="D60" s="501"/>
      <c r="E60" s="501"/>
      <c r="F60" s="501"/>
      <c r="G60" s="501"/>
      <c r="H60" s="501"/>
      <c r="I60" s="501"/>
      <c r="J60" s="501"/>
      <c r="K60" s="501"/>
      <c r="L60" s="501"/>
      <c r="M60" s="501"/>
      <c r="N60" s="501"/>
      <c r="O60" s="501"/>
      <c r="P60" s="501"/>
      <c r="Q60" s="501"/>
      <c r="R60" s="501"/>
      <c r="S60" s="501"/>
      <c r="T60" s="501"/>
      <c r="U60" s="501"/>
      <c r="V60" s="501"/>
    </row>
    <row r="61" ht="23.25" customHeight="1">
      <c r="A61" s="501"/>
      <c r="B61" s="501"/>
      <c r="C61" s="501"/>
      <c r="D61" s="501"/>
      <c r="E61" s="501"/>
      <c r="F61" s="501"/>
      <c r="G61" s="501"/>
      <c r="H61" s="501"/>
      <c r="I61" s="501"/>
      <c r="J61" s="501"/>
      <c r="K61" s="501"/>
      <c r="L61" s="501"/>
      <c r="M61" s="501"/>
      <c r="N61" s="501"/>
      <c r="O61" s="501"/>
      <c r="P61" s="501"/>
      <c r="Q61" s="501"/>
      <c r="R61" s="501"/>
      <c r="S61" s="501"/>
      <c r="T61" s="501"/>
      <c r="U61" s="501"/>
      <c r="V61" s="501"/>
    </row>
    <row r="62" ht="23.25" customHeight="1">
      <c r="A62" s="501"/>
      <c r="B62" s="501"/>
      <c r="C62" s="501"/>
      <c r="D62" s="501"/>
      <c r="E62" s="501"/>
      <c r="F62" s="501"/>
      <c r="G62" s="501"/>
      <c r="H62" s="501"/>
      <c r="I62" s="501"/>
      <c r="J62" s="501"/>
      <c r="K62" s="501"/>
      <c r="L62" s="501"/>
      <c r="M62" s="501"/>
      <c r="N62" s="501"/>
      <c r="O62" s="501"/>
      <c r="P62" s="501"/>
      <c r="Q62" s="501"/>
      <c r="R62" s="501"/>
      <c r="S62" s="501"/>
      <c r="T62" s="501"/>
      <c r="U62" s="501"/>
      <c r="V62" s="501"/>
    </row>
    <row r="63" ht="23.25" customHeight="1">
      <c r="A63" s="501"/>
      <c r="B63" s="501"/>
      <c r="C63" s="501"/>
      <c r="D63" s="501"/>
      <c r="E63" s="501"/>
      <c r="F63" s="501"/>
      <c r="G63" s="501"/>
      <c r="H63" s="501"/>
      <c r="I63" s="501"/>
      <c r="J63" s="501"/>
      <c r="K63" s="501"/>
      <c r="L63" s="501"/>
      <c r="M63" s="501"/>
      <c r="N63" s="501"/>
      <c r="O63" s="501"/>
      <c r="P63" s="501"/>
      <c r="Q63" s="501"/>
      <c r="R63" s="501"/>
      <c r="S63" s="501"/>
      <c r="T63" s="501"/>
      <c r="U63" s="501"/>
      <c r="V63" s="501"/>
    </row>
    <row r="64" ht="23.25" customHeight="1">
      <c r="A64" s="501"/>
      <c r="B64" s="501"/>
      <c r="C64" s="501"/>
      <c r="D64" s="501"/>
      <c r="E64" s="501"/>
      <c r="F64" s="501"/>
      <c r="G64" s="501"/>
      <c r="H64" s="501"/>
      <c r="I64" s="501"/>
      <c r="J64" s="501"/>
      <c r="K64" s="501"/>
      <c r="L64" s="501"/>
      <c r="M64" s="501"/>
      <c r="N64" s="501"/>
      <c r="O64" s="501"/>
      <c r="P64" s="501"/>
      <c r="Q64" s="501"/>
      <c r="R64" s="501"/>
      <c r="S64" s="501"/>
      <c r="T64" s="501"/>
      <c r="U64" s="501"/>
      <c r="V64" s="501"/>
    </row>
    <row r="65" ht="23.25" customHeight="1">
      <c r="A65" s="501"/>
      <c r="B65" s="501"/>
      <c r="C65" s="501"/>
      <c r="D65" s="501"/>
      <c r="E65" s="501"/>
      <c r="F65" s="501"/>
      <c r="G65" s="501"/>
      <c r="H65" s="501"/>
      <c r="I65" s="501"/>
      <c r="J65" s="501"/>
      <c r="K65" s="501"/>
      <c r="L65" s="501"/>
      <c r="M65" s="501"/>
      <c r="N65" s="501"/>
      <c r="O65" s="501"/>
      <c r="P65" s="501"/>
      <c r="Q65" s="501"/>
      <c r="R65" s="501"/>
      <c r="S65" s="501"/>
      <c r="T65" s="501"/>
      <c r="U65" s="501"/>
      <c r="V65" s="501"/>
    </row>
    <row r="66" ht="23.25" customHeight="1">
      <c r="A66" s="501"/>
      <c r="B66" s="501"/>
      <c r="C66" s="501"/>
      <c r="D66" s="501"/>
      <c r="E66" s="501"/>
      <c r="F66" s="501"/>
      <c r="G66" s="501"/>
      <c r="H66" s="501"/>
      <c r="I66" s="501"/>
      <c r="J66" s="501"/>
      <c r="K66" s="501"/>
      <c r="L66" s="501"/>
      <c r="M66" s="501"/>
      <c r="N66" s="501"/>
      <c r="O66" s="501"/>
      <c r="P66" s="501"/>
      <c r="Q66" s="501"/>
      <c r="R66" s="501"/>
      <c r="S66" s="501"/>
      <c r="T66" s="501"/>
      <c r="U66" s="501"/>
      <c r="V66" s="501"/>
    </row>
    <row r="67" ht="23.25" customHeight="1">
      <c r="A67" s="501"/>
      <c r="B67" s="501"/>
      <c r="C67" s="501"/>
      <c r="D67" s="501"/>
      <c r="E67" s="501"/>
      <c r="F67" s="501"/>
      <c r="G67" s="501"/>
      <c r="H67" s="501"/>
      <c r="I67" s="501"/>
      <c r="J67" s="501"/>
      <c r="K67" s="501"/>
      <c r="L67" s="501"/>
      <c r="M67" s="501"/>
      <c r="N67" s="501"/>
      <c r="O67" s="501"/>
      <c r="P67" s="501"/>
      <c r="Q67" s="501"/>
      <c r="R67" s="501"/>
      <c r="S67" s="501"/>
      <c r="T67" s="501"/>
      <c r="U67" s="501"/>
      <c r="V67" s="501"/>
    </row>
    <row r="68" ht="23.25" customHeight="1">
      <c r="A68" s="501"/>
      <c r="B68" s="501"/>
      <c r="C68" s="501"/>
      <c r="D68" s="501"/>
      <c r="E68" s="501"/>
      <c r="F68" s="501"/>
      <c r="G68" s="501"/>
      <c r="H68" s="501"/>
      <c r="I68" s="501"/>
      <c r="J68" s="501"/>
      <c r="K68" s="501"/>
      <c r="L68" s="501"/>
      <c r="M68" s="501"/>
      <c r="N68" s="501"/>
      <c r="O68" s="501"/>
      <c r="P68" s="501"/>
      <c r="Q68" s="501"/>
      <c r="R68" s="501"/>
      <c r="S68" s="501"/>
      <c r="T68" s="501"/>
      <c r="U68" s="501"/>
      <c r="V68" s="501"/>
    </row>
    <row r="69" ht="23.25" customHeight="1">
      <c r="A69" s="501"/>
      <c r="B69" s="501"/>
      <c r="C69" s="501"/>
      <c r="D69" s="501"/>
      <c r="E69" s="501"/>
      <c r="F69" s="501"/>
      <c r="G69" s="501"/>
      <c r="H69" s="501"/>
      <c r="I69" s="501"/>
      <c r="J69" s="501"/>
      <c r="K69" s="501"/>
      <c r="L69" s="501"/>
      <c r="M69" s="501"/>
      <c r="N69" s="501"/>
      <c r="O69" s="501"/>
      <c r="P69" s="501"/>
      <c r="Q69" s="501"/>
      <c r="R69" s="501"/>
      <c r="S69" s="501"/>
      <c r="T69" s="501"/>
      <c r="U69" s="501"/>
      <c r="V69" s="501"/>
    </row>
    <row r="70" ht="23.25" customHeight="1">
      <c r="A70" s="501"/>
      <c r="B70" s="501"/>
      <c r="C70" s="501"/>
      <c r="D70" s="501"/>
      <c r="E70" s="501"/>
      <c r="F70" s="501"/>
      <c r="G70" s="501"/>
      <c r="H70" s="501"/>
      <c r="I70" s="501"/>
      <c r="J70" s="501"/>
      <c r="K70" s="501"/>
      <c r="L70" s="501"/>
      <c r="M70" s="501"/>
      <c r="N70" s="501"/>
      <c r="O70" s="501"/>
      <c r="P70" s="501"/>
      <c r="Q70" s="501"/>
      <c r="R70" s="501"/>
      <c r="S70" s="501"/>
      <c r="T70" s="501"/>
      <c r="U70" s="501"/>
      <c r="V70" s="501"/>
    </row>
    <row r="71" ht="23.25" customHeight="1">
      <c r="A71" s="501"/>
      <c r="B71" s="501"/>
      <c r="C71" s="501"/>
      <c r="D71" s="501"/>
      <c r="E71" s="501"/>
      <c r="F71" s="501"/>
      <c r="G71" s="501"/>
      <c r="H71" s="501"/>
      <c r="I71" s="501"/>
      <c r="J71" s="501"/>
      <c r="K71" s="501"/>
      <c r="L71" s="501"/>
      <c r="M71" s="501"/>
      <c r="N71" s="501"/>
      <c r="O71" s="501"/>
      <c r="P71" s="501"/>
      <c r="Q71" s="501"/>
      <c r="R71" s="501"/>
      <c r="S71" s="501"/>
      <c r="T71" s="501"/>
      <c r="U71" s="501"/>
      <c r="V71" s="501"/>
    </row>
    <row r="72" ht="23.25" customHeight="1">
      <c r="A72" s="501"/>
      <c r="B72" s="501"/>
      <c r="C72" s="501"/>
      <c r="D72" s="501"/>
      <c r="E72" s="501"/>
      <c r="F72" s="501"/>
      <c r="G72" s="501"/>
      <c r="H72" s="501"/>
      <c r="I72" s="501"/>
      <c r="J72" s="501"/>
      <c r="K72" s="501"/>
      <c r="L72" s="501"/>
      <c r="M72" s="501"/>
      <c r="N72" s="501"/>
      <c r="O72" s="501"/>
      <c r="P72" s="501"/>
      <c r="Q72" s="501"/>
      <c r="R72" s="501"/>
      <c r="S72" s="501"/>
      <c r="T72" s="501"/>
      <c r="U72" s="501"/>
      <c r="V72" s="501"/>
    </row>
    <row r="73" ht="23.25" customHeight="1">
      <c r="A73" s="501"/>
      <c r="B73" s="501"/>
      <c r="C73" s="501"/>
      <c r="D73" s="501"/>
      <c r="E73" s="501"/>
      <c r="F73" s="501"/>
      <c r="G73" s="501"/>
      <c r="H73" s="501"/>
      <c r="I73" s="501"/>
      <c r="J73" s="501"/>
      <c r="K73" s="501"/>
      <c r="L73" s="501"/>
      <c r="M73" s="501"/>
      <c r="N73" s="501"/>
      <c r="O73" s="501"/>
      <c r="P73" s="501"/>
      <c r="Q73" s="501"/>
      <c r="R73" s="501"/>
      <c r="S73" s="501"/>
      <c r="T73" s="501"/>
      <c r="U73" s="501"/>
      <c r="V73" s="501"/>
    </row>
    <row r="74" ht="23.25" customHeight="1">
      <c r="A74" s="501"/>
      <c r="B74" s="501"/>
      <c r="C74" s="501"/>
      <c r="D74" s="501"/>
      <c r="E74" s="501"/>
      <c r="F74" s="501"/>
      <c r="G74" s="501"/>
      <c r="H74" s="501"/>
      <c r="I74" s="501"/>
      <c r="J74" s="501"/>
      <c r="K74" s="501"/>
      <c r="L74" s="501"/>
      <c r="M74" s="501"/>
      <c r="N74" s="501"/>
      <c r="O74" s="501"/>
      <c r="P74" s="501"/>
      <c r="Q74" s="501"/>
      <c r="R74" s="501"/>
      <c r="S74" s="501"/>
      <c r="T74" s="501"/>
      <c r="U74" s="501"/>
      <c r="V74" s="501"/>
    </row>
    <row r="75" ht="23.25" customHeight="1">
      <c r="A75" s="501"/>
      <c r="B75" s="501"/>
      <c r="C75" s="501"/>
      <c r="D75" s="501"/>
      <c r="E75" s="501"/>
      <c r="F75" s="501"/>
      <c r="G75" s="501"/>
      <c r="H75" s="501"/>
      <c r="I75" s="501"/>
      <c r="J75" s="501"/>
      <c r="K75" s="501"/>
      <c r="L75" s="501"/>
      <c r="M75" s="501"/>
      <c r="N75" s="501"/>
      <c r="O75" s="501"/>
      <c r="P75" s="501"/>
      <c r="Q75" s="501"/>
      <c r="R75" s="501"/>
      <c r="S75" s="501"/>
      <c r="T75" s="501"/>
      <c r="U75" s="501"/>
      <c r="V75" s="501"/>
    </row>
    <row r="76" ht="23.25" customHeight="1">
      <c r="A76" s="501"/>
      <c r="B76" s="501"/>
      <c r="C76" s="501"/>
      <c r="D76" s="501"/>
      <c r="E76" s="501"/>
      <c r="F76" s="501"/>
      <c r="G76" s="501"/>
      <c r="H76" s="501"/>
      <c r="I76" s="501"/>
      <c r="J76" s="501"/>
      <c r="K76" s="501"/>
      <c r="L76" s="501"/>
      <c r="M76" s="501"/>
      <c r="N76" s="501"/>
      <c r="O76" s="501"/>
      <c r="P76" s="501"/>
      <c r="Q76" s="501"/>
      <c r="R76" s="501"/>
      <c r="S76" s="501"/>
      <c r="T76" s="501"/>
      <c r="U76" s="501"/>
      <c r="V76" s="501"/>
    </row>
    <row r="77" ht="23.25" customHeight="1">
      <c r="A77" s="501"/>
      <c r="B77" s="501"/>
      <c r="C77" s="501"/>
      <c r="D77" s="501"/>
      <c r="E77" s="501"/>
      <c r="F77" s="501"/>
      <c r="G77" s="501"/>
      <c r="H77" s="501"/>
      <c r="I77" s="501"/>
      <c r="J77" s="501"/>
      <c r="K77" s="501"/>
      <c r="L77" s="501"/>
      <c r="M77" s="501"/>
      <c r="N77" s="501"/>
      <c r="O77" s="501"/>
      <c r="P77" s="501"/>
      <c r="Q77" s="501"/>
      <c r="R77" s="501"/>
      <c r="S77" s="501"/>
      <c r="T77" s="501"/>
      <c r="U77" s="501"/>
      <c r="V77" s="501"/>
    </row>
    <row r="78" ht="23.25" customHeight="1">
      <c r="A78" s="501"/>
      <c r="B78" s="501"/>
      <c r="C78" s="501"/>
      <c r="D78" s="501"/>
      <c r="E78" s="501"/>
      <c r="F78" s="501"/>
      <c r="G78" s="501"/>
      <c r="H78" s="501"/>
      <c r="I78" s="501"/>
      <c r="J78" s="501"/>
      <c r="K78" s="501"/>
      <c r="L78" s="501"/>
      <c r="M78" s="501"/>
      <c r="N78" s="501"/>
      <c r="O78" s="501"/>
      <c r="P78" s="501"/>
      <c r="Q78" s="501"/>
      <c r="R78" s="501"/>
      <c r="S78" s="501"/>
      <c r="T78" s="501"/>
      <c r="U78" s="501"/>
      <c r="V78" s="501"/>
    </row>
    <row r="79" ht="23.25" customHeight="1">
      <c r="A79" s="501"/>
      <c r="B79" s="501"/>
      <c r="C79" s="501"/>
      <c r="D79" s="501"/>
      <c r="E79" s="501"/>
      <c r="F79" s="501"/>
      <c r="G79" s="501"/>
      <c r="H79" s="501"/>
      <c r="I79" s="501"/>
      <c r="J79" s="501"/>
      <c r="K79" s="501"/>
      <c r="L79" s="501"/>
      <c r="M79" s="501"/>
      <c r="N79" s="501"/>
      <c r="O79" s="501"/>
      <c r="P79" s="501"/>
      <c r="Q79" s="501"/>
      <c r="R79" s="501"/>
      <c r="S79" s="501"/>
      <c r="T79" s="501"/>
      <c r="U79" s="501"/>
      <c r="V79" s="501"/>
    </row>
    <row r="80" ht="23.25" customHeight="1">
      <c r="A80" s="501"/>
      <c r="B80" s="501"/>
      <c r="C80" s="501"/>
      <c r="D80" s="501"/>
      <c r="E80" s="501"/>
      <c r="F80" s="501"/>
      <c r="G80" s="501"/>
      <c r="H80" s="501"/>
      <c r="I80" s="501"/>
      <c r="J80" s="501"/>
      <c r="K80" s="501"/>
      <c r="L80" s="501"/>
      <c r="M80" s="501"/>
      <c r="N80" s="501"/>
      <c r="O80" s="501"/>
      <c r="P80" s="501"/>
      <c r="Q80" s="501"/>
      <c r="R80" s="501"/>
      <c r="S80" s="501"/>
      <c r="T80" s="501"/>
      <c r="U80" s="501"/>
      <c r="V80" s="501"/>
    </row>
    <row r="81" ht="23.25" customHeight="1">
      <c r="A81" s="501"/>
      <c r="B81" s="501"/>
      <c r="C81" s="501"/>
      <c r="D81" s="501"/>
      <c r="E81" s="501"/>
      <c r="F81" s="501"/>
      <c r="G81" s="501"/>
      <c r="H81" s="501"/>
      <c r="I81" s="501"/>
      <c r="J81" s="501"/>
      <c r="K81" s="501"/>
      <c r="L81" s="501"/>
      <c r="M81" s="501"/>
      <c r="N81" s="501"/>
      <c r="O81" s="501"/>
      <c r="P81" s="501"/>
      <c r="Q81" s="501"/>
      <c r="R81" s="501"/>
      <c r="S81" s="501"/>
      <c r="T81" s="501"/>
      <c r="U81" s="501"/>
      <c r="V81" s="501"/>
    </row>
    <row r="82" ht="23.25" customHeight="1">
      <c r="A82" s="501"/>
      <c r="B82" s="501"/>
      <c r="C82" s="501"/>
      <c r="D82" s="501"/>
      <c r="E82" s="501"/>
      <c r="F82" s="501"/>
      <c r="G82" s="501"/>
      <c r="H82" s="501"/>
      <c r="I82" s="501"/>
      <c r="J82" s="501"/>
      <c r="K82" s="501"/>
      <c r="L82" s="501"/>
      <c r="M82" s="501"/>
      <c r="N82" s="501"/>
      <c r="O82" s="501"/>
      <c r="P82" s="501"/>
      <c r="Q82" s="501"/>
      <c r="R82" s="501"/>
      <c r="S82" s="501"/>
      <c r="T82" s="501"/>
      <c r="U82" s="501"/>
      <c r="V82" s="501"/>
    </row>
    <row r="83" ht="23.25" customHeight="1">
      <c r="A83" s="501"/>
      <c r="B83" s="501"/>
      <c r="C83" s="501"/>
      <c r="D83" s="501"/>
      <c r="E83" s="501"/>
      <c r="F83" s="501"/>
      <c r="G83" s="501"/>
      <c r="H83" s="501"/>
      <c r="I83" s="501"/>
      <c r="J83" s="501"/>
      <c r="K83" s="501"/>
      <c r="L83" s="501"/>
      <c r="M83" s="501"/>
      <c r="N83" s="501"/>
      <c r="O83" s="501"/>
      <c r="P83" s="501"/>
      <c r="Q83" s="501"/>
      <c r="R83" s="501"/>
      <c r="S83" s="501"/>
      <c r="T83" s="501"/>
      <c r="U83" s="501"/>
      <c r="V83" s="501"/>
    </row>
    <row r="84" ht="23.25" customHeight="1">
      <c r="A84" s="501"/>
      <c r="B84" s="501"/>
      <c r="C84" s="501"/>
      <c r="D84" s="501"/>
      <c r="E84" s="501"/>
      <c r="F84" s="501"/>
      <c r="G84" s="501"/>
      <c r="H84" s="501"/>
      <c r="I84" s="501"/>
      <c r="J84" s="501"/>
      <c r="K84" s="501"/>
      <c r="L84" s="501"/>
      <c r="M84" s="501"/>
      <c r="N84" s="501"/>
      <c r="O84" s="501"/>
      <c r="P84" s="501"/>
      <c r="Q84" s="501"/>
      <c r="R84" s="501"/>
      <c r="S84" s="501"/>
      <c r="T84" s="501"/>
      <c r="U84" s="501"/>
      <c r="V84" s="501"/>
    </row>
    <row r="85" ht="23.25" customHeight="1">
      <c r="A85" s="501"/>
      <c r="B85" s="501"/>
      <c r="C85" s="501"/>
      <c r="D85" s="501"/>
      <c r="E85" s="501"/>
      <c r="F85" s="501"/>
      <c r="G85" s="501"/>
      <c r="H85" s="501"/>
      <c r="I85" s="501"/>
      <c r="J85" s="501"/>
      <c r="K85" s="501"/>
      <c r="L85" s="501"/>
      <c r="M85" s="501"/>
      <c r="N85" s="501"/>
      <c r="O85" s="501"/>
      <c r="P85" s="501"/>
      <c r="Q85" s="501"/>
      <c r="R85" s="501"/>
      <c r="S85" s="501"/>
      <c r="T85" s="501"/>
      <c r="U85" s="501"/>
      <c r="V85" s="501"/>
    </row>
    <row r="86" ht="23.25" customHeight="1">
      <c r="A86" s="501"/>
      <c r="B86" s="501"/>
      <c r="C86" s="501"/>
      <c r="D86" s="501"/>
      <c r="E86" s="501"/>
      <c r="F86" s="501"/>
      <c r="G86" s="501"/>
      <c r="H86" s="501"/>
      <c r="I86" s="501"/>
      <c r="J86" s="501"/>
      <c r="K86" s="501"/>
      <c r="L86" s="501"/>
      <c r="M86" s="501"/>
      <c r="N86" s="501"/>
      <c r="O86" s="501"/>
      <c r="P86" s="501"/>
      <c r="Q86" s="501"/>
      <c r="R86" s="501"/>
      <c r="S86" s="501"/>
      <c r="T86" s="501"/>
      <c r="U86" s="501"/>
      <c r="V86" s="501"/>
    </row>
    <row r="87" ht="23.25" customHeight="1">
      <c r="A87" s="501"/>
      <c r="B87" s="501"/>
      <c r="C87" s="501"/>
      <c r="D87" s="501"/>
      <c r="E87" s="501"/>
      <c r="F87" s="501"/>
      <c r="G87" s="501"/>
      <c r="H87" s="501"/>
      <c r="I87" s="501"/>
      <c r="J87" s="501"/>
      <c r="K87" s="501"/>
      <c r="L87" s="501"/>
      <c r="M87" s="501"/>
      <c r="N87" s="501"/>
      <c r="O87" s="501"/>
      <c r="P87" s="501"/>
      <c r="Q87" s="501"/>
      <c r="R87" s="501"/>
      <c r="S87" s="501"/>
      <c r="T87" s="501"/>
      <c r="U87" s="501"/>
      <c r="V87" s="501"/>
    </row>
    <row r="88" ht="23.25" customHeight="1">
      <c r="A88" s="501"/>
      <c r="B88" s="501"/>
      <c r="C88" s="501"/>
      <c r="D88" s="501"/>
      <c r="E88" s="501"/>
      <c r="F88" s="501"/>
      <c r="G88" s="501"/>
      <c r="H88" s="501"/>
      <c r="I88" s="501"/>
      <c r="J88" s="501"/>
      <c r="K88" s="501"/>
      <c r="L88" s="501"/>
      <c r="M88" s="501"/>
      <c r="N88" s="501"/>
      <c r="O88" s="501"/>
      <c r="P88" s="501"/>
      <c r="Q88" s="501"/>
      <c r="R88" s="501"/>
      <c r="S88" s="501"/>
      <c r="T88" s="501"/>
      <c r="U88" s="501"/>
      <c r="V88" s="501"/>
    </row>
    <row r="89" ht="23.25" customHeight="1">
      <c r="A89" s="501"/>
      <c r="B89" s="501"/>
      <c r="C89" s="501"/>
      <c r="D89" s="501"/>
      <c r="E89" s="501"/>
      <c r="F89" s="501"/>
      <c r="G89" s="501"/>
      <c r="H89" s="501"/>
      <c r="I89" s="501"/>
      <c r="J89" s="501"/>
      <c r="K89" s="501"/>
      <c r="L89" s="501"/>
      <c r="M89" s="501"/>
      <c r="N89" s="501"/>
      <c r="O89" s="501"/>
      <c r="P89" s="501"/>
      <c r="Q89" s="501"/>
      <c r="R89" s="501"/>
      <c r="S89" s="501"/>
      <c r="T89" s="501"/>
      <c r="U89" s="501"/>
      <c r="V89" s="501"/>
    </row>
    <row r="90" ht="23.25" customHeight="1">
      <c r="A90" s="501"/>
      <c r="B90" s="501"/>
      <c r="C90" s="501"/>
      <c r="D90" s="501"/>
      <c r="E90" s="501"/>
      <c r="F90" s="501"/>
      <c r="G90" s="501"/>
      <c r="H90" s="501"/>
      <c r="I90" s="501"/>
      <c r="J90" s="501"/>
      <c r="K90" s="501"/>
      <c r="L90" s="501"/>
      <c r="M90" s="501"/>
      <c r="N90" s="501"/>
      <c r="O90" s="501"/>
      <c r="P90" s="501"/>
      <c r="Q90" s="501"/>
      <c r="R90" s="501"/>
      <c r="S90" s="501"/>
      <c r="T90" s="501"/>
      <c r="U90" s="501"/>
      <c r="V90" s="501"/>
    </row>
    <row r="91" ht="23.25" customHeight="1">
      <c r="A91" s="501"/>
      <c r="B91" s="501"/>
      <c r="C91" s="501"/>
      <c r="D91" s="501"/>
      <c r="E91" s="501"/>
      <c r="F91" s="501"/>
      <c r="G91" s="501"/>
      <c r="H91" s="501"/>
      <c r="I91" s="501"/>
      <c r="J91" s="501"/>
      <c r="K91" s="501"/>
      <c r="L91" s="501"/>
      <c r="M91" s="501"/>
      <c r="N91" s="501"/>
      <c r="O91" s="501"/>
      <c r="P91" s="501"/>
      <c r="Q91" s="501"/>
      <c r="R91" s="501"/>
      <c r="S91" s="501"/>
      <c r="T91" s="501"/>
      <c r="U91" s="501"/>
      <c r="V91" s="501"/>
    </row>
    <row r="92" ht="23.25" customHeight="1">
      <c r="A92" s="501"/>
      <c r="B92" s="501"/>
      <c r="C92" s="501"/>
      <c r="D92" s="501"/>
      <c r="E92" s="501"/>
      <c r="F92" s="501"/>
      <c r="G92" s="501"/>
      <c r="H92" s="501"/>
      <c r="I92" s="501"/>
      <c r="J92" s="501"/>
      <c r="K92" s="501"/>
      <c r="L92" s="501"/>
      <c r="M92" s="501"/>
      <c r="N92" s="501"/>
      <c r="O92" s="501"/>
      <c r="P92" s="501"/>
      <c r="Q92" s="501"/>
      <c r="R92" s="501"/>
      <c r="S92" s="501"/>
      <c r="T92" s="501"/>
      <c r="U92" s="501"/>
      <c r="V92" s="501"/>
    </row>
    <row r="93" ht="23.25" customHeight="1">
      <c r="A93" s="501"/>
      <c r="B93" s="501"/>
      <c r="C93" s="501"/>
      <c r="D93" s="501"/>
      <c r="E93" s="501"/>
      <c r="F93" s="501"/>
      <c r="G93" s="501"/>
      <c r="H93" s="501"/>
      <c r="I93" s="501"/>
      <c r="J93" s="501"/>
      <c r="K93" s="501"/>
      <c r="L93" s="501"/>
      <c r="M93" s="501"/>
      <c r="N93" s="501"/>
      <c r="O93" s="501"/>
      <c r="P93" s="501"/>
      <c r="Q93" s="501"/>
      <c r="R93" s="501"/>
      <c r="S93" s="501"/>
      <c r="T93" s="501"/>
      <c r="U93" s="501"/>
      <c r="V93" s="501"/>
    </row>
    <row r="94" ht="23.25" customHeight="1">
      <c r="A94" s="501"/>
      <c r="B94" s="501"/>
      <c r="C94" s="501"/>
      <c r="D94" s="501"/>
      <c r="E94" s="501"/>
      <c r="F94" s="501"/>
      <c r="G94" s="501"/>
      <c r="H94" s="501"/>
      <c r="I94" s="501"/>
      <c r="J94" s="501"/>
      <c r="K94" s="501"/>
      <c r="L94" s="501"/>
      <c r="M94" s="501"/>
      <c r="N94" s="501"/>
      <c r="O94" s="501"/>
      <c r="P94" s="501"/>
      <c r="Q94" s="501"/>
      <c r="R94" s="501"/>
      <c r="S94" s="501"/>
      <c r="T94" s="501"/>
      <c r="U94" s="501"/>
      <c r="V94" s="501"/>
    </row>
    <row r="95" ht="23.25" customHeight="1">
      <c r="A95" s="501"/>
      <c r="B95" s="501"/>
      <c r="C95" s="501"/>
      <c r="D95" s="501"/>
      <c r="E95" s="501"/>
      <c r="F95" s="501"/>
      <c r="G95" s="501"/>
      <c r="H95" s="501"/>
      <c r="I95" s="501"/>
      <c r="J95" s="501"/>
      <c r="K95" s="501"/>
      <c r="L95" s="501"/>
      <c r="M95" s="501"/>
      <c r="N95" s="501"/>
      <c r="O95" s="501"/>
      <c r="P95" s="501"/>
      <c r="Q95" s="501"/>
      <c r="R95" s="501"/>
      <c r="S95" s="501"/>
      <c r="T95" s="501"/>
      <c r="U95" s="501"/>
      <c r="V95" s="501"/>
    </row>
    <row r="96" ht="23.25" customHeight="1">
      <c r="A96" s="501"/>
      <c r="B96" s="501"/>
      <c r="C96" s="501"/>
      <c r="D96" s="501"/>
      <c r="E96" s="501"/>
      <c r="F96" s="501"/>
      <c r="G96" s="501"/>
      <c r="H96" s="501"/>
      <c r="I96" s="501"/>
      <c r="J96" s="501"/>
      <c r="K96" s="501"/>
      <c r="L96" s="501"/>
      <c r="M96" s="501"/>
      <c r="N96" s="501"/>
      <c r="O96" s="501"/>
      <c r="P96" s="501"/>
      <c r="Q96" s="501"/>
      <c r="R96" s="501"/>
      <c r="S96" s="501"/>
      <c r="T96" s="501"/>
      <c r="U96" s="501"/>
      <c r="V96" s="501"/>
    </row>
    <row r="97" ht="23.25" customHeight="1">
      <c r="A97" s="501"/>
      <c r="B97" s="501"/>
      <c r="C97" s="501"/>
      <c r="D97" s="501"/>
      <c r="E97" s="501"/>
      <c r="F97" s="501"/>
      <c r="G97" s="501"/>
      <c r="H97" s="501"/>
      <c r="I97" s="501"/>
      <c r="J97" s="501"/>
      <c r="K97" s="501"/>
      <c r="L97" s="501"/>
      <c r="M97" s="501"/>
      <c r="N97" s="501"/>
      <c r="O97" s="501"/>
      <c r="P97" s="501"/>
      <c r="Q97" s="501"/>
      <c r="R97" s="501"/>
      <c r="S97" s="501"/>
      <c r="T97" s="501"/>
      <c r="U97" s="501"/>
      <c r="V97" s="501"/>
    </row>
    <row r="98" ht="23.25" customHeight="1">
      <c r="A98" s="501"/>
      <c r="B98" s="501"/>
      <c r="C98" s="501"/>
      <c r="D98" s="501"/>
      <c r="E98" s="501"/>
      <c r="F98" s="501"/>
      <c r="G98" s="501"/>
      <c r="H98" s="501"/>
      <c r="I98" s="501"/>
      <c r="J98" s="501"/>
      <c r="K98" s="501"/>
      <c r="L98" s="501"/>
      <c r="M98" s="501"/>
      <c r="N98" s="501"/>
      <c r="O98" s="501"/>
      <c r="P98" s="501"/>
      <c r="Q98" s="501"/>
      <c r="R98" s="501"/>
      <c r="S98" s="501"/>
      <c r="T98" s="501"/>
      <c r="U98" s="501"/>
      <c r="V98" s="501"/>
    </row>
    <row r="99" ht="23.25" customHeight="1">
      <c r="A99" s="501"/>
      <c r="B99" s="501"/>
      <c r="C99" s="501"/>
      <c r="D99" s="501"/>
      <c r="E99" s="501"/>
      <c r="F99" s="501"/>
      <c r="G99" s="501"/>
      <c r="H99" s="501"/>
      <c r="I99" s="501"/>
      <c r="J99" s="501"/>
      <c r="K99" s="501"/>
      <c r="L99" s="501"/>
      <c r="M99" s="501"/>
      <c r="N99" s="501"/>
      <c r="O99" s="501"/>
      <c r="P99" s="501"/>
      <c r="Q99" s="501"/>
      <c r="R99" s="501"/>
      <c r="S99" s="501"/>
      <c r="T99" s="501"/>
      <c r="U99" s="501"/>
      <c r="V99" s="501"/>
    </row>
    <row r="100" ht="23.25" customHeight="1">
      <c r="A100" s="501"/>
      <c r="B100" s="501"/>
      <c r="C100" s="501"/>
      <c r="D100" s="501"/>
      <c r="E100" s="501"/>
      <c r="F100" s="501"/>
      <c r="G100" s="501"/>
      <c r="H100" s="501"/>
      <c r="I100" s="501"/>
      <c r="J100" s="501"/>
      <c r="K100" s="501"/>
      <c r="L100" s="501"/>
      <c r="M100" s="501"/>
      <c r="N100" s="501"/>
      <c r="O100" s="501"/>
      <c r="P100" s="501"/>
      <c r="Q100" s="501"/>
      <c r="R100" s="501"/>
      <c r="S100" s="501"/>
      <c r="T100" s="501"/>
      <c r="U100" s="501"/>
      <c r="V100" s="501"/>
    </row>
    <row r="101" ht="23.25" customHeight="1">
      <c r="A101" s="501"/>
      <c r="B101" s="501"/>
      <c r="C101" s="501"/>
      <c r="D101" s="501"/>
      <c r="E101" s="501"/>
      <c r="F101" s="501"/>
      <c r="G101" s="501"/>
      <c r="H101" s="501"/>
      <c r="I101" s="501"/>
      <c r="J101" s="501"/>
      <c r="K101" s="501"/>
      <c r="L101" s="501"/>
      <c r="M101" s="501"/>
      <c r="N101" s="501"/>
      <c r="O101" s="501"/>
      <c r="P101" s="501"/>
      <c r="Q101" s="501"/>
      <c r="R101" s="501"/>
      <c r="S101" s="501"/>
      <c r="T101" s="501"/>
      <c r="U101" s="501"/>
      <c r="V101" s="501"/>
    </row>
    <row r="102" ht="23.25" customHeight="1">
      <c r="A102" s="501"/>
      <c r="B102" s="501"/>
      <c r="C102" s="501"/>
      <c r="D102" s="501"/>
      <c r="E102" s="501"/>
      <c r="F102" s="501"/>
      <c r="G102" s="501"/>
      <c r="H102" s="501"/>
      <c r="I102" s="501"/>
      <c r="J102" s="501"/>
      <c r="K102" s="501"/>
      <c r="L102" s="501"/>
      <c r="M102" s="501"/>
      <c r="N102" s="501"/>
      <c r="O102" s="501"/>
      <c r="P102" s="501"/>
      <c r="Q102" s="501"/>
      <c r="R102" s="501"/>
      <c r="S102" s="501"/>
      <c r="T102" s="501"/>
      <c r="U102" s="501"/>
      <c r="V102" s="501"/>
    </row>
    <row r="103" ht="23.25" customHeight="1">
      <c r="A103" s="501"/>
      <c r="B103" s="501"/>
      <c r="C103" s="501"/>
      <c r="D103" s="501"/>
      <c r="E103" s="501"/>
      <c r="F103" s="501"/>
      <c r="G103" s="501"/>
      <c r="H103" s="501"/>
      <c r="I103" s="501"/>
      <c r="J103" s="501"/>
      <c r="K103" s="501"/>
      <c r="L103" s="501"/>
      <c r="M103" s="501"/>
      <c r="N103" s="501"/>
      <c r="O103" s="501"/>
      <c r="P103" s="501"/>
      <c r="Q103" s="501"/>
      <c r="R103" s="501"/>
      <c r="S103" s="501"/>
      <c r="T103" s="501"/>
      <c r="U103" s="501"/>
      <c r="V103" s="501"/>
    </row>
    <row r="104" ht="23.25" customHeight="1">
      <c r="A104" s="501"/>
      <c r="B104" s="501"/>
      <c r="C104" s="501"/>
      <c r="D104" s="501"/>
      <c r="E104" s="501"/>
      <c r="F104" s="501"/>
      <c r="G104" s="501"/>
      <c r="H104" s="501"/>
      <c r="I104" s="501"/>
      <c r="J104" s="501"/>
      <c r="K104" s="501"/>
      <c r="L104" s="501"/>
      <c r="M104" s="501"/>
      <c r="N104" s="501"/>
      <c r="O104" s="501"/>
      <c r="P104" s="501"/>
      <c r="Q104" s="501"/>
      <c r="R104" s="501"/>
      <c r="S104" s="501"/>
      <c r="T104" s="501"/>
      <c r="U104" s="501"/>
      <c r="V104" s="501"/>
    </row>
    <row r="105" ht="23.25" customHeight="1">
      <c r="A105" s="501"/>
      <c r="B105" s="501"/>
      <c r="C105" s="501"/>
      <c r="D105" s="501"/>
      <c r="E105" s="501"/>
      <c r="F105" s="501"/>
      <c r="G105" s="501"/>
      <c r="H105" s="501"/>
      <c r="I105" s="501"/>
      <c r="J105" s="501"/>
      <c r="K105" s="501"/>
      <c r="L105" s="501"/>
      <c r="M105" s="501"/>
      <c r="N105" s="501"/>
      <c r="O105" s="501"/>
      <c r="P105" s="501"/>
      <c r="Q105" s="501"/>
      <c r="R105" s="501"/>
      <c r="S105" s="501"/>
      <c r="T105" s="501"/>
      <c r="U105" s="501"/>
      <c r="V105" s="501"/>
    </row>
    <row r="106" ht="23.25" customHeight="1">
      <c r="A106" s="501"/>
      <c r="B106" s="501"/>
      <c r="C106" s="501"/>
      <c r="D106" s="501"/>
      <c r="E106" s="501"/>
      <c r="F106" s="501"/>
      <c r="G106" s="501"/>
      <c r="H106" s="501"/>
      <c r="I106" s="501"/>
      <c r="J106" s="501"/>
      <c r="K106" s="501"/>
      <c r="L106" s="501"/>
      <c r="M106" s="501"/>
      <c r="N106" s="501"/>
      <c r="O106" s="501"/>
      <c r="P106" s="501"/>
      <c r="Q106" s="501"/>
      <c r="R106" s="501"/>
      <c r="S106" s="501"/>
      <c r="T106" s="501"/>
      <c r="U106" s="501"/>
      <c r="V106" s="501"/>
    </row>
    <row r="107" ht="23.25" customHeight="1">
      <c r="A107" s="501"/>
      <c r="B107" s="501"/>
      <c r="C107" s="501"/>
      <c r="D107" s="501"/>
      <c r="E107" s="501"/>
      <c r="F107" s="501"/>
      <c r="G107" s="501"/>
      <c r="H107" s="501"/>
      <c r="I107" s="501"/>
      <c r="J107" s="501"/>
      <c r="K107" s="501"/>
      <c r="L107" s="501"/>
      <c r="M107" s="501"/>
      <c r="N107" s="501"/>
      <c r="O107" s="501"/>
      <c r="P107" s="501"/>
      <c r="Q107" s="501"/>
      <c r="R107" s="501"/>
      <c r="S107" s="501"/>
      <c r="T107" s="501"/>
      <c r="U107" s="501"/>
      <c r="V107" s="501"/>
    </row>
    <row r="108" ht="23.25" customHeight="1">
      <c r="A108" s="501"/>
      <c r="B108" s="501"/>
      <c r="C108" s="501"/>
      <c r="D108" s="501"/>
      <c r="E108" s="501"/>
      <c r="F108" s="501"/>
      <c r="G108" s="501"/>
      <c r="H108" s="501"/>
      <c r="I108" s="501"/>
      <c r="J108" s="501"/>
      <c r="K108" s="501"/>
      <c r="L108" s="501"/>
      <c r="M108" s="501"/>
      <c r="N108" s="501"/>
      <c r="O108" s="501"/>
      <c r="P108" s="501"/>
      <c r="Q108" s="501"/>
      <c r="R108" s="501"/>
      <c r="S108" s="501"/>
      <c r="T108" s="501"/>
      <c r="U108" s="501"/>
      <c r="V108" s="501"/>
    </row>
    <row r="109" ht="23.25" customHeight="1">
      <c r="A109" s="501"/>
      <c r="B109" s="501"/>
      <c r="C109" s="501"/>
      <c r="D109" s="501"/>
      <c r="E109" s="501"/>
      <c r="F109" s="501"/>
      <c r="G109" s="501"/>
      <c r="H109" s="501"/>
      <c r="I109" s="501"/>
      <c r="J109" s="501"/>
      <c r="K109" s="501"/>
      <c r="L109" s="501"/>
      <c r="M109" s="501"/>
      <c r="N109" s="501"/>
      <c r="O109" s="501"/>
      <c r="P109" s="501"/>
      <c r="Q109" s="501"/>
      <c r="R109" s="501"/>
      <c r="S109" s="501"/>
      <c r="T109" s="501"/>
      <c r="U109" s="501"/>
      <c r="V109" s="501"/>
    </row>
    <row r="110" ht="23.25" customHeight="1">
      <c r="A110" s="501"/>
      <c r="B110" s="501"/>
      <c r="C110" s="501"/>
      <c r="D110" s="501"/>
      <c r="E110" s="501"/>
      <c r="F110" s="501"/>
      <c r="G110" s="501"/>
      <c r="H110" s="501"/>
      <c r="I110" s="501"/>
      <c r="J110" s="501"/>
      <c r="K110" s="501"/>
      <c r="L110" s="501"/>
      <c r="M110" s="501"/>
      <c r="N110" s="501"/>
      <c r="O110" s="501"/>
      <c r="P110" s="501"/>
      <c r="Q110" s="501"/>
      <c r="R110" s="501"/>
      <c r="S110" s="501"/>
      <c r="T110" s="501"/>
      <c r="U110" s="501"/>
      <c r="V110" s="501"/>
    </row>
    <row r="111" ht="23.25" customHeight="1">
      <c r="A111" s="501"/>
      <c r="B111" s="501"/>
      <c r="C111" s="501"/>
      <c r="D111" s="501"/>
      <c r="E111" s="501"/>
      <c r="F111" s="501"/>
      <c r="G111" s="501"/>
      <c r="H111" s="501"/>
      <c r="I111" s="501"/>
      <c r="J111" s="501"/>
      <c r="K111" s="501"/>
      <c r="L111" s="501"/>
      <c r="M111" s="501"/>
      <c r="N111" s="501"/>
      <c r="O111" s="501"/>
      <c r="P111" s="501"/>
      <c r="Q111" s="501"/>
      <c r="R111" s="501"/>
      <c r="S111" s="501"/>
      <c r="T111" s="501"/>
      <c r="U111" s="501"/>
      <c r="V111" s="501"/>
    </row>
    <row r="112" ht="23.25" customHeight="1">
      <c r="A112" s="501"/>
      <c r="B112" s="501"/>
      <c r="C112" s="501"/>
      <c r="D112" s="501"/>
      <c r="E112" s="501"/>
      <c r="F112" s="501"/>
      <c r="G112" s="501"/>
      <c r="H112" s="501"/>
      <c r="I112" s="501"/>
      <c r="J112" s="501"/>
      <c r="K112" s="501"/>
      <c r="L112" s="501"/>
      <c r="M112" s="501"/>
      <c r="N112" s="501"/>
      <c r="O112" s="501"/>
      <c r="P112" s="501"/>
      <c r="Q112" s="501"/>
      <c r="R112" s="501"/>
      <c r="S112" s="501"/>
      <c r="T112" s="501"/>
      <c r="U112" s="501"/>
      <c r="V112" s="501"/>
    </row>
    <row r="113" ht="23.25" customHeight="1">
      <c r="A113" s="501"/>
      <c r="B113" s="501"/>
      <c r="C113" s="501"/>
      <c r="D113" s="501"/>
      <c r="E113" s="501"/>
      <c r="F113" s="501"/>
      <c r="G113" s="501"/>
      <c r="H113" s="501"/>
      <c r="I113" s="501"/>
      <c r="J113" s="501"/>
      <c r="K113" s="501"/>
      <c r="L113" s="501"/>
      <c r="M113" s="501"/>
      <c r="N113" s="501"/>
      <c r="O113" s="501"/>
      <c r="P113" s="501"/>
      <c r="Q113" s="501"/>
      <c r="R113" s="501"/>
      <c r="S113" s="501"/>
      <c r="T113" s="501"/>
      <c r="U113" s="501"/>
      <c r="V113" s="501"/>
    </row>
    <row r="114" ht="23.25" customHeight="1">
      <c r="A114" s="501"/>
      <c r="B114" s="501"/>
      <c r="C114" s="501"/>
      <c r="D114" s="501"/>
      <c r="E114" s="501"/>
      <c r="F114" s="501"/>
      <c r="G114" s="501"/>
      <c r="H114" s="501"/>
      <c r="I114" s="501"/>
      <c r="J114" s="501"/>
      <c r="K114" s="501"/>
      <c r="L114" s="501"/>
      <c r="M114" s="501"/>
      <c r="N114" s="501"/>
      <c r="O114" s="501"/>
      <c r="P114" s="501"/>
      <c r="Q114" s="501"/>
      <c r="R114" s="501"/>
      <c r="S114" s="501"/>
      <c r="T114" s="501"/>
      <c r="U114" s="501"/>
      <c r="V114" s="501"/>
    </row>
    <row r="115" ht="23.25" customHeight="1">
      <c r="A115" s="501"/>
      <c r="B115" s="501"/>
      <c r="C115" s="501"/>
      <c r="D115" s="501"/>
      <c r="E115" s="501"/>
      <c r="F115" s="501"/>
      <c r="G115" s="501"/>
      <c r="H115" s="501"/>
      <c r="I115" s="501"/>
      <c r="J115" s="501"/>
      <c r="K115" s="501"/>
      <c r="L115" s="501"/>
      <c r="M115" s="501"/>
      <c r="N115" s="501"/>
      <c r="O115" s="501"/>
      <c r="P115" s="501"/>
      <c r="Q115" s="501"/>
      <c r="R115" s="501"/>
      <c r="S115" s="501"/>
      <c r="T115" s="501"/>
      <c r="U115" s="501"/>
      <c r="V115" s="501"/>
    </row>
    <row r="116" ht="23.25" customHeight="1">
      <c r="A116" s="501"/>
      <c r="B116" s="501"/>
      <c r="C116" s="501"/>
      <c r="D116" s="501"/>
      <c r="E116" s="501"/>
      <c r="F116" s="501"/>
      <c r="G116" s="501"/>
      <c r="H116" s="501"/>
      <c r="I116" s="501"/>
      <c r="J116" s="501"/>
      <c r="K116" s="501"/>
      <c r="L116" s="501"/>
      <c r="M116" s="501"/>
      <c r="N116" s="501"/>
      <c r="O116" s="501"/>
      <c r="P116" s="501"/>
      <c r="Q116" s="501"/>
      <c r="R116" s="501"/>
      <c r="S116" s="501"/>
      <c r="T116" s="501"/>
      <c r="U116" s="501"/>
      <c r="V116" s="501"/>
    </row>
    <row r="117" ht="23.25" customHeight="1">
      <c r="A117" s="501"/>
      <c r="B117" s="501"/>
      <c r="C117" s="501"/>
      <c r="D117" s="501"/>
      <c r="E117" s="501"/>
      <c r="F117" s="501"/>
      <c r="G117" s="501"/>
      <c r="H117" s="501"/>
      <c r="I117" s="501"/>
      <c r="J117" s="501"/>
      <c r="K117" s="501"/>
      <c r="L117" s="501"/>
      <c r="M117" s="501"/>
      <c r="N117" s="501"/>
      <c r="O117" s="501"/>
      <c r="P117" s="501"/>
      <c r="Q117" s="501"/>
      <c r="R117" s="501"/>
      <c r="S117" s="501"/>
      <c r="T117" s="501"/>
      <c r="U117" s="501"/>
      <c r="V117" s="501"/>
    </row>
    <row r="118" ht="23.25" customHeight="1">
      <c r="A118" s="501"/>
      <c r="B118" s="501"/>
      <c r="C118" s="501"/>
      <c r="D118" s="501"/>
      <c r="E118" s="501"/>
      <c r="F118" s="501"/>
      <c r="G118" s="501"/>
      <c r="H118" s="501"/>
      <c r="I118" s="501"/>
      <c r="J118" s="501"/>
      <c r="K118" s="501"/>
      <c r="L118" s="501"/>
      <c r="M118" s="501"/>
      <c r="N118" s="501"/>
      <c r="O118" s="501"/>
      <c r="P118" s="501"/>
      <c r="Q118" s="501"/>
      <c r="R118" s="501"/>
      <c r="S118" s="501"/>
      <c r="T118" s="501"/>
      <c r="U118" s="501"/>
      <c r="V118" s="501"/>
    </row>
    <row r="119" ht="23.25" customHeight="1">
      <c r="A119" s="501"/>
      <c r="B119" s="501"/>
      <c r="C119" s="501"/>
      <c r="D119" s="501"/>
      <c r="E119" s="501"/>
      <c r="F119" s="501"/>
      <c r="G119" s="501"/>
      <c r="H119" s="501"/>
      <c r="I119" s="501"/>
      <c r="J119" s="501"/>
      <c r="K119" s="501"/>
      <c r="L119" s="501"/>
      <c r="M119" s="501"/>
      <c r="N119" s="501"/>
      <c r="O119" s="501"/>
      <c r="P119" s="501"/>
      <c r="Q119" s="501"/>
      <c r="R119" s="501"/>
      <c r="S119" s="501"/>
      <c r="T119" s="501"/>
      <c r="U119" s="501"/>
      <c r="V119" s="501"/>
    </row>
    <row r="120" ht="23.25" customHeight="1">
      <c r="A120" s="501"/>
      <c r="B120" s="501"/>
      <c r="C120" s="501"/>
      <c r="D120" s="501"/>
      <c r="E120" s="501"/>
      <c r="F120" s="501"/>
      <c r="G120" s="501"/>
      <c r="H120" s="501"/>
      <c r="I120" s="501"/>
      <c r="J120" s="501"/>
      <c r="K120" s="501"/>
      <c r="L120" s="501"/>
      <c r="M120" s="501"/>
      <c r="N120" s="501"/>
      <c r="O120" s="501"/>
      <c r="P120" s="501"/>
      <c r="Q120" s="501"/>
      <c r="R120" s="501"/>
      <c r="S120" s="501"/>
      <c r="T120" s="501"/>
      <c r="U120" s="501"/>
      <c r="V120" s="501"/>
    </row>
    <row r="121" ht="23.25" customHeight="1">
      <c r="A121" s="501"/>
      <c r="B121" s="501"/>
      <c r="C121" s="501"/>
      <c r="D121" s="501"/>
      <c r="E121" s="501"/>
      <c r="F121" s="501"/>
      <c r="G121" s="501"/>
      <c r="H121" s="501"/>
      <c r="I121" s="501"/>
      <c r="J121" s="501"/>
      <c r="K121" s="501"/>
      <c r="L121" s="501"/>
      <c r="M121" s="501"/>
      <c r="N121" s="501"/>
      <c r="O121" s="501"/>
      <c r="P121" s="501"/>
      <c r="Q121" s="501"/>
      <c r="R121" s="501"/>
      <c r="S121" s="501"/>
      <c r="T121" s="501"/>
      <c r="U121" s="501"/>
      <c r="V121" s="501"/>
    </row>
    <row r="122" ht="23.25" customHeight="1">
      <c r="A122" s="501"/>
      <c r="B122" s="501"/>
      <c r="C122" s="501"/>
      <c r="D122" s="501"/>
      <c r="E122" s="501"/>
      <c r="F122" s="501"/>
      <c r="G122" s="501"/>
      <c r="H122" s="501"/>
      <c r="I122" s="501"/>
      <c r="J122" s="501"/>
      <c r="K122" s="501"/>
      <c r="L122" s="501"/>
      <c r="M122" s="501"/>
      <c r="N122" s="501"/>
      <c r="O122" s="501"/>
      <c r="P122" s="501"/>
      <c r="Q122" s="501"/>
      <c r="R122" s="501"/>
      <c r="S122" s="501"/>
      <c r="T122" s="501"/>
      <c r="U122" s="501"/>
      <c r="V122" s="501"/>
    </row>
    <row r="123" ht="23.25" customHeight="1">
      <c r="A123" s="501"/>
      <c r="B123" s="501"/>
      <c r="C123" s="501"/>
      <c r="D123" s="501"/>
      <c r="E123" s="501"/>
      <c r="F123" s="501"/>
      <c r="G123" s="501"/>
      <c r="H123" s="501"/>
      <c r="I123" s="501"/>
      <c r="J123" s="501"/>
      <c r="K123" s="501"/>
      <c r="L123" s="501"/>
      <c r="M123" s="501"/>
      <c r="N123" s="501"/>
      <c r="O123" s="501"/>
      <c r="P123" s="501"/>
      <c r="Q123" s="501"/>
      <c r="R123" s="501"/>
      <c r="S123" s="501"/>
      <c r="T123" s="501"/>
      <c r="U123" s="501"/>
      <c r="V123" s="501"/>
    </row>
    <row r="124" ht="23.25" customHeight="1">
      <c r="A124" s="501"/>
      <c r="B124" s="501"/>
      <c r="C124" s="501"/>
      <c r="D124" s="501"/>
      <c r="E124" s="501"/>
      <c r="F124" s="501"/>
      <c r="G124" s="501"/>
      <c r="H124" s="501"/>
      <c r="I124" s="501"/>
      <c r="J124" s="501"/>
      <c r="K124" s="501"/>
      <c r="L124" s="501"/>
      <c r="M124" s="501"/>
      <c r="N124" s="501"/>
      <c r="O124" s="501"/>
      <c r="P124" s="501"/>
      <c r="Q124" s="501"/>
      <c r="R124" s="501"/>
      <c r="S124" s="501"/>
      <c r="T124" s="501"/>
      <c r="U124" s="501"/>
      <c r="V124" s="501"/>
    </row>
    <row r="125" ht="23.25" customHeight="1">
      <c r="A125" s="501"/>
      <c r="B125" s="501"/>
      <c r="C125" s="501"/>
      <c r="D125" s="501"/>
      <c r="E125" s="501"/>
      <c r="F125" s="501"/>
      <c r="G125" s="501"/>
      <c r="H125" s="501"/>
      <c r="I125" s="501"/>
      <c r="J125" s="501"/>
      <c r="K125" s="501"/>
      <c r="L125" s="501"/>
      <c r="M125" s="501"/>
      <c r="N125" s="501"/>
      <c r="O125" s="501"/>
      <c r="P125" s="501"/>
      <c r="Q125" s="501"/>
      <c r="R125" s="501"/>
      <c r="S125" s="501"/>
      <c r="T125" s="501"/>
      <c r="U125" s="501"/>
      <c r="V125" s="501"/>
    </row>
    <row r="126" ht="23.25" customHeight="1">
      <c r="A126" s="501"/>
      <c r="B126" s="501"/>
      <c r="C126" s="501"/>
      <c r="D126" s="501"/>
      <c r="E126" s="501"/>
      <c r="F126" s="501"/>
      <c r="G126" s="501"/>
      <c r="H126" s="501"/>
      <c r="I126" s="501"/>
      <c r="J126" s="501"/>
      <c r="K126" s="501"/>
      <c r="L126" s="501"/>
      <c r="M126" s="501"/>
      <c r="N126" s="501"/>
      <c r="O126" s="501"/>
      <c r="P126" s="501"/>
      <c r="Q126" s="501"/>
      <c r="R126" s="501"/>
      <c r="S126" s="501"/>
      <c r="T126" s="501"/>
      <c r="U126" s="501"/>
      <c r="V126" s="501"/>
    </row>
    <row r="127" ht="23.25" customHeight="1">
      <c r="A127" s="501"/>
      <c r="B127" s="501"/>
      <c r="C127" s="501"/>
      <c r="D127" s="501"/>
      <c r="E127" s="501"/>
      <c r="F127" s="501"/>
      <c r="G127" s="501"/>
      <c r="H127" s="501"/>
      <c r="I127" s="501"/>
      <c r="J127" s="501"/>
      <c r="K127" s="501"/>
      <c r="L127" s="501"/>
      <c r="M127" s="501"/>
      <c r="N127" s="501"/>
      <c r="O127" s="501"/>
      <c r="P127" s="501"/>
      <c r="Q127" s="501"/>
      <c r="R127" s="501"/>
      <c r="S127" s="501"/>
      <c r="T127" s="501"/>
      <c r="U127" s="501"/>
      <c r="V127" s="501"/>
    </row>
    <row r="128" ht="23.25" customHeight="1">
      <c r="A128" s="501"/>
      <c r="B128" s="501"/>
      <c r="C128" s="501"/>
      <c r="D128" s="501"/>
      <c r="E128" s="501"/>
      <c r="F128" s="501"/>
      <c r="G128" s="501"/>
      <c r="H128" s="501"/>
      <c r="I128" s="501"/>
      <c r="J128" s="501"/>
      <c r="K128" s="501"/>
      <c r="L128" s="501"/>
      <c r="M128" s="501"/>
      <c r="N128" s="501"/>
      <c r="O128" s="501"/>
      <c r="P128" s="501"/>
      <c r="Q128" s="501"/>
      <c r="R128" s="501"/>
      <c r="S128" s="501"/>
      <c r="T128" s="501"/>
      <c r="U128" s="501"/>
      <c r="V128" s="501"/>
    </row>
    <row r="129" ht="23.25" customHeight="1">
      <c r="A129" s="501"/>
      <c r="B129" s="501"/>
      <c r="C129" s="501"/>
      <c r="D129" s="501"/>
      <c r="E129" s="501"/>
      <c r="F129" s="501"/>
      <c r="G129" s="501"/>
      <c r="H129" s="501"/>
      <c r="I129" s="501"/>
      <c r="J129" s="501"/>
      <c r="K129" s="501"/>
      <c r="L129" s="501"/>
      <c r="M129" s="501"/>
      <c r="N129" s="501"/>
      <c r="O129" s="501"/>
      <c r="P129" s="501"/>
      <c r="Q129" s="501"/>
      <c r="R129" s="501"/>
      <c r="S129" s="501"/>
      <c r="T129" s="501"/>
      <c r="U129" s="501"/>
      <c r="V129" s="501"/>
    </row>
    <row r="130" ht="23.25" customHeight="1">
      <c r="A130" s="501"/>
      <c r="B130" s="501"/>
      <c r="C130" s="501"/>
      <c r="D130" s="501"/>
      <c r="E130" s="501"/>
      <c r="F130" s="501"/>
      <c r="G130" s="501"/>
      <c r="H130" s="501"/>
      <c r="I130" s="501"/>
      <c r="J130" s="501"/>
      <c r="K130" s="501"/>
      <c r="L130" s="501"/>
      <c r="M130" s="501"/>
      <c r="N130" s="501"/>
      <c r="O130" s="501"/>
      <c r="P130" s="501"/>
      <c r="Q130" s="501"/>
      <c r="R130" s="501"/>
      <c r="S130" s="501"/>
      <c r="T130" s="501"/>
      <c r="U130" s="501"/>
      <c r="V130" s="501"/>
    </row>
    <row r="131" ht="23.25" customHeight="1">
      <c r="A131" s="501"/>
      <c r="B131" s="501"/>
      <c r="C131" s="501"/>
      <c r="D131" s="501"/>
      <c r="E131" s="501"/>
      <c r="F131" s="501"/>
      <c r="G131" s="501"/>
      <c r="H131" s="501"/>
      <c r="I131" s="501"/>
      <c r="J131" s="501"/>
      <c r="K131" s="501"/>
      <c r="L131" s="501"/>
      <c r="M131" s="501"/>
      <c r="N131" s="501"/>
      <c r="O131" s="501"/>
      <c r="P131" s="501"/>
      <c r="Q131" s="501"/>
      <c r="R131" s="501"/>
      <c r="S131" s="501"/>
      <c r="T131" s="501"/>
      <c r="U131" s="501"/>
      <c r="V131" s="501"/>
    </row>
    <row r="132" ht="23.25" customHeight="1">
      <c r="A132" s="501"/>
      <c r="B132" s="501"/>
      <c r="C132" s="501"/>
      <c r="D132" s="501"/>
      <c r="E132" s="501"/>
      <c r="F132" s="501"/>
      <c r="G132" s="501"/>
      <c r="H132" s="501"/>
      <c r="I132" s="501"/>
      <c r="J132" s="501"/>
      <c r="K132" s="501"/>
      <c r="L132" s="501"/>
      <c r="M132" s="501"/>
      <c r="N132" s="501"/>
      <c r="O132" s="501"/>
      <c r="P132" s="501"/>
      <c r="Q132" s="501"/>
      <c r="R132" s="501"/>
      <c r="S132" s="501"/>
      <c r="T132" s="501"/>
      <c r="U132" s="501"/>
      <c r="V132" s="501"/>
    </row>
    <row r="133" ht="23.25" customHeight="1">
      <c r="A133" s="501"/>
      <c r="B133" s="501"/>
      <c r="C133" s="501"/>
      <c r="D133" s="501"/>
      <c r="E133" s="501"/>
      <c r="F133" s="501"/>
      <c r="G133" s="501"/>
      <c r="H133" s="501"/>
      <c r="I133" s="501"/>
      <c r="J133" s="501"/>
      <c r="K133" s="501"/>
      <c r="L133" s="501"/>
      <c r="M133" s="501"/>
      <c r="N133" s="501"/>
      <c r="O133" s="501"/>
      <c r="P133" s="501"/>
      <c r="Q133" s="501"/>
      <c r="R133" s="501"/>
      <c r="S133" s="501"/>
      <c r="T133" s="501"/>
      <c r="U133" s="501"/>
      <c r="V133" s="501"/>
    </row>
    <row r="134" ht="23.25" customHeight="1">
      <c r="A134" s="501"/>
      <c r="B134" s="501"/>
      <c r="C134" s="501"/>
      <c r="D134" s="501"/>
      <c r="E134" s="501"/>
      <c r="F134" s="501"/>
      <c r="G134" s="501"/>
      <c r="H134" s="501"/>
      <c r="I134" s="501"/>
      <c r="J134" s="501"/>
      <c r="K134" s="501"/>
      <c r="L134" s="501"/>
      <c r="M134" s="501"/>
      <c r="N134" s="501"/>
      <c r="O134" s="501"/>
      <c r="P134" s="501"/>
      <c r="Q134" s="501"/>
      <c r="R134" s="501"/>
      <c r="S134" s="501"/>
      <c r="T134" s="501"/>
      <c r="U134" s="501"/>
      <c r="V134" s="501"/>
    </row>
    <row r="135" ht="23.25" customHeight="1">
      <c r="A135" s="501"/>
      <c r="B135" s="501"/>
      <c r="C135" s="501"/>
      <c r="D135" s="501"/>
      <c r="E135" s="501"/>
      <c r="F135" s="501"/>
      <c r="G135" s="501"/>
      <c r="H135" s="501"/>
      <c r="I135" s="501"/>
      <c r="J135" s="501"/>
      <c r="K135" s="501"/>
      <c r="L135" s="501"/>
      <c r="M135" s="501"/>
      <c r="N135" s="501"/>
      <c r="O135" s="501"/>
      <c r="P135" s="501"/>
      <c r="Q135" s="501"/>
      <c r="R135" s="501"/>
      <c r="S135" s="501"/>
      <c r="T135" s="501"/>
      <c r="U135" s="501"/>
      <c r="V135" s="501"/>
    </row>
    <row r="136" ht="23.25" customHeight="1">
      <c r="A136" s="501"/>
      <c r="B136" s="501"/>
      <c r="C136" s="501"/>
      <c r="D136" s="501"/>
      <c r="E136" s="501"/>
      <c r="F136" s="501"/>
      <c r="G136" s="501"/>
      <c r="H136" s="501"/>
      <c r="I136" s="501"/>
      <c r="J136" s="501"/>
      <c r="K136" s="501"/>
      <c r="L136" s="501"/>
      <c r="M136" s="501"/>
      <c r="N136" s="501"/>
      <c r="O136" s="501"/>
      <c r="P136" s="501"/>
      <c r="Q136" s="501"/>
      <c r="R136" s="501"/>
      <c r="S136" s="501"/>
      <c r="T136" s="501"/>
      <c r="U136" s="501"/>
      <c r="V136" s="501"/>
    </row>
    <row r="137" ht="23.25" customHeight="1">
      <c r="A137" s="501"/>
      <c r="B137" s="501"/>
      <c r="C137" s="501"/>
      <c r="D137" s="501"/>
      <c r="E137" s="501"/>
      <c r="F137" s="501"/>
      <c r="G137" s="501"/>
      <c r="H137" s="501"/>
      <c r="I137" s="501"/>
      <c r="J137" s="501"/>
      <c r="K137" s="501"/>
      <c r="L137" s="501"/>
      <c r="M137" s="501"/>
      <c r="N137" s="501"/>
      <c r="O137" s="501"/>
      <c r="P137" s="501"/>
      <c r="Q137" s="501"/>
      <c r="R137" s="501"/>
      <c r="S137" s="501"/>
      <c r="T137" s="501"/>
      <c r="U137" s="501"/>
      <c r="V137" s="501"/>
    </row>
    <row r="138" ht="23.25" customHeight="1">
      <c r="A138" s="501"/>
      <c r="B138" s="501"/>
      <c r="C138" s="501"/>
      <c r="D138" s="501"/>
      <c r="E138" s="501"/>
      <c r="F138" s="501"/>
      <c r="G138" s="501"/>
      <c r="H138" s="501"/>
      <c r="I138" s="501"/>
      <c r="J138" s="501"/>
      <c r="K138" s="501"/>
      <c r="L138" s="501"/>
      <c r="M138" s="501"/>
      <c r="N138" s="501"/>
      <c r="O138" s="501"/>
      <c r="P138" s="501"/>
      <c r="Q138" s="501"/>
      <c r="R138" s="501"/>
      <c r="S138" s="501"/>
      <c r="T138" s="501"/>
      <c r="U138" s="501"/>
      <c r="V138" s="501"/>
    </row>
    <row r="139" ht="23.25" customHeight="1">
      <c r="A139" s="501"/>
      <c r="B139" s="501"/>
      <c r="C139" s="501"/>
      <c r="D139" s="501"/>
      <c r="E139" s="501"/>
      <c r="F139" s="501"/>
      <c r="G139" s="501"/>
      <c r="H139" s="501"/>
      <c r="I139" s="501"/>
      <c r="J139" s="501"/>
      <c r="K139" s="501"/>
      <c r="L139" s="501"/>
      <c r="M139" s="501"/>
      <c r="N139" s="501"/>
      <c r="O139" s="501"/>
      <c r="P139" s="501"/>
      <c r="Q139" s="501"/>
      <c r="R139" s="501"/>
      <c r="S139" s="501"/>
      <c r="T139" s="501"/>
      <c r="U139" s="501"/>
      <c r="V139" s="501"/>
    </row>
    <row r="140" ht="23.25" customHeight="1">
      <c r="A140" s="501"/>
      <c r="B140" s="501"/>
      <c r="C140" s="501"/>
      <c r="D140" s="501"/>
      <c r="E140" s="501"/>
      <c r="F140" s="501"/>
      <c r="G140" s="501"/>
      <c r="H140" s="501"/>
      <c r="I140" s="501"/>
      <c r="J140" s="501"/>
      <c r="K140" s="501"/>
      <c r="L140" s="501"/>
      <c r="M140" s="501"/>
      <c r="N140" s="501"/>
      <c r="O140" s="501"/>
      <c r="P140" s="501"/>
      <c r="Q140" s="501"/>
      <c r="R140" s="501"/>
      <c r="S140" s="501"/>
      <c r="T140" s="501"/>
      <c r="U140" s="501"/>
      <c r="V140" s="501"/>
    </row>
    <row r="141" ht="23.25" customHeight="1">
      <c r="A141" s="501"/>
      <c r="B141" s="501"/>
      <c r="C141" s="501"/>
      <c r="D141" s="501"/>
      <c r="E141" s="501"/>
      <c r="F141" s="501"/>
      <c r="G141" s="501"/>
      <c r="H141" s="501"/>
      <c r="I141" s="501"/>
      <c r="J141" s="501"/>
      <c r="K141" s="501"/>
      <c r="L141" s="501"/>
      <c r="M141" s="501"/>
      <c r="N141" s="501"/>
      <c r="O141" s="501"/>
      <c r="P141" s="501"/>
      <c r="Q141" s="501"/>
      <c r="R141" s="501"/>
      <c r="S141" s="501"/>
      <c r="T141" s="501"/>
      <c r="U141" s="501"/>
      <c r="V141" s="501"/>
    </row>
    <row r="142" ht="23.25" customHeight="1">
      <c r="A142" s="501"/>
      <c r="B142" s="501"/>
      <c r="C142" s="501"/>
      <c r="D142" s="501"/>
      <c r="E142" s="501"/>
      <c r="F142" s="501"/>
      <c r="G142" s="501"/>
      <c r="H142" s="501"/>
      <c r="I142" s="501"/>
      <c r="J142" s="501"/>
      <c r="K142" s="501"/>
      <c r="L142" s="501"/>
      <c r="M142" s="501"/>
      <c r="N142" s="501"/>
      <c r="O142" s="501"/>
      <c r="P142" s="501"/>
      <c r="Q142" s="501"/>
      <c r="R142" s="501"/>
      <c r="S142" s="501"/>
      <c r="T142" s="501"/>
      <c r="U142" s="501"/>
      <c r="V142" s="501"/>
    </row>
    <row r="143" ht="23.25" customHeight="1">
      <c r="A143" s="501"/>
      <c r="B143" s="501"/>
      <c r="C143" s="501"/>
      <c r="D143" s="501"/>
      <c r="E143" s="501"/>
      <c r="F143" s="501"/>
      <c r="G143" s="501"/>
      <c r="H143" s="501"/>
      <c r="I143" s="501"/>
      <c r="J143" s="501"/>
      <c r="K143" s="501"/>
      <c r="L143" s="501"/>
      <c r="M143" s="501"/>
      <c r="N143" s="501"/>
      <c r="O143" s="501"/>
      <c r="P143" s="501"/>
      <c r="Q143" s="501"/>
      <c r="R143" s="501"/>
      <c r="S143" s="501"/>
      <c r="T143" s="501"/>
      <c r="U143" s="501"/>
      <c r="V143" s="501"/>
    </row>
    <row r="144" ht="23.25" customHeight="1">
      <c r="A144" s="501"/>
      <c r="B144" s="501"/>
      <c r="C144" s="501"/>
      <c r="D144" s="501"/>
      <c r="E144" s="501"/>
      <c r="F144" s="501"/>
      <c r="G144" s="501"/>
      <c r="H144" s="501"/>
      <c r="I144" s="501"/>
      <c r="J144" s="501"/>
      <c r="K144" s="501"/>
      <c r="L144" s="501"/>
      <c r="M144" s="501"/>
      <c r="N144" s="501"/>
      <c r="O144" s="501"/>
      <c r="P144" s="501"/>
      <c r="Q144" s="501"/>
      <c r="R144" s="501"/>
      <c r="S144" s="501"/>
      <c r="T144" s="501"/>
      <c r="U144" s="501"/>
      <c r="V144" s="501"/>
    </row>
    <row r="145" ht="23.25" customHeight="1">
      <c r="A145" s="501"/>
      <c r="B145" s="501"/>
      <c r="C145" s="501"/>
      <c r="D145" s="501"/>
      <c r="E145" s="501"/>
      <c r="F145" s="501"/>
      <c r="G145" s="501"/>
      <c r="H145" s="501"/>
      <c r="I145" s="501"/>
      <c r="J145" s="501"/>
      <c r="K145" s="501"/>
      <c r="L145" s="501"/>
      <c r="M145" s="501"/>
      <c r="N145" s="501"/>
      <c r="O145" s="501"/>
      <c r="P145" s="501"/>
      <c r="Q145" s="501"/>
      <c r="R145" s="501"/>
      <c r="S145" s="501"/>
      <c r="T145" s="501"/>
      <c r="U145" s="501"/>
      <c r="V145" s="501"/>
    </row>
    <row r="146" ht="23.25" customHeight="1">
      <c r="A146" s="501"/>
      <c r="B146" s="501"/>
      <c r="C146" s="501"/>
      <c r="D146" s="501"/>
      <c r="E146" s="501"/>
      <c r="F146" s="501"/>
      <c r="G146" s="501"/>
      <c r="H146" s="501"/>
      <c r="I146" s="501"/>
      <c r="J146" s="501"/>
      <c r="K146" s="501"/>
      <c r="L146" s="501"/>
      <c r="M146" s="501"/>
      <c r="N146" s="501"/>
      <c r="O146" s="501"/>
      <c r="P146" s="501"/>
      <c r="Q146" s="501"/>
      <c r="R146" s="501"/>
      <c r="S146" s="501"/>
      <c r="T146" s="501"/>
      <c r="U146" s="501"/>
      <c r="V146" s="501"/>
    </row>
    <row r="147" ht="23.25" customHeight="1">
      <c r="A147" s="501"/>
      <c r="B147" s="501"/>
      <c r="C147" s="501"/>
      <c r="D147" s="501"/>
      <c r="E147" s="501"/>
      <c r="F147" s="501"/>
      <c r="G147" s="501"/>
      <c r="H147" s="501"/>
      <c r="I147" s="501"/>
      <c r="J147" s="501"/>
      <c r="K147" s="501"/>
      <c r="L147" s="501"/>
      <c r="M147" s="501"/>
      <c r="N147" s="501"/>
      <c r="O147" s="501"/>
      <c r="P147" s="501"/>
      <c r="Q147" s="501"/>
      <c r="R147" s="501"/>
      <c r="S147" s="501"/>
      <c r="T147" s="501"/>
      <c r="U147" s="501"/>
      <c r="V147" s="501"/>
    </row>
    <row r="148" ht="23.25" customHeight="1">
      <c r="A148" s="501"/>
      <c r="B148" s="501"/>
      <c r="C148" s="501"/>
      <c r="D148" s="501"/>
      <c r="E148" s="501"/>
      <c r="F148" s="501"/>
      <c r="G148" s="501"/>
      <c r="H148" s="501"/>
      <c r="I148" s="501"/>
      <c r="J148" s="501"/>
      <c r="K148" s="501"/>
      <c r="L148" s="501"/>
      <c r="M148" s="501"/>
      <c r="N148" s="501"/>
      <c r="O148" s="501"/>
      <c r="P148" s="501"/>
      <c r="Q148" s="501"/>
      <c r="R148" s="501"/>
      <c r="S148" s="501"/>
      <c r="T148" s="501"/>
      <c r="U148" s="501"/>
      <c r="V148" s="501"/>
    </row>
    <row r="149" ht="23.25" customHeight="1">
      <c r="A149" s="501"/>
      <c r="B149" s="501"/>
      <c r="C149" s="501"/>
      <c r="D149" s="501"/>
      <c r="E149" s="501"/>
      <c r="F149" s="501"/>
      <c r="G149" s="501"/>
      <c r="H149" s="501"/>
      <c r="I149" s="501"/>
      <c r="J149" s="501"/>
      <c r="K149" s="501"/>
      <c r="L149" s="501"/>
      <c r="M149" s="501"/>
      <c r="N149" s="501"/>
      <c r="O149" s="501"/>
      <c r="P149" s="501"/>
      <c r="Q149" s="501"/>
      <c r="R149" s="501"/>
      <c r="S149" s="501"/>
      <c r="T149" s="501"/>
      <c r="U149" s="501"/>
      <c r="V149" s="501"/>
    </row>
    <row r="150" ht="23.25" customHeight="1">
      <c r="A150" s="501"/>
      <c r="B150" s="501"/>
      <c r="C150" s="501"/>
      <c r="D150" s="501"/>
      <c r="E150" s="501"/>
      <c r="F150" s="501"/>
      <c r="G150" s="501"/>
      <c r="H150" s="501"/>
      <c r="I150" s="501"/>
      <c r="J150" s="501"/>
      <c r="K150" s="501"/>
      <c r="L150" s="501"/>
      <c r="M150" s="501"/>
      <c r="N150" s="501"/>
      <c r="O150" s="501"/>
      <c r="P150" s="501"/>
      <c r="Q150" s="501"/>
      <c r="R150" s="501"/>
      <c r="S150" s="501"/>
      <c r="T150" s="501"/>
      <c r="U150" s="501"/>
      <c r="V150" s="501"/>
    </row>
    <row r="151" ht="23.25" customHeight="1">
      <c r="A151" s="501"/>
      <c r="B151" s="501"/>
      <c r="C151" s="501"/>
      <c r="D151" s="501"/>
      <c r="E151" s="501"/>
      <c r="F151" s="501"/>
      <c r="G151" s="501"/>
      <c r="H151" s="501"/>
      <c r="I151" s="501"/>
      <c r="J151" s="501"/>
      <c r="K151" s="501"/>
      <c r="L151" s="501"/>
      <c r="M151" s="501"/>
      <c r="N151" s="501"/>
      <c r="O151" s="501"/>
      <c r="P151" s="501"/>
      <c r="Q151" s="501"/>
      <c r="R151" s="501"/>
      <c r="S151" s="501"/>
      <c r="T151" s="501"/>
      <c r="U151" s="501"/>
      <c r="V151" s="501"/>
    </row>
    <row r="152" ht="23.25" customHeight="1">
      <c r="A152" s="501"/>
      <c r="B152" s="501"/>
      <c r="C152" s="501"/>
      <c r="D152" s="501"/>
      <c r="E152" s="501"/>
      <c r="F152" s="501"/>
      <c r="G152" s="501"/>
      <c r="H152" s="501"/>
      <c r="I152" s="501"/>
      <c r="J152" s="501"/>
      <c r="K152" s="501"/>
      <c r="L152" s="501"/>
      <c r="M152" s="501"/>
      <c r="N152" s="501"/>
      <c r="O152" s="501"/>
      <c r="P152" s="501"/>
      <c r="Q152" s="501"/>
      <c r="R152" s="501"/>
      <c r="S152" s="501"/>
      <c r="T152" s="501"/>
      <c r="U152" s="501"/>
      <c r="V152" s="501"/>
    </row>
    <row r="153" ht="23.25" customHeight="1">
      <c r="A153" s="501"/>
      <c r="B153" s="501"/>
      <c r="C153" s="501"/>
      <c r="D153" s="501"/>
      <c r="E153" s="501"/>
      <c r="F153" s="501"/>
      <c r="G153" s="501"/>
      <c r="H153" s="501"/>
      <c r="I153" s="501"/>
      <c r="J153" s="501"/>
      <c r="K153" s="501"/>
      <c r="L153" s="501"/>
      <c r="M153" s="501"/>
      <c r="N153" s="501"/>
      <c r="O153" s="501"/>
      <c r="P153" s="501"/>
      <c r="Q153" s="501"/>
      <c r="R153" s="501"/>
      <c r="S153" s="501"/>
      <c r="T153" s="501"/>
      <c r="U153" s="501"/>
      <c r="V153" s="501"/>
    </row>
    <row r="154" ht="23.25" customHeight="1">
      <c r="A154" s="501"/>
      <c r="B154" s="501"/>
      <c r="C154" s="501"/>
      <c r="D154" s="501"/>
      <c r="E154" s="501"/>
      <c r="F154" s="501"/>
      <c r="G154" s="501"/>
      <c r="H154" s="501"/>
      <c r="I154" s="501"/>
      <c r="J154" s="501"/>
      <c r="K154" s="501"/>
      <c r="L154" s="501"/>
      <c r="M154" s="501"/>
      <c r="N154" s="501"/>
      <c r="O154" s="501"/>
      <c r="P154" s="501"/>
      <c r="Q154" s="501"/>
      <c r="R154" s="501"/>
      <c r="S154" s="501"/>
      <c r="T154" s="501"/>
      <c r="U154" s="501"/>
      <c r="V154" s="501"/>
    </row>
    <row r="155" ht="23.25" customHeight="1">
      <c r="A155" s="501"/>
      <c r="B155" s="501"/>
      <c r="C155" s="501"/>
      <c r="D155" s="501"/>
      <c r="E155" s="501"/>
      <c r="F155" s="501"/>
      <c r="G155" s="501"/>
      <c r="H155" s="501"/>
      <c r="I155" s="501"/>
      <c r="J155" s="501"/>
      <c r="K155" s="501"/>
      <c r="L155" s="501"/>
      <c r="M155" s="501"/>
      <c r="N155" s="501"/>
      <c r="O155" s="501"/>
      <c r="P155" s="501"/>
      <c r="Q155" s="501"/>
      <c r="R155" s="501"/>
      <c r="S155" s="501"/>
      <c r="T155" s="501"/>
      <c r="U155" s="501"/>
      <c r="V155" s="501"/>
    </row>
    <row r="156" ht="23.25" customHeight="1">
      <c r="A156" s="501"/>
      <c r="B156" s="501"/>
      <c r="C156" s="501"/>
      <c r="D156" s="501"/>
      <c r="E156" s="501"/>
      <c r="F156" s="501"/>
      <c r="G156" s="501"/>
      <c r="H156" s="501"/>
      <c r="I156" s="501"/>
      <c r="J156" s="501"/>
      <c r="K156" s="501"/>
      <c r="L156" s="501"/>
      <c r="M156" s="501"/>
      <c r="N156" s="501"/>
      <c r="O156" s="501"/>
      <c r="P156" s="501"/>
      <c r="Q156" s="501"/>
      <c r="R156" s="501"/>
      <c r="S156" s="501"/>
      <c r="T156" s="501"/>
      <c r="U156" s="501"/>
      <c r="V156" s="501"/>
    </row>
    <row r="157" ht="23.25" customHeight="1">
      <c r="A157" s="501"/>
      <c r="B157" s="501"/>
      <c r="C157" s="501"/>
      <c r="D157" s="501"/>
      <c r="E157" s="501"/>
      <c r="F157" s="501"/>
      <c r="G157" s="501"/>
      <c r="H157" s="501"/>
      <c r="I157" s="501"/>
      <c r="J157" s="501"/>
      <c r="K157" s="501"/>
      <c r="L157" s="501"/>
      <c r="M157" s="501"/>
      <c r="N157" s="501"/>
      <c r="O157" s="501"/>
      <c r="P157" s="501"/>
      <c r="Q157" s="501"/>
      <c r="R157" s="501"/>
      <c r="S157" s="501"/>
      <c r="T157" s="501"/>
      <c r="U157" s="501"/>
      <c r="V157" s="501"/>
    </row>
    <row r="158" ht="23.25" customHeight="1">
      <c r="A158" s="501"/>
      <c r="B158" s="501"/>
      <c r="C158" s="501"/>
      <c r="D158" s="501"/>
      <c r="E158" s="501"/>
      <c r="F158" s="501"/>
      <c r="G158" s="501"/>
      <c r="H158" s="501"/>
      <c r="I158" s="501"/>
      <c r="J158" s="501"/>
      <c r="K158" s="501"/>
      <c r="L158" s="501"/>
      <c r="M158" s="501"/>
      <c r="N158" s="501"/>
      <c r="O158" s="501"/>
      <c r="P158" s="501"/>
      <c r="Q158" s="501"/>
      <c r="R158" s="501"/>
      <c r="S158" s="501"/>
      <c r="T158" s="501"/>
      <c r="U158" s="501"/>
      <c r="V158" s="501"/>
    </row>
    <row r="159" ht="23.25" customHeight="1">
      <c r="A159" s="501"/>
      <c r="B159" s="501"/>
      <c r="C159" s="501"/>
      <c r="D159" s="501"/>
      <c r="E159" s="501"/>
      <c r="F159" s="501"/>
      <c r="G159" s="501"/>
      <c r="H159" s="501"/>
      <c r="I159" s="501"/>
      <c r="J159" s="501"/>
      <c r="K159" s="501"/>
      <c r="L159" s="501"/>
      <c r="M159" s="501"/>
      <c r="N159" s="501"/>
      <c r="O159" s="501"/>
      <c r="P159" s="501"/>
      <c r="Q159" s="501"/>
      <c r="R159" s="501"/>
      <c r="S159" s="501"/>
      <c r="T159" s="501"/>
      <c r="U159" s="501"/>
      <c r="V159" s="501"/>
    </row>
    <row r="160" ht="23.25" customHeight="1">
      <c r="A160" s="501"/>
      <c r="B160" s="501"/>
      <c r="C160" s="501"/>
      <c r="D160" s="501"/>
      <c r="E160" s="501"/>
      <c r="F160" s="501"/>
      <c r="G160" s="501"/>
      <c r="H160" s="501"/>
      <c r="I160" s="501"/>
      <c r="J160" s="501"/>
      <c r="K160" s="501"/>
      <c r="L160" s="501"/>
      <c r="M160" s="501"/>
      <c r="N160" s="501"/>
      <c r="O160" s="501"/>
      <c r="P160" s="501"/>
      <c r="Q160" s="501"/>
      <c r="R160" s="501"/>
      <c r="S160" s="501"/>
      <c r="T160" s="501"/>
      <c r="U160" s="501"/>
      <c r="V160" s="501"/>
    </row>
    <row r="161" ht="23.25" customHeight="1">
      <c r="A161" s="501"/>
      <c r="B161" s="501"/>
      <c r="C161" s="501"/>
      <c r="D161" s="501"/>
      <c r="E161" s="501"/>
      <c r="F161" s="501"/>
      <c r="G161" s="501"/>
      <c r="H161" s="501"/>
      <c r="I161" s="501"/>
      <c r="J161" s="501"/>
      <c r="K161" s="501"/>
      <c r="L161" s="501"/>
      <c r="M161" s="501"/>
      <c r="N161" s="501"/>
      <c r="O161" s="501"/>
      <c r="P161" s="501"/>
      <c r="Q161" s="501"/>
      <c r="R161" s="501"/>
      <c r="S161" s="501"/>
      <c r="T161" s="501"/>
      <c r="U161" s="501"/>
      <c r="V161" s="501"/>
    </row>
    <row r="162" ht="23.25" customHeight="1">
      <c r="A162" s="501"/>
      <c r="B162" s="501"/>
      <c r="C162" s="501"/>
      <c r="D162" s="501"/>
      <c r="E162" s="501"/>
      <c r="F162" s="501"/>
      <c r="G162" s="501"/>
      <c r="H162" s="501"/>
      <c r="I162" s="501"/>
      <c r="J162" s="501"/>
      <c r="K162" s="501"/>
      <c r="L162" s="501"/>
      <c r="M162" s="501"/>
      <c r="N162" s="501"/>
      <c r="O162" s="501"/>
      <c r="P162" s="501"/>
      <c r="Q162" s="501"/>
      <c r="R162" s="501"/>
      <c r="S162" s="501"/>
      <c r="T162" s="501"/>
      <c r="U162" s="501"/>
      <c r="V162" s="501"/>
    </row>
    <row r="163" ht="23.25" customHeight="1">
      <c r="A163" s="501"/>
      <c r="B163" s="501"/>
      <c r="C163" s="501"/>
      <c r="D163" s="501"/>
      <c r="E163" s="501"/>
      <c r="F163" s="501"/>
      <c r="G163" s="501"/>
      <c r="H163" s="501"/>
      <c r="I163" s="501"/>
      <c r="J163" s="501"/>
      <c r="K163" s="501"/>
      <c r="L163" s="501"/>
      <c r="M163" s="501"/>
      <c r="N163" s="501"/>
      <c r="O163" s="501"/>
      <c r="P163" s="501"/>
      <c r="Q163" s="501"/>
      <c r="R163" s="501"/>
      <c r="S163" s="501"/>
      <c r="T163" s="501"/>
      <c r="U163" s="501"/>
      <c r="V163" s="501"/>
    </row>
    <row r="164" ht="23.25" customHeight="1">
      <c r="A164" s="501"/>
      <c r="B164" s="501"/>
      <c r="C164" s="501"/>
      <c r="D164" s="501"/>
      <c r="E164" s="501"/>
      <c r="F164" s="501"/>
      <c r="G164" s="501"/>
      <c r="H164" s="501"/>
      <c r="I164" s="501"/>
      <c r="J164" s="501"/>
      <c r="K164" s="501"/>
      <c r="L164" s="501"/>
      <c r="M164" s="501"/>
      <c r="N164" s="501"/>
      <c r="O164" s="501"/>
      <c r="P164" s="501"/>
      <c r="Q164" s="501"/>
      <c r="R164" s="501"/>
      <c r="S164" s="501"/>
      <c r="T164" s="501"/>
      <c r="U164" s="501"/>
      <c r="V164" s="501"/>
    </row>
    <row r="165" ht="23.25" customHeight="1">
      <c r="A165" s="501"/>
      <c r="B165" s="501"/>
      <c r="C165" s="501"/>
      <c r="D165" s="501"/>
      <c r="E165" s="501"/>
      <c r="F165" s="501"/>
      <c r="G165" s="501"/>
      <c r="H165" s="501"/>
      <c r="I165" s="501"/>
      <c r="J165" s="501"/>
      <c r="K165" s="501"/>
      <c r="L165" s="501"/>
      <c r="M165" s="501"/>
      <c r="N165" s="501"/>
      <c r="O165" s="501"/>
      <c r="P165" s="501"/>
      <c r="Q165" s="501"/>
      <c r="R165" s="501"/>
      <c r="S165" s="501"/>
      <c r="T165" s="501"/>
      <c r="U165" s="501"/>
      <c r="V165" s="501"/>
    </row>
    <row r="166" ht="23.25" customHeight="1">
      <c r="A166" s="501"/>
      <c r="B166" s="501"/>
      <c r="C166" s="501"/>
      <c r="D166" s="501"/>
      <c r="E166" s="501"/>
      <c r="F166" s="501"/>
      <c r="G166" s="501"/>
      <c r="H166" s="501"/>
      <c r="I166" s="501"/>
      <c r="J166" s="501"/>
      <c r="K166" s="501"/>
      <c r="L166" s="501"/>
      <c r="M166" s="501"/>
      <c r="N166" s="501"/>
      <c r="O166" s="501"/>
      <c r="P166" s="501"/>
      <c r="Q166" s="501"/>
      <c r="R166" s="501"/>
      <c r="S166" s="501"/>
      <c r="T166" s="501"/>
      <c r="U166" s="501"/>
      <c r="V166" s="501"/>
    </row>
    <row r="167" ht="23.25" customHeight="1">
      <c r="A167" s="501"/>
      <c r="B167" s="501"/>
      <c r="C167" s="501"/>
      <c r="D167" s="501"/>
      <c r="E167" s="501"/>
      <c r="F167" s="501"/>
      <c r="G167" s="501"/>
      <c r="H167" s="501"/>
      <c r="I167" s="501"/>
      <c r="J167" s="501"/>
      <c r="K167" s="501"/>
      <c r="L167" s="501"/>
      <c r="M167" s="501"/>
      <c r="N167" s="501"/>
      <c r="O167" s="501"/>
      <c r="P167" s="501"/>
      <c r="Q167" s="501"/>
      <c r="R167" s="501"/>
      <c r="S167" s="501"/>
      <c r="T167" s="501"/>
      <c r="U167" s="501"/>
      <c r="V167" s="501"/>
    </row>
    <row r="168" ht="23.25" customHeight="1">
      <c r="A168" s="501"/>
      <c r="B168" s="501"/>
      <c r="C168" s="501"/>
      <c r="D168" s="501"/>
      <c r="E168" s="501"/>
      <c r="F168" s="501"/>
      <c r="G168" s="501"/>
      <c r="H168" s="501"/>
      <c r="I168" s="501"/>
      <c r="J168" s="501"/>
      <c r="K168" s="501"/>
      <c r="L168" s="501"/>
      <c r="M168" s="501"/>
      <c r="N168" s="501"/>
      <c r="O168" s="501"/>
      <c r="P168" s="501"/>
      <c r="Q168" s="501"/>
      <c r="R168" s="501"/>
      <c r="S168" s="501"/>
      <c r="T168" s="501"/>
      <c r="U168" s="501"/>
      <c r="V168" s="501"/>
    </row>
    <row r="169" ht="23.25" customHeight="1">
      <c r="A169" s="501"/>
      <c r="B169" s="501"/>
      <c r="C169" s="501"/>
      <c r="D169" s="501"/>
      <c r="E169" s="501"/>
      <c r="F169" s="501"/>
      <c r="G169" s="501"/>
      <c r="H169" s="501"/>
      <c r="I169" s="501"/>
      <c r="J169" s="501"/>
      <c r="K169" s="501"/>
      <c r="L169" s="501"/>
      <c r="M169" s="501"/>
      <c r="N169" s="501"/>
      <c r="O169" s="501"/>
      <c r="P169" s="501"/>
      <c r="Q169" s="501"/>
      <c r="R169" s="501"/>
      <c r="S169" s="501"/>
      <c r="T169" s="501"/>
      <c r="U169" s="501"/>
      <c r="V169" s="501"/>
    </row>
    <row r="170" ht="23.25" customHeight="1">
      <c r="A170" s="501"/>
      <c r="B170" s="501"/>
      <c r="C170" s="501"/>
      <c r="D170" s="501"/>
      <c r="E170" s="501"/>
      <c r="F170" s="501"/>
      <c r="G170" s="501"/>
      <c r="H170" s="501"/>
      <c r="I170" s="501"/>
      <c r="J170" s="501"/>
      <c r="K170" s="501"/>
      <c r="L170" s="501"/>
      <c r="M170" s="501"/>
      <c r="N170" s="501"/>
      <c r="O170" s="501"/>
      <c r="P170" s="501"/>
      <c r="Q170" s="501"/>
      <c r="R170" s="501"/>
      <c r="S170" s="501"/>
      <c r="T170" s="501"/>
      <c r="U170" s="501"/>
      <c r="V170" s="501"/>
    </row>
    <row r="171" ht="23.25" customHeight="1">
      <c r="A171" s="501"/>
      <c r="B171" s="501"/>
      <c r="C171" s="501"/>
      <c r="D171" s="501"/>
      <c r="E171" s="501"/>
      <c r="F171" s="501"/>
      <c r="G171" s="501"/>
      <c r="H171" s="501"/>
      <c r="I171" s="501"/>
      <c r="J171" s="501"/>
      <c r="K171" s="501"/>
      <c r="L171" s="501"/>
      <c r="M171" s="501"/>
      <c r="N171" s="501"/>
      <c r="O171" s="501"/>
      <c r="P171" s="501"/>
      <c r="Q171" s="501"/>
      <c r="R171" s="501"/>
      <c r="S171" s="501"/>
      <c r="T171" s="501"/>
      <c r="U171" s="501"/>
      <c r="V171" s="501"/>
    </row>
    <row r="172" ht="23.25" customHeight="1">
      <c r="A172" s="501"/>
      <c r="B172" s="501"/>
      <c r="C172" s="501"/>
      <c r="D172" s="501"/>
      <c r="E172" s="501"/>
      <c r="F172" s="501"/>
      <c r="G172" s="501"/>
      <c r="H172" s="501"/>
      <c r="I172" s="501"/>
      <c r="J172" s="501"/>
      <c r="K172" s="501"/>
      <c r="L172" s="501"/>
      <c r="M172" s="501"/>
      <c r="N172" s="501"/>
      <c r="O172" s="501"/>
      <c r="P172" s="501"/>
      <c r="Q172" s="501"/>
      <c r="R172" s="501"/>
      <c r="S172" s="501"/>
      <c r="T172" s="501"/>
      <c r="U172" s="501"/>
      <c r="V172" s="501"/>
    </row>
    <row r="173" ht="23.25" customHeight="1">
      <c r="A173" s="501"/>
      <c r="B173" s="501"/>
      <c r="C173" s="501"/>
      <c r="D173" s="501"/>
      <c r="E173" s="501"/>
      <c r="F173" s="501"/>
      <c r="G173" s="501"/>
      <c r="H173" s="501"/>
      <c r="I173" s="501"/>
      <c r="J173" s="501"/>
      <c r="K173" s="501"/>
      <c r="L173" s="501"/>
      <c r="M173" s="501"/>
      <c r="N173" s="501"/>
      <c r="O173" s="501"/>
      <c r="P173" s="501"/>
      <c r="Q173" s="501"/>
      <c r="R173" s="501"/>
      <c r="S173" s="501"/>
      <c r="T173" s="501"/>
      <c r="U173" s="501"/>
      <c r="V173" s="501"/>
    </row>
    <row r="174" ht="23.25" customHeight="1">
      <c r="A174" s="501"/>
      <c r="B174" s="501"/>
      <c r="C174" s="501"/>
      <c r="D174" s="501"/>
      <c r="E174" s="501"/>
      <c r="F174" s="501"/>
      <c r="G174" s="501"/>
      <c r="H174" s="501"/>
      <c r="I174" s="501"/>
      <c r="J174" s="501"/>
      <c r="K174" s="501"/>
      <c r="L174" s="501"/>
      <c r="M174" s="501"/>
      <c r="N174" s="501"/>
      <c r="O174" s="501"/>
      <c r="P174" s="501"/>
      <c r="Q174" s="501"/>
      <c r="R174" s="501"/>
      <c r="S174" s="501"/>
      <c r="T174" s="501"/>
      <c r="U174" s="501"/>
      <c r="V174" s="501"/>
    </row>
    <row r="175" ht="23.25" customHeight="1">
      <c r="A175" s="501"/>
      <c r="B175" s="501"/>
      <c r="C175" s="501"/>
      <c r="D175" s="501"/>
      <c r="E175" s="501"/>
      <c r="F175" s="501"/>
      <c r="G175" s="501"/>
      <c r="H175" s="501"/>
      <c r="I175" s="501"/>
      <c r="J175" s="501"/>
      <c r="K175" s="501"/>
      <c r="L175" s="501"/>
      <c r="M175" s="501"/>
      <c r="N175" s="501"/>
      <c r="O175" s="501"/>
      <c r="P175" s="501"/>
      <c r="Q175" s="501"/>
      <c r="R175" s="501"/>
      <c r="S175" s="501"/>
      <c r="T175" s="501"/>
      <c r="U175" s="501"/>
      <c r="V175" s="501"/>
    </row>
    <row r="176" ht="23.25" customHeight="1">
      <c r="A176" s="501"/>
      <c r="B176" s="501"/>
      <c r="C176" s="501"/>
      <c r="D176" s="501"/>
      <c r="E176" s="501"/>
      <c r="F176" s="501"/>
      <c r="G176" s="501"/>
      <c r="H176" s="501"/>
      <c r="I176" s="501"/>
      <c r="J176" s="501"/>
      <c r="K176" s="501"/>
      <c r="L176" s="501"/>
      <c r="M176" s="501"/>
      <c r="N176" s="501"/>
      <c r="O176" s="501"/>
      <c r="P176" s="501"/>
      <c r="Q176" s="501"/>
      <c r="R176" s="501"/>
      <c r="S176" s="501"/>
      <c r="T176" s="501"/>
      <c r="U176" s="501"/>
      <c r="V176" s="501"/>
    </row>
    <row r="177" ht="23.25" customHeight="1">
      <c r="A177" s="501"/>
      <c r="B177" s="501"/>
      <c r="C177" s="501"/>
      <c r="D177" s="501"/>
      <c r="E177" s="501"/>
      <c r="F177" s="501"/>
      <c r="G177" s="501"/>
      <c r="H177" s="501"/>
      <c r="I177" s="501"/>
      <c r="J177" s="501"/>
      <c r="K177" s="501"/>
      <c r="L177" s="501"/>
      <c r="M177" s="501"/>
      <c r="N177" s="501"/>
      <c r="O177" s="501"/>
      <c r="P177" s="501"/>
      <c r="Q177" s="501"/>
      <c r="R177" s="501"/>
      <c r="S177" s="501"/>
      <c r="T177" s="501"/>
      <c r="U177" s="501"/>
      <c r="V177" s="501"/>
    </row>
    <row r="178" ht="23.25" customHeight="1">
      <c r="A178" s="501"/>
      <c r="B178" s="501"/>
      <c r="C178" s="501"/>
      <c r="D178" s="501"/>
      <c r="E178" s="501"/>
      <c r="F178" s="501"/>
      <c r="G178" s="501"/>
      <c r="H178" s="501"/>
      <c r="I178" s="501"/>
      <c r="J178" s="501"/>
      <c r="K178" s="501"/>
      <c r="L178" s="501"/>
      <c r="M178" s="501"/>
      <c r="N178" s="501"/>
      <c r="O178" s="501"/>
      <c r="P178" s="501"/>
      <c r="Q178" s="501"/>
      <c r="R178" s="501"/>
      <c r="S178" s="501"/>
      <c r="T178" s="501"/>
      <c r="U178" s="501"/>
      <c r="V178" s="501"/>
    </row>
    <row r="179" ht="23.25" customHeight="1">
      <c r="A179" s="501"/>
      <c r="B179" s="501"/>
      <c r="C179" s="501"/>
      <c r="D179" s="501"/>
      <c r="E179" s="501"/>
      <c r="F179" s="501"/>
      <c r="G179" s="501"/>
      <c r="H179" s="501"/>
      <c r="I179" s="501"/>
      <c r="J179" s="501"/>
      <c r="K179" s="501"/>
      <c r="L179" s="501"/>
      <c r="M179" s="501"/>
      <c r="N179" s="501"/>
      <c r="O179" s="501"/>
      <c r="P179" s="501"/>
      <c r="Q179" s="501"/>
      <c r="R179" s="501"/>
      <c r="S179" s="501"/>
      <c r="T179" s="501"/>
      <c r="U179" s="501"/>
      <c r="V179" s="501"/>
    </row>
    <row r="180" ht="23.25" customHeight="1">
      <c r="A180" s="501"/>
      <c r="B180" s="501"/>
      <c r="C180" s="501"/>
      <c r="D180" s="501"/>
      <c r="E180" s="501"/>
      <c r="F180" s="501"/>
      <c r="G180" s="501"/>
      <c r="H180" s="501"/>
      <c r="I180" s="501"/>
      <c r="J180" s="501"/>
      <c r="K180" s="501"/>
      <c r="L180" s="501"/>
      <c r="M180" s="501"/>
      <c r="N180" s="501"/>
      <c r="O180" s="501"/>
      <c r="P180" s="501"/>
      <c r="Q180" s="501"/>
      <c r="R180" s="501"/>
      <c r="S180" s="501"/>
      <c r="T180" s="501"/>
      <c r="U180" s="501"/>
      <c r="V180" s="501"/>
    </row>
    <row r="181" ht="23.25" customHeight="1">
      <c r="A181" s="501"/>
      <c r="B181" s="501"/>
      <c r="C181" s="501"/>
      <c r="D181" s="501"/>
      <c r="E181" s="501"/>
      <c r="F181" s="501"/>
      <c r="G181" s="501"/>
      <c r="H181" s="501"/>
      <c r="I181" s="501"/>
      <c r="J181" s="501"/>
      <c r="K181" s="501"/>
      <c r="L181" s="501"/>
      <c r="M181" s="501"/>
      <c r="N181" s="501"/>
      <c r="O181" s="501"/>
      <c r="P181" s="501"/>
      <c r="Q181" s="501"/>
      <c r="R181" s="501"/>
      <c r="S181" s="501"/>
      <c r="T181" s="501"/>
      <c r="U181" s="501"/>
      <c r="V181" s="501"/>
    </row>
    <row r="182" ht="23.25" customHeight="1">
      <c r="A182" s="501"/>
      <c r="B182" s="501"/>
      <c r="C182" s="501"/>
      <c r="D182" s="501"/>
      <c r="E182" s="501"/>
      <c r="F182" s="501"/>
      <c r="G182" s="501"/>
      <c r="H182" s="501"/>
      <c r="I182" s="501"/>
      <c r="J182" s="501"/>
      <c r="K182" s="501"/>
      <c r="L182" s="501"/>
      <c r="M182" s="501"/>
      <c r="N182" s="501"/>
      <c r="O182" s="501"/>
      <c r="P182" s="501"/>
      <c r="Q182" s="501"/>
      <c r="R182" s="501"/>
      <c r="S182" s="501"/>
      <c r="T182" s="501"/>
      <c r="U182" s="501"/>
      <c r="V182" s="501"/>
    </row>
    <row r="183" ht="23.25" customHeight="1">
      <c r="A183" s="501"/>
      <c r="B183" s="501"/>
      <c r="C183" s="501"/>
      <c r="D183" s="501"/>
      <c r="E183" s="501"/>
      <c r="F183" s="501"/>
      <c r="G183" s="501"/>
      <c r="H183" s="501"/>
      <c r="I183" s="501"/>
      <c r="J183" s="501"/>
      <c r="K183" s="501"/>
      <c r="L183" s="501"/>
      <c r="M183" s="501"/>
      <c r="N183" s="501"/>
      <c r="O183" s="501"/>
      <c r="P183" s="501"/>
      <c r="Q183" s="501"/>
      <c r="R183" s="501"/>
      <c r="S183" s="501"/>
      <c r="T183" s="501"/>
      <c r="U183" s="501"/>
      <c r="V183" s="501"/>
    </row>
    <row r="184" ht="23.25" customHeight="1">
      <c r="A184" s="501"/>
      <c r="B184" s="501"/>
      <c r="C184" s="501"/>
      <c r="D184" s="501"/>
      <c r="E184" s="501"/>
      <c r="F184" s="501"/>
      <c r="G184" s="501"/>
      <c r="H184" s="501"/>
      <c r="I184" s="501"/>
      <c r="J184" s="501"/>
      <c r="K184" s="501"/>
      <c r="L184" s="501"/>
      <c r="M184" s="501"/>
      <c r="N184" s="501"/>
      <c r="O184" s="501"/>
      <c r="P184" s="501"/>
      <c r="Q184" s="501"/>
      <c r="R184" s="501"/>
      <c r="S184" s="501"/>
      <c r="T184" s="501"/>
      <c r="U184" s="501"/>
      <c r="V184" s="501"/>
    </row>
    <row r="185" ht="23.25" customHeight="1">
      <c r="A185" s="501"/>
      <c r="B185" s="501"/>
      <c r="C185" s="501"/>
      <c r="D185" s="501"/>
      <c r="E185" s="501"/>
      <c r="F185" s="501"/>
      <c r="G185" s="501"/>
      <c r="H185" s="501"/>
      <c r="I185" s="501"/>
      <c r="J185" s="501"/>
      <c r="K185" s="501"/>
      <c r="L185" s="501"/>
      <c r="M185" s="501"/>
      <c r="N185" s="501"/>
      <c r="O185" s="501"/>
      <c r="P185" s="501"/>
      <c r="Q185" s="501"/>
      <c r="R185" s="501"/>
      <c r="S185" s="501"/>
      <c r="T185" s="501"/>
      <c r="U185" s="501"/>
      <c r="V185" s="501"/>
    </row>
    <row r="186" ht="23.25" customHeight="1">
      <c r="A186" s="501"/>
      <c r="B186" s="501"/>
      <c r="C186" s="501"/>
      <c r="D186" s="501"/>
      <c r="E186" s="501"/>
      <c r="F186" s="501"/>
      <c r="G186" s="501"/>
      <c r="H186" s="501"/>
      <c r="I186" s="501"/>
      <c r="J186" s="501"/>
      <c r="K186" s="501"/>
      <c r="L186" s="501"/>
      <c r="M186" s="501"/>
      <c r="N186" s="501"/>
      <c r="O186" s="501"/>
      <c r="P186" s="501"/>
      <c r="Q186" s="501"/>
      <c r="R186" s="501"/>
      <c r="S186" s="501"/>
      <c r="T186" s="501"/>
      <c r="U186" s="501"/>
      <c r="V186" s="501"/>
    </row>
    <row r="187" ht="23.25" customHeight="1">
      <c r="A187" s="501"/>
      <c r="B187" s="501"/>
      <c r="C187" s="501"/>
      <c r="D187" s="501"/>
      <c r="E187" s="501"/>
      <c r="F187" s="501"/>
      <c r="G187" s="501"/>
      <c r="H187" s="501"/>
      <c r="I187" s="501"/>
      <c r="J187" s="501"/>
      <c r="K187" s="501"/>
      <c r="L187" s="501"/>
      <c r="M187" s="501"/>
      <c r="N187" s="501"/>
      <c r="O187" s="501"/>
      <c r="P187" s="501"/>
      <c r="Q187" s="501"/>
      <c r="R187" s="501"/>
      <c r="S187" s="501"/>
      <c r="T187" s="501"/>
      <c r="U187" s="501"/>
      <c r="V187" s="501"/>
    </row>
    <row r="188" ht="23.25" customHeight="1">
      <c r="A188" s="501"/>
      <c r="B188" s="501"/>
      <c r="C188" s="501"/>
      <c r="D188" s="501"/>
      <c r="E188" s="501"/>
      <c r="F188" s="501"/>
      <c r="G188" s="501"/>
      <c r="H188" s="501"/>
      <c r="I188" s="501"/>
      <c r="J188" s="501"/>
      <c r="K188" s="501"/>
      <c r="L188" s="501"/>
      <c r="M188" s="501"/>
      <c r="N188" s="501"/>
      <c r="O188" s="501"/>
      <c r="P188" s="501"/>
      <c r="Q188" s="501"/>
      <c r="R188" s="501"/>
      <c r="S188" s="501"/>
      <c r="T188" s="501"/>
      <c r="U188" s="501"/>
      <c r="V188" s="501"/>
    </row>
    <row r="189" ht="23.25" customHeight="1">
      <c r="A189" s="501"/>
      <c r="B189" s="501"/>
      <c r="C189" s="501"/>
      <c r="D189" s="501"/>
      <c r="E189" s="501"/>
      <c r="F189" s="501"/>
      <c r="G189" s="501"/>
      <c r="H189" s="501"/>
      <c r="I189" s="501"/>
      <c r="J189" s="501"/>
      <c r="K189" s="501"/>
      <c r="L189" s="501"/>
      <c r="M189" s="501"/>
      <c r="N189" s="501"/>
      <c r="O189" s="501"/>
      <c r="P189" s="501"/>
      <c r="Q189" s="501"/>
      <c r="R189" s="501"/>
      <c r="S189" s="501"/>
      <c r="T189" s="501"/>
      <c r="U189" s="501"/>
      <c r="V189" s="501"/>
    </row>
    <row r="190" ht="23.25" customHeight="1">
      <c r="A190" s="501"/>
      <c r="B190" s="501"/>
      <c r="C190" s="501"/>
      <c r="D190" s="501"/>
      <c r="E190" s="501"/>
      <c r="F190" s="501"/>
      <c r="G190" s="501"/>
      <c r="H190" s="501"/>
      <c r="I190" s="501"/>
      <c r="J190" s="501"/>
      <c r="K190" s="501"/>
      <c r="L190" s="501"/>
      <c r="M190" s="501"/>
      <c r="N190" s="501"/>
      <c r="O190" s="501"/>
      <c r="P190" s="501"/>
      <c r="Q190" s="501"/>
      <c r="R190" s="501"/>
      <c r="S190" s="501"/>
      <c r="T190" s="501"/>
      <c r="U190" s="501"/>
      <c r="V190" s="501"/>
    </row>
    <row r="191" ht="23.25" customHeight="1">
      <c r="A191" s="501"/>
      <c r="B191" s="501"/>
      <c r="C191" s="501"/>
      <c r="D191" s="501"/>
      <c r="E191" s="501"/>
      <c r="F191" s="501"/>
      <c r="G191" s="501"/>
      <c r="H191" s="501"/>
      <c r="I191" s="501"/>
      <c r="J191" s="501"/>
      <c r="K191" s="501"/>
      <c r="L191" s="501"/>
      <c r="M191" s="501"/>
      <c r="N191" s="501"/>
      <c r="O191" s="501"/>
      <c r="P191" s="501"/>
      <c r="Q191" s="501"/>
      <c r="R191" s="501"/>
      <c r="S191" s="501"/>
      <c r="T191" s="501"/>
      <c r="U191" s="501"/>
      <c r="V191" s="501"/>
    </row>
    <row r="192" ht="23.25" customHeight="1">
      <c r="A192" s="501"/>
      <c r="B192" s="501"/>
      <c r="C192" s="501"/>
      <c r="D192" s="501"/>
      <c r="E192" s="501"/>
      <c r="F192" s="501"/>
      <c r="G192" s="501"/>
      <c r="H192" s="501"/>
      <c r="I192" s="501"/>
      <c r="J192" s="501"/>
      <c r="K192" s="501"/>
      <c r="L192" s="501"/>
      <c r="M192" s="501"/>
      <c r="N192" s="501"/>
      <c r="O192" s="501"/>
      <c r="P192" s="501"/>
      <c r="Q192" s="501"/>
      <c r="R192" s="501"/>
      <c r="S192" s="501"/>
      <c r="T192" s="501"/>
      <c r="U192" s="501"/>
      <c r="V192" s="501"/>
    </row>
    <row r="193" ht="23.25" customHeight="1">
      <c r="A193" s="501"/>
      <c r="B193" s="501"/>
      <c r="C193" s="501"/>
      <c r="D193" s="501"/>
      <c r="E193" s="501"/>
      <c r="F193" s="501"/>
      <c r="G193" s="501"/>
      <c r="H193" s="501"/>
      <c r="I193" s="501"/>
      <c r="J193" s="501"/>
      <c r="K193" s="501"/>
      <c r="L193" s="501"/>
      <c r="M193" s="501"/>
      <c r="N193" s="501"/>
      <c r="O193" s="501"/>
      <c r="P193" s="501"/>
      <c r="Q193" s="501"/>
      <c r="R193" s="501"/>
      <c r="S193" s="501"/>
      <c r="T193" s="501"/>
      <c r="U193" s="501"/>
      <c r="V193" s="501"/>
    </row>
    <row r="194" ht="23.25" customHeight="1">
      <c r="A194" s="501"/>
      <c r="B194" s="501"/>
      <c r="C194" s="501"/>
      <c r="D194" s="501"/>
      <c r="E194" s="501"/>
      <c r="F194" s="501"/>
      <c r="G194" s="501"/>
      <c r="H194" s="501"/>
      <c r="I194" s="501"/>
      <c r="J194" s="501"/>
      <c r="K194" s="501"/>
      <c r="L194" s="501"/>
      <c r="M194" s="501"/>
      <c r="N194" s="501"/>
      <c r="O194" s="501"/>
      <c r="P194" s="501"/>
      <c r="Q194" s="501"/>
      <c r="R194" s="501"/>
      <c r="S194" s="501"/>
      <c r="T194" s="501"/>
      <c r="U194" s="501"/>
      <c r="V194" s="501"/>
    </row>
    <row r="195" ht="23.25" customHeight="1">
      <c r="A195" s="501"/>
      <c r="B195" s="501"/>
      <c r="C195" s="501"/>
      <c r="D195" s="501"/>
      <c r="E195" s="501"/>
      <c r="F195" s="501"/>
      <c r="G195" s="501"/>
      <c r="H195" s="501"/>
      <c r="I195" s="501"/>
      <c r="J195" s="501"/>
      <c r="K195" s="501"/>
      <c r="L195" s="501"/>
      <c r="M195" s="501"/>
      <c r="N195" s="501"/>
      <c r="O195" s="501"/>
      <c r="P195" s="501"/>
      <c r="Q195" s="501"/>
      <c r="R195" s="501"/>
      <c r="S195" s="501"/>
      <c r="T195" s="501"/>
      <c r="U195" s="501"/>
      <c r="V195" s="501"/>
    </row>
    <row r="196" ht="23.25" customHeight="1">
      <c r="A196" s="501"/>
      <c r="B196" s="501"/>
      <c r="C196" s="501"/>
      <c r="D196" s="501"/>
      <c r="E196" s="501"/>
      <c r="F196" s="501"/>
      <c r="G196" s="501"/>
      <c r="H196" s="501"/>
      <c r="I196" s="501"/>
      <c r="J196" s="501"/>
      <c r="K196" s="501"/>
      <c r="L196" s="501"/>
      <c r="M196" s="501"/>
      <c r="N196" s="501"/>
      <c r="O196" s="501"/>
      <c r="P196" s="501"/>
      <c r="Q196" s="501"/>
      <c r="R196" s="501"/>
      <c r="S196" s="501"/>
      <c r="T196" s="501"/>
      <c r="U196" s="501"/>
      <c r="V196" s="501"/>
    </row>
    <row r="197" ht="23.25" customHeight="1">
      <c r="A197" s="501"/>
      <c r="B197" s="501"/>
      <c r="C197" s="501"/>
      <c r="D197" s="501"/>
      <c r="E197" s="501"/>
      <c r="F197" s="501"/>
      <c r="G197" s="501"/>
      <c r="H197" s="501"/>
      <c r="I197" s="501"/>
      <c r="J197" s="501"/>
      <c r="K197" s="501"/>
      <c r="L197" s="501"/>
      <c r="M197" s="501"/>
      <c r="N197" s="501"/>
      <c r="O197" s="501"/>
      <c r="P197" s="501"/>
      <c r="Q197" s="501"/>
      <c r="R197" s="501"/>
      <c r="S197" s="501"/>
      <c r="T197" s="501"/>
      <c r="U197" s="501"/>
      <c r="V197" s="501"/>
    </row>
    <row r="198" ht="23.25" customHeight="1">
      <c r="A198" s="501"/>
      <c r="B198" s="501"/>
      <c r="C198" s="501"/>
      <c r="D198" s="501"/>
      <c r="E198" s="501"/>
      <c r="F198" s="501"/>
      <c r="G198" s="501"/>
      <c r="H198" s="501"/>
      <c r="I198" s="501"/>
      <c r="J198" s="501"/>
      <c r="K198" s="501"/>
      <c r="L198" s="501"/>
      <c r="M198" s="501"/>
      <c r="N198" s="501"/>
      <c r="O198" s="501"/>
      <c r="P198" s="501"/>
      <c r="Q198" s="501"/>
      <c r="R198" s="501"/>
      <c r="S198" s="501"/>
      <c r="T198" s="501"/>
      <c r="U198" s="501"/>
      <c r="V198" s="501"/>
    </row>
    <row r="199" ht="23.25" customHeight="1">
      <c r="A199" s="501"/>
      <c r="B199" s="501"/>
      <c r="C199" s="501"/>
      <c r="D199" s="501"/>
      <c r="E199" s="501"/>
      <c r="F199" s="501"/>
      <c r="G199" s="501"/>
      <c r="H199" s="501"/>
      <c r="I199" s="501"/>
      <c r="J199" s="501"/>
      <c r="K199" s="501"/>
      <c r="L199" s="501"/>
      <c r="M199" s="501"/>
      <c r="N199" s="501"/>
      <c r="O199" s="501"/>
      <c r="P199" s="501"/>
      <c r="Q199" s="501"/>
      <c r="R199" s="501"/>
      <c r="S199" s="501"/>
      <c r="T199" s="501"/>
      <c r="U199" s="501"/>
      <c r="V199" s="501"/>
    </row>
    <row r="200" ht="23.25" customHeight="1">
      <c r="A200" s="501"/>
      <c r="B200" s="501"/>
      <c r="C200" s="501"/>
      <c r="D200" s="501"/>
      <c r="E200" s="501"/>
      <c r="F200" s="501"/>
      <c r="G200" s="501"/>
      <c r="H200" s="501"/>
      <c r="I200" s="501"/>
      <c r="J200" s="501"/>
      <c r="K200" s="501"/>
      <c r="L200" s="501"/>
      <c r="M200" s="501"/>
      <c r="N200" s="501"/>
      <c r="O200" s="501"/>
      <c r="P200" s="501"/>
      <c r="Q200" s="501"/>
      <c r="R200" s="501"/>
      <c r="S200" s="501"/>
      <c r="T200" s="501"/>
      <c r="U200" s="501"/>
      <c r="V200" s="501"/>
    </row>
    <row r="201" ht="23.25" customHeight="1">
      <c r="A201" s="501"/>
      <c r="B201" s="501"/>
      <c r="C201" s="501"/>
      <c r="D201" s="501"/>
      <c r="E201" s="501"/>
      <c r="F201" s="501"/>
      <c r="G201" s="501"/>
      <c r="H201" s="501"/>
      <c r="I201" s="501"/>
      <c r="J201" s="501"/>
      <c r="K201" s="501"/>
      <c r="L201" s="501"/>
      <c r="M201" s="501"/>
      <c r="N201" s="501"/>
      <c r="O201" s="501"/>
      <c r="P201" s="501"/>
      <c r="Q201" s="501"/>
      <c r="R201" s="501"/>
      <c r="S201" s="501"/>
      <c r="T201" s="501"/>
      <c r="U201" s="501"/>
      <c r="V201" s="501"/>
    </row>
    <row r="202" ht="23.25" customHeight="1">
      <c r="A202" s="501"/>
      <c r="B202" s="501"/>
      <c r="C202" s="501"/>
      <c r="D202" s="501"/>
      <c r="E202" s="501"/>
      <c r="F202" s="501"/>
      <c r="G202" s="501"/>
      <c r="H202" s="501"/>
      <c r="I202" s="501"/>
      <c r="J202" s="501"/>
      <c r="K202" s="501"/>
      <c r="L202" s="501"/>
      <c r="M202" s="501"/>
      <c r="N202" s="501"/>
      <c r="O202" s="501"/>
      <c r="P202" s="501"/>
      <c r="Q202" s="501"/>
      <c r="R202" s="501"/>
      <c r="S202" s="501"/>
      <c r="T202" s="501"/>
      <c r="U202" s="501"/>
      <c r="V202" s="501"/>
    </row>
    <row r="203" ht="23.25" customHeight="1">
      <c r="A203" s="501"/>
      <c r="B203" s="501"/>
      <c r="C203" s="501"/>
      <c r="D203" s="501"/>
      <c r="E203" s="501"/>
      <c r="F203" s="501"/>
      <c r="G203" s="501"/>
      <c r="H203" s="501"/>
      <c r="I203" s="501"/>
      <c r="J203" s="501"/>
      <c r="K203" s="501"/>
      <c r="L203" s="501"/>
      <c r="M203" s="501"/>
      <c r="N203" s="501"/>
      <c r="O203" s="501"/>
      <c r="P203" s="501"/>
      <c r="Q203" s="501"/>
      <c r="R203" s="501"/>
      <c r="S203" s="501"/>
      <c r="T203" s="501"/>
      <c r="U203" s="501"/>
      <c r="V203" s="501"/>
    </row>
    <row r="204" ht="23.25" customHeight="1">
      <c r="A204" s="501"/>
      <c r="B204" s="501"/>
      <c r="C204" s="501"/>
      <c r="D204" s="501"/>
      <c r="E204" s="501"/>
      <c r="F204" s="501"/>
      <c r="G204" s="501"/>
      <c r="H204" s="501"/>
      <c r="I204" s="501"/>
      <c r="J204" s="501"/>
      <c r="K204" s="501"/>
      <c r="L204" s="501"/>
      <c r="M204" s="501"/>
      <c r="N204" s="501"/>
      <c r="O204" s="501"/>
      <c r="P204" s="501"/>
      <c r="Q204" s="501"/>
      <c r="R204" s="501"/>
      <c r="S204" s="501"/>
      <c r="T204" s="501"/>
      <c r="U204" s="501"/>
      <c r="V204" s="501"/>
    </row>
    <row r="205" ht="23.25" customHeight="1">
      <c r="A205" s="501"/>
      <c r="B205" s="501"/>
      <c r="C205" s="501"/>
      <c r="D205" s="501"/>
      <c r="E205" s="501"/>
      <c r="F205" s="501"/>
      <c r="G205" s="501"/>
      <c r="H205" s="501"/>
      <c r="I205" s="501"/>
      <c r="J205" s="501"/>
      <c r="K205" s="501"/>
      <c r="L205" s="501"/>
      <c r="M205" s="501"/>
      <c r="N205" s="501"/>
      <c r="O205" s="501"/>
      <c r="P205" s="501"/>
      <c r="Q205" s="501"/>
      <c r="R205" s="501"/>
      <c r="S205" s="501"/>
      <c r="T205" s="501"/>
      <c r="U205" s="501"/>
      <c r="V205" s="501"/>
    </row>
    <row r="206" ht="23.25" customHeight="1">
      <c r="A206" s="501"/>
      <c r="B206" s="501"/>
      <c r="C206" s="501"/>
      <c r="D206" s="501"/>
      <c r="E206" s="501"/>
      <c r="F206" s="501"/>
      <c r="G206" s="501"/>
      <c r="H206" s="501"/>
      <c r="I206" s="501"/>
      <c r="J206" s="501"/>
      <c r="K206" s="501"/>
      <c r="L206" s="501"/>
      <c r="M206" s="501"/>
      <c r="N206" s="501"/>
      <c r="O206" s="501"/>
      <c r="P206" s="501"/>
      <c r="Q206" s="501"/>
      <c r="R206" s="501"/>
      <c r="S206" s="501"/>
      <c r="T206" s="501"/>
      <c r="U206" s="501"/>
      <c r="V206" s="501"/>
    </row>
    <row r="207" ht="23.25" customHeight="1">
      <c r="A207" s="501"/>
      <c r="B207" s="501"/>
      <c r="C207" s="501"/>
      <c r="D207" s="501"/>
      <c r="E207" s="501"/>
      <c r="F207" s="501"/>
      <c r="G207" s="501"/>
      <c r="H207" s="501"/>
      <c r="I207" s="501"/>
      <c r="J207" s="501"/>
      <c r="K207" s="501"/>
      <c r="L207" s="501"/>
      <c r="M207" s="501"/>
      <c r="N207" s="501"/>
      <c r="O207" s="501"/>
      <c r="P207" s="501"/>
      <c r="Q207" s="501"/>
      <c r="R207" s="501"/>
      <c r="S207" s="501"/>
      <c r="T207" s="501"/>
      <c r="U207" s="501"/>
      <c r="V207" s="501"/>
    </row>
    <row r="208" ht="23.25" customHeight="1">
      <c r="A208" s="501"/>
      <c r="B208" s="501"/>
      <c r="C208" s="501"/>
      <c r="D208" s="501"/>
      <c r="E208" s="501"/>
      <c r="F208" s="501"/>
      <c r="G208" s="501"/>
      <c r="H208" s="501"/>
      <c r="I208" s="501"/>
      <c r="J208" s="501"/>
      <c r="K208" s="501"/>
      <c r="L208" s="501"/>
      <c r="M208" s="501"/>
      <c r="N208" s="501"/>
      <c r="O208" s="501"/>
      <c r="P208" s="501"/>
      <c r="Q208" s="501"/>
      <c r="R208" s="501"/>
      <c r="S208" s="501"/>
      <c r="T208" s="501"/>
      <c r="U208" s="501"/>
      <c r="V208" s="501"/>
    </row>
    <row r="209" ht="23.25" customHeight="1">
      <c r="A209" s="501"/>
      <c r="B209" s="501"/>
      <c r="C209" s="501"/>
      <c r="D209" s="501"/>
      <c r="E209" s="501"/>
      <c r="F209" s="501"/>
      <c r="G209" s="501"/>
      <c r="H209" s="501"/>
      <c r="I209" s="501"/>
      <c r="J209" s="501"/>
      <c r="K209" s="501"/>
      <c r="L209" s="501"/>
      <c r="M209" s="501"/>
      <c r="N209" s="501"/>
      <c r="O209" s="501"/>
      <c r="P209" s="501"/>
      <c r="Q209" s="501"/>
      <c r="R209" s="501"/>
      <c r="S209" s="501"/>
      <c r="T209" s="501"/>
      <c r="U209" s="501"/>
      <c r="V209" s="501"/>
    </row>
    <row r="210" ht="23.25" customHeight="1">
      <c r="A210" s="501"/>
      <c r="B210" s="501"/>
      <c r="C210" s="501"/>
      <c r="D210" s="501"/>
      <c r="E210" s="501"/>
      <c r="F210" s="501"/>
      <c r="G210" s="501"/>
      <c r="H210" s="501"/>
      <c r="I210" s="501"/>
      <c r="J210" s="501"/>
      <c r="K210" s="501"/>
      <c r="L210" s="501"/>
      <c r="M210" s="501"/>
      <c r="N210" s="501"/>
      <c r="O210" s="501"/>
      <c r="P210" s="501"/>
      <c r="Q210" s="501"/>
      <c r="R210" s="501"/>
      <c r="S210" s="501"/>
      <c r="T210" s="501"/>
      <c r="U210" s="501"/>
      <c r="V210" s="501"/>
    </row>
    <row r="211" ht="23.25" customHeight="1">
      <c r="A211" s="501"/>
      <c r="B211" s="501"/>
      <c r="C211" s="501"/>
      <c r="D211" s="501"/>
      <c r="E211" s="501"/>
      <c r="F211" s="501"/>
      <c r="G211" s="501"/>
      <c r="H211" s="501"/>
      <c r="I211" s="501"/>
      <c r="J211" s="501"/>
      <c r="K211" s="501"/>
      <c r="L211" s="501"/>
      <c r="M211" s="501"/>
      <c r="N211" s="501"/>
      <c r="O211" s="501"/>
      <c r="P211" s="501"/>
      <c r="Q211" s="501"/>
      <c r="R211" s="501"/>
      <c r="S211" s="501"/>
      <c r="T211" s="501"/>
      <c r="U211" s="501"/>
      <c r="V211" s="501"/>
    </row>
    <row r="212" ht="23.25" customHeight="1">
      <c r="A212" s="501"/>
      <c r="B212" s="501"/>
      <c r="C212" s="501"/>
      <c r="D212" s="501"/>
      <c r="E212" s="501"/>
      <c r="F212" s="501"/>
      <c r="G212" s="501"/>
      <c r="H212" s="501"/>
      <c r="I212" s="501"/>
      <c r="J212" s="501"/>
      <c r="K212" s="501"/>
      <c r="L212" s="501"/>
      <c r="M212" s="501"/>
      <c r="N212" s="501"/>
      <c r="O212" s="501"/>
      <c r="P212" s="501"/>
      <c r="Q212" s="501"/>
      <c r="R212" s="501"/>
      <c r="S212" s="501"/>
      <c r="T212" s="501"/>
      <c r="U212" s="501"/>
      <c r="V212" s="501"/>
    </row>
    <row r="213" ht="23.25" customHeight="1">
      <c r="A213" s="501"/>
      <c r="B213" s="501"/>
      <c r="C213" s="501"/>
      <c r="D213" s="501"/>
      <c r="E213" s="501"/>
      <c r="F213" s="501"/>
      <c r="G213" s="501"/>
      <c r="H213" s="501"/>
      <c r="I213" s="501"/>
      <c r="J213" s="501"/>
      <c r="K213" s="501"/>
      <c r="L213" s="501"/>
      <c r="M213" s="501"/>
      <c r="N213" s="501"/>
      <c r="O213" s="501"/>
      <c r="P213" s="501"/>
      <c r="Q213" s="501"/>
      <c r="R213" s="501"/>
      <c r="S213" s="501"/>
      <c r="T213" s="501"/>
      <c r="U213" s="501"/>
      <c r="V213" s="501"/>
    </row>
    <row r="214" ht="23.25" customHeight="1">
      <c r="A214" s="501"/>
      <c r="B214" s="501"/>
      <c r="C214" s="501"/>
      <c r="D214" s="501"/>
      <c r="E214" s="501"/>
      <c r="F214" s="501"/>
      <c r="G214" s="501"/>
      <c r="H214" s="501"/>
      <c r="I214" s="501"/>
      <c r="J214" s="501"/>
      <c r="K214" s="501"/>
      <c r="L214" s="501"/>
      <c r="M214" s="501"/>
      <c r="N214" s="501"/>
      <c r="O214" s="501"/>
      <c r="P214" s="501"/>
      <c r="Q214" s="501"/>
      <c r="R214" s="501"/>
      <c r="S214" s="501"/>
      <c r="T214" s="501"/>
      <c r="U214" s="501"/>
      <c r="V214" s="501"/>
    </row>
    <row r="215" ht="23.25" customHeight="1">
      <c r="A215" s="501"/>
      <c r="B215" s="501"/>
      <c r="C215" s="501"/>
      <c r="D215" s="501"/>
      <c r="E215" s="501"/>
      <c r="F215" s="501"/>
      <c r="G215" s="501"/>
      <c r="H215" s="501"/>
      <c r="I215" s="501"/>
      <c r="J215" s="501"/>
      <c r="K215" s="501"/>
      <c r="L215" s="501"/>
      <c r="M215" s="501"/>
      <c r="N215" s="501"/>
      <c r="O215" s="501"/>
      <c r="P215" s="501"/>
      <c r="Q215" s="501"/>
      <c r="R215" s="501"/>
      <c r="S215" s="501"/>
      <c r="T215" s="501"/>
      <c r="U215" s="501"/>
      <c r="V215" s="501"/>
    </row>
    <row r="216" ht="23.25" customHeight="1">
      <c r="A216" s="501"/>
      <c r="B216" s="501"/>
      <c r="C216" s="501"/>
      <c r="D216" s="501"/>
      <c r="E216" s="501"/>
      <c r="F216" s="501"/>
      <c r="G216" s="501"/>
      <c r="H216" s="501"/>
      <c r="I216" s="501"/>
      <c r="J216" s="501"/>
      <c r="K216" s="501"/>
      <c r="L216" s="501"/>
      <c r="M216" s="501"/>
      <c r="N216" s="501"/>
      <c r="O216" s="501"/>
      <c r="P216" s="501"/>
      <c r="Q216" s="501"/>
      <c r="R216" s="501"/>
      <c r="S216" s="501"/>
      <c r="T216" s="501"/>
      <c r="U216" s="501"/>
      <c r="V216" s="501"/>
    </row>
    <row r="217" ht="23.25" customHeight="1">
      <c r="A217" s="501"/>
      <c r="B217" s="501"/>
      <c r="C217" s="501"/>
      <c r="D217" s="501"/>
      <c r="E217" s="501"/>
      <c r="F217" s="501"/>
      <c r="G217" s="501"/>
      <c r="H217" s="501"/>
      <c r="I217" s="501"/>
      <c r="J217" s="501"/>
      <c r="K217" s="501"/>
      <c r="L217" s="501"/>
      <c r="M217" s="501"/>
      <c r="N217" s="501"/>
      <c r="O217" s="501"/>
      <c r="P217" s="501"/>
      <c r="Q217" s="501"/>
      <c r="R217" s="501"/>
      <c r="S217" s="501"/>
      <c r="T217" s="501"/>
      <c r="U217" s="501"/>
      <c r="V217" s="501"/>
    </row>
    <row r="218" ht="23.25" customHeight="1">
      <c r="A218" s="501"/>
      <c r="B218" s="501"/>
      <c r="C218" s="501"/>
      <c r="D218" s="501"/>
      <c r="E218" s="501"/>
      <c r="F218" s="501"/>
      <c r="G218" s="501"/>
      <c r="H218" s="501"/>
      <c r="I218" s="501"/>
      <c r="J218" s="501"/>
      <c r="K218" s="501"/>
      <c r="L218" s="501"/>
      <c r="M218" s="501"/>
      <c r="N218" s="501"/>
      <c r="O218" s="501"/>
      <c r="P218" s="501"/>
      <c r="Q218" s="501"/>
      <c r="R218" s="501"/>
      <c r="S218" s="501"/>
      <c r="T218" s="501"/>
      <c r="U218" s="501"/>
      <c r="V218" s="501"/>
    </row>
    <row r="219" ht="23.25" customHeight="1">
      <c r="A219" s="501"/>
      <c r="B219" s="501"/>
      <c r="C219" s="501"/>
      <c r="D219" s="501"/>
      <c r="E219" s="501"/>
      <c r="F219" s="501"/>
      <c r="G219" s="501"/>
      <c r="H219" s="501"/>
      <c r="I219" s="501"/>
      <c r="J219" s="501"/>
      <c r="K219" s="501"/>
      <c r="L219" s="501"/>
      <c r="M219" s="501"/>
      <c r="N219" s="501"/>
      <c r="O219" s="501"/>
      <c r="P219" s="501"/>
      <c r="Q219" s="501"/>
      <c r="R219" s="501"/>
      <c r="S219" s="501"/>
      <c r="T219" s="501"/>
      <c r="U219" s="501"/>
      <c r="V219" s="501"/>
    </row>
    <row r="220" ht="23.25" customHeight="1">
      <c r="A220" s="501"/>
      <c r="B220" s="501"/>
      <c r="C220" s="501"/>
      <c r="D220" s="501"/>
      <c r="E220" s="501"/>
      <c r="F220" s="501"/>
      <c r="G220" s="501"/>
      <c r="H220" s="501"/>
      <c r="I220" s="501"/>
      <c r="J220" s="501"/>
      <c r="K220" s="501"/>
      <c r="L220" s="501"/>
      <c r="M220" s="501"/>
      <c r="N220" s="501"/>
      <c r="O220" s="501"/>
      <c r="P220" s="501"/>
      <c r="Q220" s="501"/>
      <c r="R220" s="501"/>
      <c r="S220" s="501"/>
      <c r="T220" s="501"/>
      <c r="U220" s="501"/>
      <c r="V220" s="501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507"/>
      <c r="B1" s="508"/>
      <c r="C1" s="509"/>
      <c r="D1" s="510"/>
      <c r="E1" s="510"/>
      <c r="F1" s="510"/>
      <c r="G1" s="510"/>
      <c r="H1" s="510"/>
      <c r="I1" s="510"/>
      <c r="J1" s="510"/>
      <c r="K1" s="510"/>
      <c r="L1" s="511"/>
      <c r="M1" s="511"/>
      <c r="N1" s="512"/>
      <c r="O1" s="511"/>
      <c r="P1" s="512"/>
      <c r="Q1" s="512"/>
      <c r="R1" s="510"/>
      <c r="S1" s="510"/>
      <c r="T1" s="510"/>
      <c r="U1" s="510"/>
      <c r="V1" s="513"/>
      <c r="W1" s="510"/>
      <c r="X1" s="507"/>
      <c r="Y1" s="510"/>
      <c r="Z1" s="510"/>
    </row>
    <row r="2" ht="21.75" customHeight="1">
      <c r="A2" s="507"/>
      <c r="B2" s="514"/>
      <c r="C2" s="510"/>
      <c r="D2" s="510"/>
      <c r="E2" s="510"/>
      <c r="F2" s="510"/>
      <c r="G2" s="510"/>
      <c r="H2" s="510"/>
      <c r="I2" s="510"/>
      <c r="J2" s="510"/>
      <c r="K2" s="510"/>
      <c r="L2" s="511"/>
      <c r="M2" s="511"/>
      <c r="N2" s="512"/>
      <c r="O2" s="515"/>
      <c r="P2" s="507"/>
      <c r="Q2" s="507"/>
      <c r="R2" s="510"/>
      <c r="S2" s="510"/>
      <c r="T2" s="510"/>
      <c r="U2" s="510"/>
      <c r="V2" s="513"/>
      <c r="W2" s="510"/>
      <c r="X2" s="507"/>
      <c r="Y2" s="510"/>
      <c r="Z2" s="510"/>
    </row>
    <row r="3" ht="21.75" customHeight="1">
      <c r="A3" s="507"/>
      <c r="B3" s="514"/>
      <c r="C3" s="510"/>
      <c r="D3" s="510"/>
      <c r="E3" s="510"/>
      <c r="F3" s="510"/>
      <c r="G3" s="510"/>
      <c r="H3" s="510"/>
      <c r="I3" s="510"/>
      <c r="J3" s="510"/>
      <c r="K3" s="510"/>
      <c r="L3" s="516"/>
      <c r="M3" s="516"/>
      <c r="N3" s="510"/>
      <c r="O3" s="507"/>
      <c r="P3" s="507"/>
      <c r="Q3" s="507"/>
      <c r="R3" s="510"/>
      <c r="S3" s="510"/>
      <c r="T3" s="510"/>
      <c r="U3" s="510"/>
      <c r="V3" s="513"/>
      <c r="W3" s="510"/>
      <c r="X3" s="507"/>
      <c r="Y3" s="510"/>
      <c r="Z3" s="510"/>
    </row>
    <row r="4" ht="21.75" customHeight="1">
      <c r="A4" s="507"/>
      <c r="B4" s="514"/>
      <c r="C4" s="510"/>
      <c r="D4" s="510"/>
      <c r="E4" s="510"/>
      <c r="F4" s="510"/>
      <c r="G4" s="510"/>
      <c r="H4" s="510"/>
      <c r="I4" s="510"/>
      <c r="J4" s="510"/>
      <c r="K4" s="510"/>
      <c r="L4" s="512"/>
      <c r="M4" s="512"/>
      <c r="N4" s="510"/>
      <c r="O4" s="507"/>
      <c r="P4" s="507"/>
      <c r="Q4" s="507"/>
      <c r="R4" s="510"/>
      <c r="S4" s="510"/>
      <c r="T4" s="510"/>
      <c r="U4" s="510"/>
      <c r="V4" s="513"/>
      <c r="W4" s="510"/>
      <c r="X4" s="507"/>
      <c r="Y4" s="507"/>
      <c r="Z4" s="510"/>
    </row>
    <row r="5" ht="26.25" customHeight="1">
      <c r="A5" s="507"/>
      <c r="B5" s="514"/>
      <c r="C5" s="517"/>
      <c r="D5" s="510"/>
      <c r="E5" s="518"/>
      <c r="F5" s="510"/>
      <c r="G5" s="510"/>
      <c r="H5" s="510"/>
      <c r="I5" s="510"/>
      <c r="J5" s="510"/>
      <c r="K5" s="510"/>
      <c r="L5" s="519"/>
      <c r="M5" s="519"/>
      <c r="N5" s="510"/>
      <c r="O5" s="507"/>
      <c r="P5" s="507"/>
      <c r="Q5" s="507"/>
      <c r="R5" s="510"/>
      <c r="S5" s="510"/>
      <c r="T5" s="510"/>
      <c r="U5" s="510"/>
      <c r="V5" s="513"/>
      <c r="W5" s="510"/>
      <c r="X5" s="507"/>
      <c r="Y5" s="507"/>
      <c r="Z5" s="510"/>
    </row>
    <row r="6" ht="26.25" customHeight="1">
      <c r="A6" s="507"/>
      <c r="B6" s="514"/>
      <c r="C6" s="510"/>
      <c r="D6" s="510"/>
      <c r="E6" s="510"/>
      <c r="F6" s="510"/>
      <c r="G6" s="510"/>
      <c r="H6" s="510"/>
      <c r="I6" s="510"/>
      <c r="J6" s="510"/>
      <c r="K6" s="520"/>
      <c r="L6" s="510"/>
      <c r="M6" s="510"/>
      <c r="N6" s="510"/>
      <c r="O6" s="507"/>
      <c r="P6" s="507"/>
      <c r="Q6" s="507"/>
      <c r="R6" s="510"/>
      <c r="S6" s="510"/>
      <c r="T6" s="510"/>
      <c r="U6" s="510"/>
      <c r="V6" s="513"/>
      <c r="W6" s="510"/>
      <c r="X6" s="507"/>
      <c r="Y6" s="507"/>
      <c r="Z6" s="510"/>
    </row>
    <row r="7" ht="26.25" customHeight="1">
      <c r="A7" s="507"/>
      <c r="B7" s="514"/>
      <c r="C7" s="510"/>
      <c r="D7" s="510"/>
      <c r="E7" s="510"/>
      <c r="F7" s="510"/>
      <c r="G7" s="510"/>
      <c r="H7" s="510"/>
      <c r="I7" s="510"/>
      <c r="J7" s="510"/>
      <c r="K7" s="520"/>
      <c r="L7" s="510"/>
      <c r="M7" s="510"/>
      <c r="N7" s="510"/>
      <c r="O7" s="507"/>
      <c r="P7" s="507"/>
      <c r="Q7" s="507"/>
      <c r="R7" s="510"/>
      <c r="S7" s="510"/>
      <c r="T7" s="510"/>
      <c r="U7" s="510"/>
      <c r="V7" s="513"/>
      <c r="W7" s="510"/>
      <c r="X7" s="507"/>
      <c r="Y7" s="507"/>
      <c r="Z7" s="510"/>
    </row>
    <row r="8" ht="26.25" customHeight="1">
      <c r="A8" s="507"/>
      <c r="B8" s="508"/>
      <c r="C8" s="510"/>
      <c r="D8" s="510"/>
      <c r="E8" s="510"/>
      <c r="F8" s="510"/>
      <c r="G8" s="510"/>
      <c r="H8" s="510"/>
      <c r="I8" s="510"/>
      <c r="J8" s="510"/>
      <c r="K8" s="520"/>
      <c r="L8" s="510"/>
      <c r="M8" s="510"/>
      <c r="N8" s="510"/>
      <c r="O8" s="507"/>
      <c r="P8" s="507"/>
      <c r="Q8" s="507"/>
      <c r="R8" s="510"/>
      <c r="S8" s="510"/>
      <c r="T8" s="510"/>
      <c r="U8" s="510"/>
      <c r="V8" s="513"/>
      <c r="W8" s="510"/>
      <c r="X8" s="507"/>
      <c r="Y8" s="507"/>
      <c r="Z8" s="507"/>
    </row>
    <row r="9" ht="26.25" customHeight="1">
      <c r="A9" s="507"/>
      <c r="B9" s="508" t="s">
        <v>266</v>
      </c>
      <c r="C9" s="510" t="s">
        <v>267</v>
      </c>
      <c r="D9" s="510" t="s">
        <v>268</v>
      </c>
      <c r="E9" s="510"/>
      <c r="F9" s="510"/>
      <c r="G9" s="510"/>
      <c r="H9" s="221"/>
      <c r="I9" s="510"/>
      <c r="J9" s="521"/>
      <c r="K9" s="522"/>
      <c r="L9" s="510"/>
      <c r="M9" s="510"/>
      <c r="N9" s="510"/>
      <c r="O9" s="507"/>
      <c r="P9" s="507"/>
      <c r="Q9" s="507"/>
      <c r="R9" s="510"/>
      <c r="S9" s="510"/>
      <c r="T9" s="510"/>
      <c r="U9" s="510"/>
      <c r="V9" s="508"/>
      <c r="W9" s="510"/>
      <c r="X9" s="510"/>
      <c r="Y9" s="510"/>
      <c r="Z9" s="507"/>
    </row>
    <row r="10" ht="26.25" customHeight="1">
      <c r="A10" s="507"/>
      <c r="B10" s="508">
        <v>1.0</v>
      </c>
      <c r="C10" s="523"/>
      <c r="D10" s="524"/>
      <c r="E10" s="510"/>
      <c r="F10" s="510"/>
      <c r="G10" s="510"/>
      <c r="H10" s="221"/>
      <c r="I10" s="510"/>
      <c r="J10" s="525"/>
      <c r="K10" s="520"/>
      <c r="L10" s="510"/>
      <c r="M10" s="510"/>
      <c r="N10" s="510"/>
      <c r="O10" s="507"/>
      <c r="P10" s="507"/>
      <c r="Q10" s="507"/>
      <c r="R10" s="510"/>
      <c r="S10" s="510"/>
      <c r="T10" s="510"/>
      <c r="U10" s="510"/>
      <c r="V10" s="508"/>
      <c r="W10" s="508"/>
      <c r="X10" s="515"/>
      <c r="Y10" s="515"/>
      <c r="Z10" s="507"/>
    </row>
    <row r="11" ht="26.25" customHeight="1">
      <c r="A11" s="507"/>
      <c r="B11" s="508">
        <v>2.0</v>
      </c>
      <c r="C11" s="508"/>
      <c r="D11" s="524"/>
      <c r="E11" s="508"/>
      <c r="F11" s="526"/>
      <c r="G11" s="526"/>
      <c r="H11" s="508"/>
      <c r="I11" s="521"/>
      <c r="J11" s="521"/>
      <c r="K11" s="510"/>
      <c r="L11" s="510"/>
      <c r="M11" s="510"/>
      <c r="N11" s="510"/>
      <c r="O11" s="507"/>
      <c r="P11" s="507"/>
      <c r="Q11" s="507"/>
      <c r="R11" s="510"/>
      <c r="S11" s="510"/>
      <c r="T11" s="510"/>
      <c r="U11" s="510"/>
      <c r="V11" s="508"/>
      <c r="W11" s="527"/>
      <c r="X11" s="528"/>
      <c r="Y11" s="528"/>
      <c r="Z11" s="507"/>
    </row>
    <row r="12" ht="26.25" customHeight="1">
      <c r="A12" s="507"/>
      <c r="B12" s="508">
        <v>3.0</v>
      </c>
      <c r="C12" s="529"/>
      <c r="D12" s="524"/>
      <c r="E12" s="508"/>
      <c r="F12" s="526"/>
      <c r="G12" s="526"/>
      <c r="H12" s="508"/>
      <c r="I12" s="521"/>
      <c r="J12" s="521"/>
      <c r="K12" s="510"/>
      <c r="L12" s="510"/>
      <c r="M12" s="510"/>
      <c r="N12" s="510"/>
      <c r="O12" s="507"/>
      <c r="P12" s="507"/>
      <c r="Q12" s="507"/>
      <c r="R12" s="510"/>
      <c r="S12" s="510"/>
      <c r="T12" s="510"/>
      <c r="U12" s="510"/>
      <c r="V12" s="508"/>
      <c r="W12" s="527"/>
      <c r="X12" s="528"/>
      <c r="Y12" s="528"/>
      <c r="Z12" s="507"/>
    </row>
    <row r="13" ht="26.25" customHeight="1">
      <c r="A13" s="507"/>
      <c r="B13" s="508">
        <v>4.0</v>
      </c>
      <c r="C13" s="515"/>
      <c r="D13" s="524"/>
      <c r="E13" s="508"/>
      <c r="F13" s="515"/>
      <c r="G13" s="515"/>
      <c r="H13" s="508"/>
      <c r="I13" s="521"/>
      <c r="J13" s="521"/>
      <c r="K13" s="510"/>
      <c r="L13" s="510"/>
      <c r="M13" s="510"/>
      <c r="N13" s="510"/>
      <c r="O13" s="507"/>
      <c r="P13" s="507"/>
      <c r="Q13" s="507"/>
      <c r="R13" s="510"/>
      <c r="S13" s="510"/>
      <c r="T13" s="510"/>
      <c r="U13" s="510"/>
      <c r="V13" s="508"/>
      <c r="W13" s="527"/>
      <c r="X13" s="509"/>
      <c r="Y13" s="509"/>
      <c r="Z13" s="507"/>
    </row>
    <row r="14" ht="26.25" customHeight="1">
      <c r="A14" s="507"/>
      <c r="B14" s="508">
        <v>5.0</v>
      </c>
      <c r="C14" s="530"/>
      <c r="D14" s="524"/>
      <c r="E14" s="508"/>
      <c r="F14" s="515"/>
      <c r="G14" s="515"/>
      <c r="H14" s="508"/>
      <c r="I14" s="521"/>
      <c r="J14" s="521"/>
      <c r="K14" s="510"/>
      <c r="L14" s="510"/>
      <c r="M14" s="510"/>
      <c r="N14" s="510"/>
      <c r="O14" s="507"/>
      <c r="P14" s="507"/>
      <c r="Q14" s="507"/>
      <c r="R14" s="510"/>
      <c r="S14" s="510"/>
      <c r="T14" s="510"/>
      <c r="U14" s="510"/>
      <c r="V14" s="508"/>
      <c r="W14" s="527"/>
      <c r="X14" s="528"/>
      <c r="Y14" s="528"/>
      <c r="Z14" s="507"/>
    </row>
    <row r="15" ht="26.25" customHeight="1">
      <c r="A15" s="507"/>
      <c r="B15" s="508">
        <v>6.0</v>
      </c>
      <c r="C15" s="515"/>
      <c r="D15" s="524"/>
      <c r="E15" s="508"/>
      <c r="F15" s="515"/>
      <c r="G15" s="515"/>
      <c r="H15" s="508"/>
      <c r="I15" s="521"/>
      <c r="J15" s="521"/>
      <c r="K15" s="510"/>
      <c r="L15" s="510"/>
      <c r="M15" s="510"/>
      <c r="N15" s="510"/>
      <c r="O15" s="507"/>
      <c r="P15" s="507"/>
      <c r="Q15" s="507"/>
      <c r="R15" s="510"/>
      <c r="S15" s="510"/>
      <c r="T15" s="510"/>
      <c r="U15" s="510"/>
      <c r="V15" s="508"/>
      <c r="W15" s="527"/>
      <c r="X15" s="528"/>
      <c r="Y15" s="528"/>
      <c r="Z15" s="507"/>
    </row>
    <row r="16" ht="26.25" customHeight="1">
      <c r="A16" s="507"/>
      <c r="B16" s="508">
        <v>7.0</v>
      </c>
      <c r="C16" s="531"/>
      <c r="D16" s="524"/>
      <c r="E16" s="508"/>
      <c r="F16" s="515"/>
      <c r="G16" s="515"/>
      <c r="H16" s="508"/>
      <c r="I16" s="521"/>
      <c r="J16" s="521"/>
      <c r="K16" s="510"/>
      <c r="L16" s="510"/>
      <c r="M16" s="510"/>
      <c r="N16" s="510"/>
      <c r="O16" s="507"/>
      <c r="P16" s="507"/>
      <c r="Q16" s="507"/>
      <c r="R16" s="510"/>
      <c r="S16" s="510"/>
      <c r="T16" s="510"/>
      <c r="U16" s="510"/>
      <c r="V16" s="508"/>
      <c r="W16" s="508"/>
      <c r="X16" s="515"/>
      <c r="Y16" s="515"/>
      <c r="Z16" s="507"/>
    </row>
    <row r="17" ht="26.25" customHeight="1">
      <c r="A17" s="507"/>
      <c r="B17" s="508">
        <v>8.0</v>
      </c>
      <c r="C17" s="532"/>
      <c r="D17" s="524"/>
      <c r="E17" s="508"/>
      <c r="F17" s="515"/>
      <c r="G17" s="515"/>
      <c r="H17" s="508"/>
      <c r="I17" s="521"/>
      <c r="J17" s="521"/>
      <c r="K17" s="510"/>
      <c r="L17" s="510"/>
      <c r="M17" s="510"/>
      <c r="N17" s="510"/>
      <c r="O17" s="507"/>
      <c r="P17" s="507"/>
      <c r="Q17" s="507"/>
      <c r="R17" s="510"/>
      <c r="S17" s="510"/>
      <c r="T17" s="510"/>
      <c r="U17" s="510"/>
      <c r="V17" s="508"/>
      <c r="W17" s="508"/>
      <c r="X17" s="515"/>
      <c r="Y17" s="515"/>
      <c r="Z17" s="507"/>
    </row>
    <row r="18" ht="26.25" customHeight="1">
      <c r="A18" s="507"/>
      <c r="B18" s="508">
        <v>9.0</v>
      </c>
      <c r="C18" s="529"/>
      <c r="D18" s="533"/>
      <c r="E18" s="508"/>
      <c r="F18" s="515"/>
      <c r="G18" s="515"/>
      <c r="H18" s="508"/>
      <c r="I18" s="521"/>
      <c r="J18" s="521"/>
      <c r="K18" s="510"/>
      <c r="L18" s="510"/>
      <c r="M18" s="510"/>
      <c r="N18" s="510"/>
      <c r="O18" s="507"/>
      <c r="P18" s="507"/>
      <c r="Q18" s="507"/>
      <c r="R18" s="510"/>
      <c r="S18" s="510"/>
      <c r="T18" s="510"/>
      <c r="U18" s="510"/>
      <c r="V18" s="508"/>
      <c r="W18" s="508"/>
      <c r="X18" s="515"/>
      <c r="Y18" s="515"/>
      <c r="Z18" s="507"/>
    </row>
    <row r="19" ht="26.25" customHeight="1">
      <c r="A19" s="507"/>
      <c r="B19" s="508">
        <v>10.0</v>
      </c>
      <c r="C19" s="508"/>
      <c r="D19" s="524"/>
      <c r="E19" s="508"/>
      <c r="F19" s="515"/>
      <c r="G19" s="515"/>
      <c r="H19" s="508"/>
      <c r="I19" s="521"/>
      <c r="J19" s="521"/>
      <c r="K19" s="510"/>
      <c r="L19" s="510"/>
      <c r="M19" s="510"/>
      <c r="N19" s="510"/>
      <c r="O19" s="507"/>
      <c r="P19" s="507"/>
      <c r="Q19" s="507"/>
      <c r="R19" s="510"/>
      <c r="S19" s="510"/>
      <c r="T19" s="510"/>
      <c r="U19" s="510"/>
      <c r="V19" s="508"/>
      <c r="W19" s="508"/>
      <c r="X19" s="515"/>
      <c r="Y19" s="515"/>
      <c r="Z19" s="507"/>
    </row>
    <row r="20" ht="26.25" customHeight="1">
      <c r="A20" s="507"/>
      <c r="B20" s="508">
        <v>11.0</v>
      </c>
      <c r="C20" s="534"/>
      <c r="D20" s="524"/>
      <c r="E20" s="508"/>
      <c r="F20" s="515"/>
      <c r="G20" s="515"/>
      <c r="H20" s="508"/>
      <c r="I20" s="521"/>
      <c r="J20" s="521"/>
      <c r="K20" s="510"/>
      <c r="L20" s="510"/>
      <c r="M20" s="510"/>
      <c r="N20" s="510"/>
      <c r="O20" s="507"/>
      <c r="P20" s="507"/>
      <c r="Q20" s="507"/>
      <c r="R20" s="510"/>
      <c r="S20" s="510"/>
      <c r="T20" s="510"/>
      <c r="U20" s="510"/>
      <c r="V20" s="508"/>
      <c r="W20" s="508"/>
      <c r="X20" s="515"/>
      <c r="Y20" s="515"/>
      <c r="Z20" s="507"/>
    </row>
    <row r="21" ht="26.25" customHeight="1">
      <c r="A21" s="507"/>
      <c r="B21" s="508">
        <v>12.0</v>
      </c>
      <c r="C21" s="529"/>
      <c r="D21" s="524"/>
      <c r="E21" s="508"/>
      <c r="F21" s="515"/>
      <c r="G21" s="515"/>
      <c r="H21" s="508"/>
      <c r="I21" s="521"/>
      <c r="J21" s="521"/>
      <c r="K21" s="510"/>
      <c r="L21" s="510"/>
      <c r="M21" s="510"/>
      <c r="N21" s="510"/>
      <c r="O21" s="507"/>
      <c r="P21" s="507"/>
      <c r="Q21" s="507"/>
      <c r="R21" s="510"/>
      <c r="S21" s="510"/>
      <c r="T21" s="510"/>
      <c r="U21" s="510"/>
      <c r="V21" s="508"/>
      <c r="W21" s="508"/>
      <c r="X21" s="515"/>
      <c r="Y21" s="515"/>
      <c r="Z21" s="507"/>
    </row>
    <row r="22" ht="26.25" customHeight="1">
      <c r="A22" s="507"/>
      <c r="B22" s="508">
        <v>13.0</v>
      </c>
      <c r="C22" s="508"/>
      <c r="D22" s="524"/>
      <c r="E22" s="508"/>
      <c r="F22" s="515"/>
      <c r="G22" s="515"/>
      <c r="H22" s="508"/>
      <c r="I22" s="521"/>
      <c r="J22" s="521"/>
      <c r="K22" s="510"/>
      <c r="L22" s="510"/>
      <c r="M22" s="510"/>
      <c r="N22" s="510"/>
      <c r="O22" s="507"/>
      <c r="P22" s="507"/>
      <c r="Q22" s="507"/>
      <c r="R22" s="510"/>
      <c r="S22" s="510"/>
      <c r="T22" s="510"/>
      <c r="U22" s="510"/>
      <c r="V22" s="508"/>
      <c r="W22" s="535"/>
      <c r="X22" s="515"/>
      <c r="Y22" s="515"/>
      <c r="Z22" s="507"/>
    </row>
    <row r="23" ht="26.25" customHeight="1">
      <c r="A23" s="507"/>
      <c r="B23" s="508">
        <v>14.0</v>
      </c>
      <c r="C23" s="530"/>
      <c r="D23" s="524"/>
      <c r="E23" s="508"/>
      <c r="F23" s="515"/>
      <c r="G23" s="515"/>
      <c r="H23" s="508"/>
      <c r="I23" s="521"/>
      <c r="J23" s="521"/>
      <c r="K23" s="510"/>
      <c r="L23" s="510"/>
      <c r="M23" s="510"/>
      <c r="N23" s="510"/>
      <c r="O23" s="507"/>
      <c r="P23" s="507"/>
      <c r="Q23" s="507"/>
      <c r="R23" s="510"/>
      <c r="S23" s="510"/>
      <c r="T23" s="510"/>
      <c r="U23" s="510"/>
      <c r="V23" s="508"/>
      <c r="W23" s="535"/>
      <c r="X23" s="515"/>
      <c r="Y23" s="515"/>
      <c r="Z23" s="507"/>
    </row>
    <row r="24" ht="26.25" customHeight="1">
      <c r="A24" s="507"/>
      <c r="B24" s="508">
        <v>15.0</v>
      </c>
      <c r="C24" s="515"/>
      <c r="D24" s="524"/>
      <c r="E24" s="508"/>
      <c r="F24" s="515"/>
      <c r="G24" s="515"/>
      <c r="H24" s="508"/>
      <c r="I24" s="521"/>
      <c r="J24" s="521"/>
      <c r="K24" s="510"/>
      <c r="L24" s="510"/>
      <c r="M24" s="510"/>
      <c r="N24" s="510"/>
      <c r="O24" s="507"/>
      <c r="P24" s="507"/>
      <c r="Q24" s="507"/>
      <c r="R24" s="510"/>
      <c r="S24" s="510"/>
      <c r="T24" s="510"/>
      <c r="U24" s="510"/>
      <c r="V24" s="508"/>
      <c r="W24" s="535"/>
      <c r="X24" s="515"/>
      <c r="Y24" s="515"/>
      <c r="Z24" s="507"/>
    </row>
    <row r="25" ht="26.25" customHeight="1">
      <c r="A25" s="507"/>
      <c r="B25" s="508">
        <v>16.0</v>
      </c>
      <c r="C25" s="536"/>
      <c r="D25" s="524"/>
      <c r="E25" s="508"/>
      <c r="F25" s="515"/>
      <c r="G25" s="515"/>
      <c r="H25" s="508"/>
      <c r="I25" s="521"/>
      <c r="J25" s="521"/>
      <c r="K25" s="510"/>
      <c r="L25" s="510"/>
      <c r="M25" s="510"/>
      <c r="N25" s="510"/>
      <c r="O25" s="507"/>
      <c r="P25" s="507"/>
      <c r="Q25" s="507"/>
      <c r="R25" s="510"/>
      <c r="S25" s="510"/>
      <c r="T25" s="510"/>
      <c r="U25" s="510"/>
      <c r="V25" s="508"/>
      <c r="W25" s="508"/>
      <c r="X25" s="515"/>
      <c r="Y25" s="515"/>
      <c r="Z25" s="507"/>
    </row>
    <row r="26" ht="26.25" customHeight="1">
      <c r="A26" s="507"/>
      <c r="B26" s="508">
        <v>17.0</v>
      </c>
      <c r="C26" s="530"/>
      <c r="D26" s="524"/>
      <c r="E26" s="508"/>
      <c r="F26" s="515"/>
      <c r="G26" s="515"/>
      <c r="H26" s="508"/>
      <c r="I26" s="521"/>
      <c r="J26" s="521"/>
      <c r="K26" s="510"/>
      <c r="L26" s="510"/>
      <c r="M26" s="510"/>
      <c r="N26" s="510"/>
      <c r="O26" s="507"/>
      <c r="P26" s="507"/>
      <c r="Q26" s="507"/>
      <c r="R26" s="510"/>
      <c r="S26" s="510"/>
      <c r="T26" s="510"/>
      <c r="U26" s="510"/>
      <c r="V26" s="508"/>
      <c r="W26" s="508"/>
      <c r="X26" s="515"/>
      <c r="Y26" s="515"/>
      <c r="Z26" s="507"/>
    </row>
    <row r="27" ht="26.25" customHeight="1">
      <c r="A27" s="507"/>
      <c r="B27" s="508">
        <v>18.0</v>
      </c>
      <c r="C27" s="530"/>
      <c r="D27" s="524"/>
      <c r="E27" s="508"/>
      <c r="F27" s="515"/>
      <c r="G27" s="515"/>
      <c r="H27" s="508"/>
      <c r="I27" s="521"/>
      <c r="J27" s="521"/>
      <c r="K27" s="510"/>
      <c r="L27" s="510"/>
      <c r="M27" s="510"/>
      <c r="N27" s="510"/>
      <c r="O27" s="507"/>
      <c r="P27" s="507"/>
      <c r="Q27" s="507"/>
      <c r="R27" s="510"/>
      <c r="S27" s="510"/>
      <c r="T27" s="510"/>
      <c r="U27" s="510"/>
      <c r="V27" s="508"/>
      <c r="W27" s="508"/>
      <c r="X27" s="515"/>
      <c r="Y27" s="515"/>
      <c r="Z27" s="507"/>
    </row>
    <row r="28" ht="26.25" customHeight="1">
      <c r="A28" s="507"/>
      <c r="B28" s="508">
        <v>19.0</v>
      </c>
      <c r="C28" s="530"/>
      <c r="D28" s="524"/>
      <c r="E28" s="508"/>
      <c r="F28" s="515"/>
      <c r="G28" s="515"/>
      <c r="H28" s="508"/>
      <c r="I28" s="521"/>
      <c r="J28" s="521"/>
      <c r="K28" s="510"/>
      <c r="L28" s="510"/>
      <c r="M28" s="510"/>
      <c r="N28" s="510"/>
      <c r="O28" s="507"/>
      <c r="P28" s="507"/>
      <c r="Q28" s="507"/>
      <c r="R28" s="510"/>
      <c r="S28" s="510"/>
      <c r="T28" s="510"/>
      <c r="U28" s="510"/>
      <c r="V28" s="508"/>
      <c r="W28" s="508"/>
      <c r="X28" s="515"/>
      <c r="Y28" s="515"/>
      <c r="Z28" s="507"/>
    </row>
    <row r="29" ht="26.25" customHeight="1">
      <c r="A29" s="507"/>
      <c r="B29" s="508">
        <v>20.0</v>
      </c>
      <c r="C29" s="523"/>
      <c r="D29" s="524"/>
      <c r="E29" s="508"/>
      <c r="F29" s="515"/>
      <c r="G29" s="515"/>
      <c r="H29" s="508"/>
      <c r="I29" s="521"/>
      <c r="J29" s="521"/>
      <c r="K29" s="510"/>
      <c r="L29" s="510"/>
      <c r="M29" s="510"/>
      <c r="N29" s="510"/>
      <c r="O29" s="507"/>
      <c r="P29" s="507"/>
      <c r="Q29" s="507"/>
      <c r="R29" s="510"/>
      <c r="S29" s="510"/>
      <c r="T29" s="510"/>
      <c r="U29" s="510"/>
      <c r="V29" s="508"/>
      <c r="W29" s="508"/>
      <c r="X29" s="515"/>
      <c r="Y29" s="515"/>
      <c r="Z29" s="507"/>
    </row>
    <row r="30" ht="26.25" customHeight="1">
      <c r="A30" s="507"/>
      <c r="B30" s="508">
        <v>21.0</v>
      </c>
      <c r="C30" s="531"/>
      <c r="D30" s="524"/>
      <c r="E30" s="508"/>
      <c r="F30" s="515"/>
      <c r="G30" s="515"/>
      <c r="H30" s="508"/>
      <c r="I30" s="521"/>
      <c r="J30" s="521"/>
      <c r="K30" s="510"/>
      <c r="L30" s="510"/>
      <c r="M30" s="510"/>
      <c r="N30" s="510"/>
      <c r="O30" s="507"/>
      <c r="P30" s="507"/>
      <c r="Q30" s="507"/>
      <c r="R30" s="510"/>
      <c r="S30" s="510"/>
      <c r="T30" s="510"/>
      <c r="U30" s="510"/>
      <c r="V30" s="508"/>
      <c r="W30" s="508"/>
      <c r="X30" s="515"/>
      <c r="Y30" s="515"/>
      <c r="Z30" s="507"/>
    </row>
    <row r="31" ht="26.25" customHeight="1">
      <c r="A31" s="507"/>
      <c r="B31" s="508">
        <v>22.0</v>
      </c>
      <c r="C31" s="534"/>
      <c r="D31" s="524"/>
      <c r="E31" s="508"/>
      <c r="F31" s="515"/>
      <c r="G31" s="515"/>
      <c r="H31" s="508"/>
      <c r="I31" s="521"/>
      <c r="J31" s="521"/>
      <c r="K31" s="510"/>
      <c r="L31" s="510"/>
      <c r="M31" s="510"/>
      <c r="N31" s="510"/>
      <c r="O31" s="507"/>
      <c r="P31" s="507"/>
      <c r="Q31" s="507"/>
      <c r="R31" s="510"/>
      <c r="S31" s="510"/>
      <c r="T31" s="510"/>
      <c r="U31" s="510"/>
      <c r="V31" s="508"/>
      <c r="W31" s="508"/>
      <c r="X31" s="515"/>
      <c r="Y31" s="515"/>
      <c r="Z31" s="507"/>
    </row>
    <row r="32" ht="26.25" customHeight="1">
      <c r="A32" s="507"/>
      <c r="B32" s="508">
        <v>23.0</v>
      </c>
      <c r="C32" s="529"/>
      <c r="D32" s="524"/>
      <c r="E32" s="508"/>
      <c r="F32" s="515"/>
      <c r="G32" s="515"/>
      <c r="H32" s="508"/>
      <c r="I32" s="521"/>
      <c r="J32" s="521"/>
      <c r="K32" s="510"/>
      <c r="L32" s="510"/>
      <c r="M32" s="510"/>
      <c r="N32" s="510"/>
      <c r="O32" s="507"/>
      <c r="P32" s="507"/>
      <c r="Q32" s="507"/>
      <c r="R32" s="510"/>
      <c r="S32" s="510"/>
      <c r="T32" s="510"/>
      <c r="U32" s="510"/>
      <c r="V32" s="508"/>
      <c r="W32" s="508"/>
      <c r="X32" s="515"/>
      <c r="Y32" s="515"/>
      <c r="Z32" s="507"/>
    </row>
    <row r="33" ht="26.25" customHeight="1">
      <c r="A33" s="507"/>
      <c r="B33" s="508"/>
      <c r="C33" s="508" t="s">
        <v>250</v>
      </c>
      <c r="D33" s="537">
        <f>SUM(D10:D32)</f>
        <v>0</v>
      </c>
      <c r="E33" s="508"/>
      <c r="F33" s="515"/>
      <c r="G33" s="515"/>
      <c r="H33" s="508"/>
      <c r="I33" s="521"/>
      <c r="J33" s="521"/>
      <c r="K33" s="510"/>
      <c r="L33" s="510"/>
      <c r="M33" s="510"/>
      <c r="N33" s="510"/>
      <c r="O33" s="507"/>
      <c r="P33" s="507"/>
      <c r="Q33" s="507"/>
      <c r="R33" s="510"/>
      <c r="S33" s="510"/>
      <c r="T33" s="510"/>
      <c r="U33" s="510"/>
      <c r="V33" s="513"/>
      <c r="W33" s="510"/>
      <c r="X33" s="507"/>
      <c r="Y33" s="507"/>
      <c r="Z33" s="507"/>
    </row>
    <row r="34" ht="26.25" customHeight="1">
      <c r="A34" s="507"/>
      <c r="B34" s="534" t="s">
        <v>269</v>
      </c>
      <c r="C34" s="534">
        <v>30.0</v>
      </c>
      <c r="D34" s="529">
        <v>50.0</v>
      </c>
      <c r="E34" s="524">
        <v>70.0</v>
      </c>
      <c r="F34" s="515"/>
      <c r="G34" s="515"/>
      <c r="H34" s="508"/>
      <c r="I34" s="521"/>
      <c r="J34" s="521"/>
      <c r="K34" s="510"/>
      <c r="L34" s="510"/>
      <c r="M34" s="510"/>
      <c r="N34" s="510"/>
      <c r="O34" s="507"/>
      <c r="P34" s="507"/>
      <c r="Q34" s="507"/>
      <c r="R34" s="510"/>
      <c r="S34" s="510"/>
      <c r="T34" s="510"/>
      <c r="U34" s="510"/>
      <c r="V34" s="513"/>
      <c r="W34" s="510"/>
      <c r="X34" s="507"/>
      <c r="Y34" s="507"/>
      <c r="Z34" s="507"/>
    </row>
    <row r="35" ht="26.25" customHeight="1">
      <c r="A35" s="507"/>
      <c r="B35" s="508" t="s">
        <v>48</v>
      </c>
      <c r="C35" s="515">
        <f>+D10+D16+D20+D25+D29+D30+D31</f>
        <v>0</v>
      </c>
      <c r="D35" s="515">
        <f>+D12+D14+D17+D18+D21+D23+D26+D27+D28+D32</f>
        <v>0</v>
      </c>
      <c r="E35" s="515">
        <f>+D11+D13+D15+D19+D22+D24</f>
        <v>0</v>
      </c>
      <c r="F35" s="537">
        <f>SUM(C35:E35)</f>
        <v>0</v>
      </c>
      <c r="G35" s="515"/>
      <c r="H35" s="508"/>
      <c r="I35" s="521"/>
      <c r="J35" s="521"/>
      <c r="K35" s="510"/>
      <c r="L35" s="510"/>
      <c r="M35" s="510"/>
      <c r="N35" s="510"/>
      <c r="O35" s="507"/>
      <c r="P35" s="507"/>
      <c r="Q35" s="507"/>
      <c r="R35" s="510"/>
      <c r="S35" s="510"/>
      <c r="T35" s="510"/>
      <c r="U35" s="510"/>
      <c r="V35" s="513"/>
      <c r="W35" s="510"/>
      <c r="X35" s="507"/>
      <c r="Y35" s="507"/>
      <c r="Z35" s="507"/>
    </row>
    <row r="36" ht="26.25" customHeight="1">
      <c r="A36" s="507"/>
      <c r="B36" s="508"/>
      <c r="C36" s="508"/>
      <c r="D36" s="508"/>
      <c r="E36" s="508"/>
      <c r="F36" s="515"/>
      <c r="G36" s="515"/>
      <c r="H36" s="508"/>
      <c r="I36" s="521"/>
      <c r="J36" s="521"/>
      <c r="K36" s="510"/>
      <c r="L36" s="510"/>
      <c r="M36" s="510"/>
      <c r="N36" s="510"/>
      <c r="O36" s="507"/>
      <c r="P36" s="507"/>
      <c r="Q36" s="507"/>
      <c r="R36" s="510"/>
      <c r="S36" s="510"/>
      <c r="T36" s="510"/>
      <c r="U36" s="510"/>
      <c r="V36" s="513"/>
      <c r="W36" s="510"/>
      <c r="X36" s="507"/>
      <c r="Y36" s="507"/>
      <c r="Z36" s="507"/>
    </row>
    <row r="37" ht="26.25" customHeight="1">
      <c r="A37" s="507"/>
      <c r="B37" s="508"/>
      <c r="C37" s="508"/>
      <c r="D37" s="508"/>
      <c r="E37" s="508"/>
      <c r="F37" s="515"/>
      <c r="G37" s="515"/>
      <c r="H37" s="508"/>
      <c r="I37" s="521"/>
      <c r="J37" s="521"/>
      <c r="K37" s="510"/>
      <c r="L37" s="510"/>
      <c r="M37" s="510"/>
      <c r="N37" s="510"/>
      <c r="O37" s="507"/>
      <c r="P37" s="507"/>
      <c r="Q37" s="507"/>
      <c r="R37" s="510"/>
      <c r="S37" s="510"/>
      <c r="T37" s="510"/>
      <c r="U37" s="510"/>
      <c r="V37" s="513"/>
      <c r="W37" s="510"/>
      <c r="X37" s="507"/>
      <c r="Y37" s="507"/>
      <c r="Z37" s="507"/>
    </row>
    <row r="38" ht="26.25" customHeight="1">
      <c r="A38" s="507"/>
      <c r="B38" s="508"/>
      <c r="C38" s="515"/>
      <c r="D38" s="508"/>
      <c r="E38" s="508"/>
      <c r="F38" s="515"/>
      <c r="G38" s="515"/>
      <c r="H38" s="508"/>
      <c r="I38" s="521"/>
      <c r="J38" s="521"/>
      <c r="K38" s="510"/>
      <c r="L38" s="510"/>
      <c r="M38" s="510"/>
      <c r="N38" s="510"/>
      <c r="O38" s="507"/>
      <c r="P38" s="507"/>
      <c r="Q38" s="507"/>
      <c r="R38" s="510"/>
      <c r="S38" s="510"/>
      <c r="T38" s="510"/>
      <c r="U38" s="510"/>
      <c r="V38" s="513"/>
      <c r="W38" s="510"/>
      <c r="X38" s="507"/>
      <c r="Y38" s="507"/>
      <c r="Z38" s="507"/>
    </row>
    <row r="39" ht="26.25" customHeight="1">
      <c r="A39" s="507"/>
      <c r="B39" s="508"/>
      <c r="C39" s="508"/>
      <c r="D39" s="508"/>
      <c r="E39" s="508"/>
      <c r="F39" s="515"/>
      <c r="G39" s="515"/>
      <c r="H39" s="508"/>
      <c r="I39" s="521"/>
      <c r="J39" s="521"/>
      <c r="K39" s="510"/>
      <c r="L39" s="510"/>
      <c r="M39" s="510"/>
      <c r="N39" s="510"/>
      <c r="O39" s="507"/>
      <c r="P39" s="507"/>
      <c r="Q39" s="507"/>
      <c r="R39" s="510"/>
      <c r="S39" s="510"/>
      <c r="T39" s="510"/>
      <c r="U39" s="510"/>
      <c r="V39" s="513"/>
      <c r="W39" s="510"/>
      <c r="X39" s="507"/>
      <c r="Y39" s="507"/>
      <c r="Z39" s="507"/>
    </row>
    <row r="40" ht="26.25" customHeight="1">
      <c r="A40" s="507"/>
      <c r="B40" s="508"/>
      <c r="C40" s="508"/>
      <c r="D40" s="508"/>
      <c r="E40" s="508"/>
      <c r="F40" s="515"/>
      <c r="G40" s="515"/>
      <c r="H40" s="508"/>
      <c r="I40" s="521"/>
      <c r="J40" s="521"/>
      <c r="K40" s="510"/>
      <c r="L40" s="510"/>
      <c r="M40" s="510"/>
      <c r="N40" s="510"/>
      <c r="O40" s="507"/>
      <c r="P40" s="507"/>
      <c r="Q40" s="507"/>
      <c r="R40" s="510"/>
      <c r="S40" s="510"/>
      <c r="T40" s="510"/>
      <c r="U40" s="510"/>
      <c r="V40" s="513"/>
      <c r="W40" s="510"/>
      <c r="X40" s="507"/>
      <c r="Y40" s="507"/>
      <c r="Z40" s="507"/>
    </row>
    <row r="41" ht="26.25" customHeight="1">
      <c r="A41" s="507"/>
      <c r="B41" s="508"/>
      <c r="C41" s="508"/>
      <c r="D41" s="508"/>
      <c r="E41" s="508"/>
      <c r="F41" s="515"/>
      <c r="G41" s="515"/>
      <c r="H41" s="508"/>
      <c r="I41" s="521"/>
      <c r="J41" s="521"/>
      <c r="K41" s="510"/>
      <c r="L41" s="510"/>
      <c r="M41" s="510"/>
      <c r="N41" s="510"/>
      <c r="O41" s="507"/>
      <c r="P41" s="507"/>
      <c r="Q41" s="507"/>
      <c r="R41" s="510"/>
      <c r="S41" s="510"/>
      <c r="T41" s="510"/>
      <c r="U41" s="510"/>
      <c r="V41" s="513"/>
      <c r="W41" s="510"/>
      <c r="X41" s="507"/>
      <c r="Y41" s="507"/>
      <c r="Z41" s="507"/>
    </row>
    <row r="42" ht="26.25" customHeight="1">
      <c r="A42" s="507"/>
      <c r="B42" s="508"/>
      <c r="C42" s="508"/>
      <c r="D42" s="508"/>
      <c r="E42" s="508"/>
      <c r="F42" s="515"/>
      <c r="G42" s="515"/>
      <c r="H42" s="508"/>
      <c r="I42" s="521"/>
      <c r="J42" s="521"/>
      <c r="K42" s="510"/>
      <c r="L42" s="510"/>
      <c r="M42" s="510"/>
      <c r="N42" s="510"/>
      <c r="O42" s="507"/>
      <c r="P42" s="507"/>
      <c r="Q42" s="507"/>
      <c r="R42" s="510"/>
      <c r="S42" s="510"/>
      <c r="T42" s="510"/>
      <c r="U42" s="510"/>
      <c r="V42" s="513"/>
      <c r="W42" s="510"/>
      <c r="X42" s="507"/>
      <c r="Y42" s="507"/>
      <c r="Z42" s="507"/>
    </row>
    <row r="43" ht="26.25" customHeight="1">
      <c r="A43" s="507"/>
      <c r="B43" s="508"/>
      <c r="C43" s="508"/>
      <c r="D43" s="508"/>
      <c r="E43" s="508"/>
      <c r="F43" s="515"/>
      <c r="G43" s="515"/>
      <c r="H43" s="508"/>
      <c r="I43" s="521"/>
      <c r="J43" s="521"/>
      <c r="K43" s="510"/>
      <c r="L43" s="510"/>
      <c r="M43" s="510"/>
      <c r="N43" s="510"/>
      <c r="O43" s="507"/>
      <c r="P43" s="507"/>
      <c r="Q43" s="507"/>
      <c r="R43" s="510"/>
      <c r="S43" s="510"/>
      <c r="T43" s="510"/>
      <c r="U43" s="510"/>
      <c r="V43" s="513"/>
      <c r="W43" s="510"/>
      <c r="X43" s="507"/>
      <c r="Y43" s="507"/>
      <c r="Z43" s="507"/>
    </row>
    <row r="44" ht="26.25" customHeight="1">
      <c r="A44" s="507"/>
      <c r="B44" s="508"/>
      <c r="C44" s="508"/>
      <c r="D44" s="508"/>
      <c r="E44" s="508"/>
      <c r="F44" s="515"/>
      <c r="G44" s="515"/>
      <c r="H44" s="508"/>
      <c r="I44" s="521"/>
      <c r="J44" s="521"/>
      <c r="K44" s="510"/>
      <c r="L44" s="510"/>
      <c r="M44" s="510"/>
      <c r="N44" s="510"/>
      <c r="O44" s="507"/>
      <c r="P44" s="507"/>
      <c r="Q44" s="507"/>
      <c r="R44" s="510"/>
      <c r="S44" s="510"/>
      <c r="T44" s="510"/>
      <c r="U44" s="510"/>
      <c r="V44" s="513"/>
      <c r="W44" s="510"/>
      <c r="X44" s="507"/>
      <c r="Y44" s="507"/>
      <c r="Z44" s="507"/>
    </row>
    <row r="45" ht="26.25" customHeight="1">
      <c r="A45" s="507"/>
      <c r="B45" s="508"/>
      <c r="C45" s="508"/>
      <c r="D45" s="508"/>
      <c r="E45" s="508"/>
      <c r="F45" s="515"/>
      <c r="G45" s="515"/>
      <c r="H45" s="508"/>
      <c r="I45" s="521"/>
      <c r="J45" s="521"/>
      <c r="K45" s="510"/>
      <c r="L45" s="510"/>
      <c r="M45" s="510"/>
      <c r="N45" s="510"/>
      <c r="O45" s="507"/>
      <c r="P45" s="507"/>
      <c r="Q45" s="507"/>
      <c r="R45" s="510"/>
      <c r="S45" s="510"/>
      <c r="T45" s="510"/>
      <c r="U45" s="510"/>
      <c r="V45" s="513"/>
      <c r="W45" s="510"/>
      <c r="X45" s="507"/>
      <c r="Y45" s="507"/>
      <c r="Z45" s="507"/>
    </row>
    <row r="46" ht="26.25" customHeight="1">
      <c r="A46" s="507"/>
      <c r="B46" s="508"/>
      <c r="C46" s="508"/>
      <c r="D46" s="508"/>
      <c r="E46" s="508"/>
      <c r="F46" s="515"/>
      <c r="G46" s="515"/>
      <c r="H46" s="508"/>
      <c r="I46" s="521"/>
      <c r="J46" s="521"/>
      <c r="K46" s="510"/>
      <c r="L46" s="510"/>
      <c r="M46" s="510"/>
      <c r="N46" s="510"/>
      <c r="O46" s="507"/>
      <c r="P46" s="507"/>
      <c r="Q46" s="507"/>
      <c r="R46" s="510"/>
      <c r="S46" s="510"/>
      <c r="T46" s="510"/>
      <c r="U46" s="510"/>
      <c r="V46" s="513"/>
      <c r="W46" s="510"/>
      <c r="X46" s="507"/>
      <c r="Y46" s="507"/>
      <c r="Z46" s="507"/>
    </row>
    <row r="47" ht="26.25" customHeight="1">
      <c r="A47" s="507"/>
      <c r="B47" s="508"/>
      <c r="C47" s="508"/>
      <c r="D47" s="508"/>
      <c r="E47" s="508"/>
      <c r="F47" s="515"/>
      <c r="G47" s="515"/>
      <c r="H47" s="508"/>
      <c r="I47" s="521"/>
      <c r="J47" s="521"/>
      <c r="K47" s="510"/>
      <c r="L47" s="510"/>
      <c r="M47" s="510"/>
      <c r="N47" s="510"/>
      <c r="O47" s="507"/>
      <c r="P47" s="507"/>
      <c r="Q47" s="507"/>
      <c r="R47" s="510"/>
      <c r="S47" s="510"/>
      <c r="T47" s="510"/>
      <c r="U47" s="510"/>
      <c r="V47" s="513"/>
      <c r="W47" s="510"/>
      <c r="X47" s="507"/>
      <c r="Y47" s="507"/>
      <c r="Z47" s="507"/>
    </row>
    <row r="48" ht="26.25" customHeight="1">
      <c r="A48" s="507"/>
      <c r="B48" s="508"/>
      <c r="C48" s="508"/>
      <c r="D48" s="508"/>
      <c r="E48" s="508"/>
      <c r="F48" s="515"/>
      <c r="G48" s="515"/>
      <c r="H48" s="508"/>
      <c r="I48" s="521"/>
      <c r="J48" s="521"/>
      <c r="K48" s="510"/>
      <c r="L48" s="510"/>
      <c r="M48" s="510"/>
      <c r="N48" s="510"/>
      <c r="O48" s="507"/>
      <c r="P48" s="507"/>
      <c r="Q48" s="507"/>
      <c r="R48" s="510"/>
      <c r="S48" s="510"/>
      <c r="T48" s="510"/>
      <c r="U48" s="510"/>
      <c r="V48" s="513"/>
      <c r="W48" s="510"/>
      <c r="X48" s="507"/>
      <c r="Y48" s="507"/>
      <c r="Z48" s="507"/>
    </row>
    <row r="49" ht="26.25" customHeight="1">
      <c r="A49" s="507"/>
      <c r="B49" s="508"/>
      <c r="C49" s="508"/>
      <c r="D49" s="508"/>
      <c r="E49" s="508"/>
      <c r="F49" s="515"/>
      <c r="G49" s="515"/>
      <c r="H49" s="508"/>
      <c r="I49" s="521"/>
      <c r="J49" s="521"/>
      <c r="K49" s="510"/>
      <c r="L49" s="510"/>
      <c r="M49" s="510"/>
      <c r="N49" s="510"/>
      <c r="O49" s="507"/>
      <c r="P49" s="507"/>
      <c r="Q49" s="507"/>
      <c r="R49" s="510"/>
      <c r="S49" s="510"/>
      <c r="T49" s="510"/>
      <c r="U49" s="510"/>
      <c r="V49" s="513"/>
      <c r="W49" s="510"/>
      <c r="X49" s="507"/>
      <c r="Y49" s="507"/>
      <c r="Z49" s="507"/>
    </row>
    <row r="50" ht="26.25" customHeight="1">
      <c r="A50" s="507"/>
      <c r="B50" s="508"/>
      <c r="C50" s="508"/>
      <c r="D50" s="508"/>
      <c r="E50" s="508"/>
      <c r="F50" s="515"/>
      <c r="G50" s="515"/>
      <c r="H50" s="508"/>
      <c r="I50" s="521"/>
      <c r="J50" s="521"/>
      <c r="K50" s="510"/>
      <c r="L50" s="510"/>
      <c r="M50" s="510"/>
      <c r="N50" s="510"/>
      <c r="O50" s="507"/>
      <c r="P50" s="507"/>
      <c r="Q50" s="507"/>
      <c r="R50" s="510"/>
      <c r="S50" s="510"/>
      <c r="T50" s="510"/>
      <c r="U50" s="510"/>
      <c r="V50" s="513"/>
      <c r="W50" s="510"/>
      <c r="X50" s="507"/>
      <c r="Y50" s="507"/>
      <c r="Z50" s="507"/>
    </row>
    <row r="51" ht="26.25" customHeight="1">
      <c r="A51" s="507"/>
      <c r="B51" s="508"/>
      <c r="C51" s="508"/>
      <c r="D51" s="508"/>
      <c r="E51" s="508"/>
      <c r="F51" s="515"/>
      <c r="G51" s="515"/>
      <c r="H51" s="508"/>
      <c r="I51" s="521"/>
      <c r="J51" s="521"/>
      <c r="K51" s="510"/>
      <c r="L51" s="510"/>
      <c r="M51" s="510"/>
      <c r="N51" s="510"/>
      <c r="O51" s="507"/>
      <c r="P51" s="507"/>
      <c r="Q51" s="507"/>
      <c r="R51" s="510"/>
      <c r="S51" s="510"/>
      <c r="T51" s="510"/>
      <c r="U51" s="510"/>
      <c r="V51" s="513"/>
      <c r="W51" s="510"/>
      <c r="X51" s="507"/>
      <c r="Y51" s="507"/>
      <c r="Z51" s="507"/>
    </row>
    <row r="52" ht="26.25" customHeight="1">
      <c r="A52" s="507"/>
      <c r="B52" s="508"/>
      <c r="C52" s="508"/>
      <c r="D52" s="508"/>
      <c r="E52" s="508"/>
      <c r="F52" s="515"/>
      <c r="G52" s="515"/>
      <c r="H52" s="508"/>
      <c r="I52" s="521"/>
      <c r="J52" s="521"/>
      <c r="K52" s="510"/>
      <c r="L52" s="510"/>
      <c r="M52" s="510"/>
      <c r="N52" s="510"/>
      <c r="O52" s="507"/>
      <c r="P52" s="507"/>
      <c r="Q52" s="507"/>
      <c r="R52" s="510"/>
      <c r="S52" s="510"/>
      <c r="T52" s="510"/>
      <c r="U52" s="510"/>
      <c r="V52" s="513"/>
      <c r="W52" s="510"/>
      <c r="X52" s="507"/>
      <c r="Y52" s="507"/>
      <c r="Z52" s="507"/>
    </row>
    <row r="53" ht="26.25" customHeight="1">
      <c r="A53" s="507"/>
      <c r="B53" s="508"/>
      <c r="C53" s="508"/>
      <c r="D53" s="508"/>
      <c r="E53" s="508"/>
      <c r="F53" s="515"/>
      <c r="G53" s="515"/>
      <c r="H53" s="508"/>
      <c r="I53" s="521"/>
      <c r="J53" s="521"/>
      <c r="K53" s="510"/>
      <c r="L53" s="510"/>
      <c r="M53" s="510"/>
      <c r="N53" s="510"/>
      <c r="O53" s="507"/>
      <c r="P53" s="507"/>
      <c r="Q53" s="507"/>
      <c r="R53" s="510"/>
      <c r="S53" s="510"/>
      <c r="T53" s="510"/>
      <c r="U53" s="510"/>
      <c r="V53" s="513"/>
      <c r="W53" s="510"/>
      <c r="X53" s="507"/>
      <c r="Y53" s="507"/>
      <c r="Z53" s="507"/>
    </row>
    <row r="54" ht="26.25" customHeight="1">
      <c r="A54" s="507"/>
      <c r="B54" s="508"/>
      <c r="C54" s="508"/>
      <c r="D54" s="508"/>
      <c r="E54" s="508"/>
      <c r="F54" s="515"/>
      <c r="G54" s="515"/>
      <c r="H54" s="508"/>
      <c r="I54" s="521"/>
      <c r="J54" s="521"/>
      <c r="K54" s="510"/>
      <c r="L54" s="510"/>
      <c r="M54" s="510"/>
      <c r="N54" s="510"/>
      <c r="O54" s="507"/>
      <c r="P54" s="507"/>
      <c r="Q54" s="507"/>
      <c r="R54" s="510"/>
      <c r="S54" s="510"/>
      <c r="T54" s="510"/>
      <c r="U54" s="510"/>
      <c r="V54" s="513"/>
      <c r="W54" s="510"/>
      <c r="X54" s="507"/>
      <c r="Y54" s="507"/>
      <c r="Z54" s="507"/>
    </row>
    <row r="55" ht="26.25" customHeight="1">
      <c r="A55" s="507"/>
      <c r="B55" s="508"/>
      <c r="C55" s="508"/>
      <c r="D55" s="508"/>
      <c r="E55" s="508"/>
      <c r="F55" s="515"/>
      <c r="G55" s="515"/>
      <c r="H55" s="508"/>
      <c r="I55" s="521"/>
      <c r="J55" s="521"/>
      <c r="K55" s="510"/>
      <c r="L55" s="510"/>
      <c r="M55" s="510"/>
      <c r="N55" s="510"/>
      <c r="O55" s="507"/>
      <c r="P55" s="507"/>
      <c r="Q55" s="507"/>
      <c r="R55" s="510"/>
      <c r="S55" s="510"/>
      <c r="T55" s="510"/>
      <c r="U55" s="510"/>
      <c r="V55" s="513"/>
      <c r="W55" s="510"/>
      <c r="X55" s="507"/>
      <c r="Y55" s="507"/>
      <c r="Z55" s="507"/>
    </row>
    <row r="56" ht="26.25" customHeight="1">
      <c r="A56" s="507"/>
      <c r="B56" s="508"/>
      <c r="C56" s="508"/>
      <c r="D56" s="508"/>
      <c r="E56" s="508"/>
      <c r="F56" s="515"/>
      <c r="G56" s="515"/>
      <c r="H56" s="508"/>
      <c r="I56" s="521"/>
      <c r="J56" s="521"/>
      <c r="K56" s="510"/>
      <c r="L56" s="510"/>
      <c r="M56" s="510"/>
      <c r="N56" s="510"/>
      <c r="O56" s="507"/>
      <c r="P56" s="507"/>
      <c r="Q56" s="507"/>
      <c r="R56" s="510"/>
      <c r="S56" s="510"/>
      <c r="T56" s="510"/>
      <c r="U56" s="510"/>
      <c r="V56" s="513"/>
      <c r="W56" s="510"/>
      <c r="X56" s="507"/>
      <c r="Y56" s="507"/>
      <c r="Z56" s="507"/>
    </row>
    <row r="57" ht="26.25" customHeight="1">
      <c r="A57" s="507"/>
      <c r="B57" s="508"/>
      <c r="C57" s="508"/>
      <c r="D57" s="508"/>
      <c r="E57" s="508"/>
      <c r="F57" s="515"/>
      <c r="G57" s="515"/>
      <c r="H57" s="508"/>
      <c r="I57" s="521"/>
      <c r="J57" s="521"/>
      <c r="K57" s="510"/>
      <c r="L57" s="510"/>
      <c r="M57" s="510"/>
      <c r="N57" s="510"/>
      <c r="O57" s="507"/>
      <c r="P57" s="507"/>
      <c r="Q57" s="507"/>
      <c r="R57" s="510"/>
      <c r="S57" s="510"/>
      <c r="T57" s="510"/>
      <c r="U57" s="510"/>
      <c r="V57" s="513"/>
      <c r="W57" s="510"/>
      <c r="X57" s="507"/>
      <c r="Y57" s="507"/>
      <c r="Z57" s="507"/>
    </row>
    <row r="58" ht="26.25" customHeight="1">
      <c r="A58" s="507"/>
      <c r="B58" s="508"/>
      <c r="C58" s="508"/>
      <c r="D58" s="508" t="s">
        <v>250</v>
      </c>
      <c r="E58" s="538">
        <f>SUM(E37:E57)</f>
        <v>0</v>
      </c>
      <c r="F58" s="515"/>
      <c r="G58" s="515"/>
      <c r="H58" s="508"/>
      <c r="I58" s="521"/>
      <c r="J58" s="521"/>
      <c r="K58" s="510"/>
      <c r="L58" s="510"/>
      <c r="M58" s="510"/>
      <c r="N58" s="510"/>
      <c r="O58" s="507"/>
      <c r="P58" s="507"/>
      <c r="Q58" s="507"/>
      <c r="R58" s="510"/>
      <c r="S58" s="510"/>
      <c r="T58" s="510"/>
      <c r="U58" s="510"/>
      <c r="V58" s="513"/>
      <c r="W58" s="510"/>
      <c r="X58" s="507"/>
      <c r="Y58" s="507"/>
      <c r="Z58" s="507"/>
    </row>
    <row r="59" ht="26.25" customHeight="1">
      <c r="A59" s="507"/>
      <c r="B59" s="508"/>
      <c r="C59" s="508"/>
      <c r="D59" s="508"/>
      <c r="E59" s="508"/>
      <c r="F59" s="515"/>
      <c r="G59" s="515"/>
      <c r="H59" s="508"/>
      <c r="I59" s="521"/>
      <c r="J59" s="521"/>
      <c r="K59" s="510"/>
      <c r="L59" s="510"/>
      <c r="M59" s="510"/>
      <c r="N59" s="510"/>
      <c r="O59" s="507"/>
      <c r="P59" s="507"/>
      <c r="Q59" s="507"/>
      <c r="R59" s="510"/>
      <c r="S59" s="510"/>
      <c r="T59" s="510"/>
      <c r="U59" s="510"/>
      <c r="V59" s="513"/>
      <c r="W59" s="510"/>
      <c r="X59" s="507"/>
      <c r="Y59" s="507"/>
      <c r="Z59" s="507"/>
    </row>
    <row r="60" ht="26.25" customHeight="1">
      <c r="A60" s="507"/>
      <c r="B60" s="508"/>
      <c r="C60" s="508"/>
      <c r="D60" s="508"/>
      <c r="E60" s="508"/>
      <c r="F60" s="515"/>
      <c r="G60" s="515"/>
      <c r="H60" s="508"/>
      <c r="I60" s="521"/>
      <c r="J60" s="521"/>
      <c r="K60" s="510"/>
      <c r="L60" s="510"/>
      <c r="M60" s="510"/>
      <c r="N60" s="510"/>
      <c r="O60" s="507"/>
      <c r="P60" s="507"/>
      <c r="Q60" s="507"/>
      <c r="R60" s="510"/>
      <c r="S60" s="510"/>
      <c r="T60" s="510"/>
      <c r="U60" s="510"/>
      <c r="V60" s="513"/>
      <c r="W60" s="510"/>
      <c r="X60" s="507"/>
      <c r="Y60" s="507"/>
      <c r="Z60" s="507"/>
    </row>
    <row r="61" ht="26.25" customHeight="1">
      <c r="A61" s="507"/>
      <c r="B61" s="508"/>
      <c r="C61" s="508"/>
      <c r="D61" s="508"/>
      <c r="E61" s="508"/>
      <c r="F61" s="515"/>
      <c r="G61" s="515"/>
      <c r="H61" s="508"/>
      <c r="I61" s="521"/>
      <c r="J61" s="521"/>
      <c r="K61" s="510"/>
      <c r="L61" s="510"/>
      <c r="M61" s="510"/>
      <c r="N61" s="510"/>
      <c r="O61" s="507"/>
      <c r="P61" s="507"/>
      <c r="Q61" s="507"/>
      <c r="R61" s="510"/>
      <c r="S61" s="510"/>
      <c r="T61" s="510"/>
      <c r="U61" s="510"/>
      <c r="V61" s="513"/>
      <c r="W61" s="510"/>
      <c r="X61" s="507"/>
      <c r="Y61" s="507"/>
      <c r="Z61" s="507"/>
    </row>
    <row r="62" ht="26.25" customHeight="1">
      <c r="A62" s="507"/>
      <c r="B62" s="508"/>
      <c r="C62" s="508"/>
      <c r="D62" s="508"/>
      <c r="E62" s="508"/>
      <c r="F62" s="515"/>
      <c r="G62" s="515"/>
      <c r="H62" s="508"/>
      <c r="I62" s="521"/>
      <c r="J62" s="521"/>
      <c r="K62" s="510"/>
      <c r="L62" s="510"/>
      <c r="M62" s="510"/>
      <c r="N62" s="510"/>
      <c r="O62" s="507"/>
      <c r="P62" s="507"/>
      <c r="Q62" s="507"/>
      <c r="R62" s="510"/>
      <c r="S62" s="510"/>
      <c r="T62" s="510"/>
      <c r="U62" s="510"/>
      <c r="V62" s="513"/>
      <c r="W62" s="510"/>
      <c r="X62" s="507"/>
      <c r="Y62" s="507"/>
      <c r="Z62" s="507"/>
    </row>
    <row r="63" ht="26.25" customHeight="1">
      <c r="A63" s="507"/>
      <c r="B63" s="508"/>
      <c r="C63" s="508"/>
      <c r="D63" s="508"/>
      <c r="E63" s="508"/>
      <c r="F63" s="515"/>
      <c r="G63" s="515"/>
      <c r="H63" s="508"/>
      <c r="I63" s="521"/>
      <c r="J63" s="521"/>
      <c r="K63" s="510"/>
      <c r="L63" s="510"/>
      <c r="M63" s="510"/>
      <c r="N63" s="510"/>
      <c r="O63" s="507"/>
      <c r="P63" s="507"/>
      <c r="Q63" s="507"/>
      <c r="R63" s="510"/>
      <c r="S63" s="510"/>
      <c r="T63" s="510"/>
      <c r="U63" s="510"/>
      <c r="V63" s="513"/>
      <c r="W63" s="510"/>
      <c r="X63" s="507"/>
      <c r="Y63" s="507"/>
      <c r="Z63" s="507"/>
    </row>
    <row r="64" ht="26.25" customHeight="1">
      <c r="A64" s="507"/>
      <c r="B64" s="508"/>
      <c r="C64" s="508"/>
      <c r="D64" s="508"/>
      <c r="E64" s="508"/>
      <c r="F64" s="515"/>
      <c r="G64" s="515"/>
      <c r="H64" s="508"/>
      <c r="I64" s="521"/>
      <c r="J64" s="521"/>
      <c r="K64" s="510"/>
      <c r="L64" s="510"/>
      <c r="M64" s="510"/>
      <c r="N64" s="510"/>
      <c r="O64" s="507"/>
      <c r="P64" s="507"/>
      <c r="Q64" s="507"/>
      <c r="R64" s="510"/>
      <c r="S64" s="510"/>
      <c r="T64" s="510"/>
      <c r="U64" s="510"/>
      <c r="V64" s="513"/>
      <c r="W64" s="510"/>
      <c r="X64" s="507"/>
      <c r="Y64" s="507"/>
      <c r="Z64" s="507"/>
    </row>
    <row r="65" ht="26.25" customHeight="1">
      <c r="A65" s="507"/>
      <c r="B65" s="508"/>
      <c r="C65" s="508"/>
      <c r="D65" s="508"/>
      <c r="E65" s="508"/>
      <c r="F65" s="515"/>
      <c r="G65" s="515"/>
      <c r="H65" s="508"/>
      <c r="I65" s="521"/>
      <c r="J65" s="521"/>
      <c r="K65" s="510"/>
      <c r="L65" s="510"/>
      <c r="M65" s="510"/>
      <c r="N65" s="510"/>
      <c r="O65" s="507"/>
      <c r="P65" s="507"/>
      <c r="Q65" s="507"/>
      <c r="R65" s="510"/>
      <c r="S65" s="510"/>
      <c r="T65" s="510"/>
      <c r="U65" s="510"/>
      <c r="V65" s="513"/>
      <c r="W65" s="510"/>
      <c r="X65" s="507"/>
      <c r="Y65" s="507"/>
      <c r="Z65" s="507"/>
    </row>
    <row r="66" ht="26.25" customHeight="1">
      <c r="A66" s="507"/>
      <c r="B66" s="508"/>
      <c r="C66" s="508"/>
      <c r="D66" s="508"/>
      <c r="E66" s="508"/>
      <c r="F66" s="515"/>
      <c r="G66" s="515"/>
      <c r="H66" s="508"/>
      <c r="I66" s="521"/>
      <c r="J66" s="521"/>
      <c r="K66" s="510"/>
      <c r="L66" s="510"/>
      <c r="M66" s="510"/>
      <c r="N66" s="510"/>
      <c r="O66" s="507"/>
      <c r="P66" s="507"/>
      <c r="Q66" s="507"/>
      <c r="R66" s="510"/>
      <c r="S66" s="510"/>
      <c r="T66" s="510"/>
      <c r="U66" s="510"/>
      <c r="V66" s="513"/>
      <c r="W66" s="510"/>
      <c r="X66" s="507"/>
      <c r="Y66" s="507"/>
      <c r="Z66" s="507"/>
    </row>
    <row r="67" ht="26.25" customHeight="1">
      <c r="A67" s="507"/>
      <c r="B67" s="508"/>
      <c r="C67" s="508"/>
      <c r="D67" s="508"/>
      <c r="E67" s="508"/>
      <c r="F67" s="515"/>
      <c r="G67" s="515"/>
      <c r="H67" s="508"/>
      <c r="I67" s="521"/>
      <c r="J67" s="521"/>
      <c r="K67" s="510"/>
      <c r="L67" s="510"/>
      <c r="M67" s="510"/>
      <c r="N67" s="510"/>
      <c r="O67" s="507"/>
      <c r="P67" s="507"/>
      <c r="Q67" s="507"/>
      <c r="R67" s="510"/>
      <c r="S67" s="510"/>
      <c r="T67" s="510"/>
      <c r="U67" s="510"/>
      <c r="V67" s="513"/>
      <c r="W67" s="510"/>
      <c r="X67" s="507"/>
      <c r="Y67" s="507"/>
      <c r="Z67" s="507"/>
    </row>
    <row r="68" ht="26.25" customHeight="1">
      <c r="A68" s="507"/>
      <c r="B68" s="508"/>
      <c r="C68" s="508"/>
      <c r="D68" s="508"/>
      <c r="E68" s="508"/>
      <c r="F68" s="515"/>
      <c r="G68" s="515"/>
      <c r="H68" s="508"/>
      <c r="I68" s="521"/>
      <c r="J68" s="521"/>
      <c r="K68" s="510"/>
      <c r="L68" s="510"/>
      <c r="M68" s="510"/>
      <c r="N68" s="510"/>
      <c r="O68" s="507"/>
      <c r="P68" s="507"/>
      <c r="Q68" s="507"/>
      <c r="R68" s="510"/>
      <c r="S68" s="510"/>
      <c r="T68" s="510"/>
      <c r="U68" s="510"/>
      <c r="V68" s="513"/>
      <c r="W68" s="510"/>
      <c r="X68" s="507"/>
      <c r="Y68" s="507"/>
      <c r="Z68" s="507"/>
    </row>
    <row r="69" ht="26.25" customHeight="1">
      <c r="A69" s="507"/>
      <c r="B69" s="508"/>
      <c r="C69" s="508"/>
      <c r="D69" s="508"/>
      <c r="E69" s="508"/>
      <c r="F69" s="515"/>
      <c r="G69" s="515"/>
      <c r="H69" s="508"/>
      <c r="I69" s="521"/>
      <c r="J69" s="521"/>
      <c r="K69" s="510"/>
      <c r="L69" s="510"/>
      <c r="M69" s="510"/>
      <c r="N69" s="510"/>
      <c r="O69" s="507"/>
      <c r="P69" s="507"/>
      <c r="Q69" s="507"/>
      <c r="R69" s="510"/>
      <c r="S69" s="510"/>
      <c r="T69" s="510"/>
      <c r="U69" s="510"/>
      <c r="V69" s="513"/>
      <c r="W69" s="510"/>
      <c r="X69" s="507"/>
      <c r="Y69" s="507"/>
      <c r="Z69" s="507"/>
    </row>
    <row r="70" ht="26.25" customHeight="1">
      <c r="A70" s="507"/>
      <c r="B70" s="508"/>
      <c r="C70" s="508"/>
      <c r="D70" s="508"/>
      <c r="E70" s="508"/>
      <c r="F70" s="515"/>
      <c r="G70" s="515"/>
      <c r="H70" s="508"/>
      <c r="I70" s="521"/>
      <c r="J70" s="521"/>
      <c r="K70" s="510"/>
      <c r="L70" s="510"/>
      <c r="M70" s="510"/>
      <c r="N70" s="510"/>
      <c r="O70" s="507"/>
      <c r="P70" s="507"/>
      <c r="Q70" s="507"/>
      <c r="R70" s="510"/>
      <c r="S70" s="510"/>
      <c r="T70" s="510"/>
      <c r="U70" s="510"/>
      <c r="V70" s="513"/>
      <c r="W70" s="510"/>
      <c r="X70" s="507"/>
      <c r="Y70" s="507"/>
      <c r="Z70" s="507"/>
    </row>
    <row r="71" ht="26.25" customHeight="1">
      <c r="A71" s="507"/>
      <c r="B71" s="508"/>
      <c r="C71" s="508"/>
      <c r="D71" s="508"/>
      <c r="E71" s="508"/>
      <c r="F71" s="515"/>
      <c r="G71" s="515"/>
      <c r="H71" s="508"/>
      <c r="I71" s="521"/>
      <c r="J71" s="521"/>
      <c r="K71" s="510"/>
      <c r="L71" s="510"/>
      <c r="M71" s="510"/>
      <c r="N71" s="510"/>
      <c r="O71" s="507"/>
      <c r="P71" s="507"/>
      <c r="Q71" s="507"/>
      <c r="R71" s="510"/>
      <c r="S71" s="510"/>
      <c r="T71" s="510"/>
      <c r="U71" s="510"/>
      <c r="V71" s="513"/>
      <c r="W71" s="510"/>
      <c r="X71" s="507"/>
      <c r="Y71" s="507"/>
      <c r="Z71" s="507"/>
    </row>
    <row r="72" ht="26.25" customHeight="1">
      <c r="A72" s="507"/>
      <c r="B72" s="508"/>
      <c r="C72" s="508"/>
      <c r="D72" s="508"/>
      <c r="E72" s="508"/>
      <c r="F72" s="515"/>
      <c r="G72" s="515"/>
      <c r="H72" s="508"/>
      <c r="I72" s="521"/>
      <c r="J72" s="521"/>
      <c r="K72" s="510"/>
      <c r="L72" s="510"/>
      <c r="M72" s="510"/>
      <c r="N72" s="510"/>
      <c r="O72" s="507"/>
      <c r="P72" s="507"/>
      <c r="Q72" s="507"/>
      <c r="R72" s="510"/>
      <c r="S72" s="510"/>
      <c r="T72" s="510"/>
      <c r="U72" s="510"/>
      <c r="V72" s="513"/>
      <c r="W72" s="510"/>
      <c r="X72" s="507"/>
      <c r="Y72" s="507"/>
      <c r="Z72" s="507"/>
    </row>
    <row r="73" ht="26.25" customHeight="1">
      <c r="A73" s="507"/>
      <c r="B73" s="508"/>
      <c r="C73" s="508"/>
      <c r="D73" s="508"/>
      <c r="E73" s="508"/>
      <c r="F73" s="515"/>
      <c r="G73" s="515"/>
      <c r="H73" s="508"/>
      <c r="I73" s="521"/>
      <c r="J73" s="521"/>
      <c r="K73" s="510"/>
      <c r="L73" s="510"/>
      <c r="M73" s="510"/>
      <c r="N73" s="510"/>
      <c r="O73" s="507"/>
      <c r="P73" s="507"/>
      <c r="Q73" s="507"/>
      <c r="R73" s="510"/>
      <c r="S73" s="510"/>
      <c r="T73" s="510"/>
      <c r="U73" s="510"/>
      <c r="V73" s="513"/>
      <c r="W73" s="510"/>
      <c r="X73" s="507"/>
      <c r="Y73" s="507"/>
      <c r="Z73" s="507"/>
    </row>
    <row r="74" ht="26.25" customHeight="1">
      <c r="A74" s="507"/>
      <c r="B74" s="508"/>
      <c r="C74" s="508"/>
      <c r="D74" s="508"/>
      <c r="E74" s="508"/>
      <c r="F74" s="515"/>
      <c r="G74" s="515"/>
      <c r="H74" s="508"/>
      <c r="I74" s="521"/>
      <c r="J74" s="521"/>
      <c r="K74" s="510"/>
      <c r="L74" s="510"/>
      <c r="M74" s="510"/>
      <c r="N74" s="510"/>
      <c r="O74" s="507"/>
      <c r="P74" s="507"/>
      <c r="Q74" s="507"/>
      <c r="R74" s="510"/>
      <c r="S74" s="510"/>
      <c r="T74" s="510"/>
      <c r="U74" s="510"/>
      <c r="V74" s="513"/>
      <c r="W74" s="510"/>
      <c r="X74" s="507"/>
      <c r="Y74" s="507"/>
      <c r="Z74" s="507"/>
    </row>
    <row r="75" ht="26.25" customHeight="1">
      <c r="A75" s="507"/>
      <c r="B75" s="508"/>
      <c r="C75" s="508"/>
      <c r="D75" s="508"/>
      <c r="E75" s="508"/>
      <c r="F75" s="515"/>
      <c r="G75" s="515"/>
      <c r="H75" s="508"/>
      <c r="I75" s="521"/>
      <c r="J75" s="521"/>
      <c r="K75" s="510"/>
      <c r="L75" s="510"/>
      <c r="M75" s="510"/>
      <c r="N75" s="510"/>
      <c r="O75" s="507"/>
      <c r="P75" s="507"/>
      <c r="Q75" s="507"/>
      <c r="R75" s="510"/>
      <c r="S75" s="510"/>
      <c r="T75" s="510"/>
      <c r="U75" s="510"/>
      <c r="V75" s="513"/>
      <c r="W75" s="510"/>
      <c r="X75" s="507"/>
      <c r="Y75" s="507"/>
      <c r="Z75" s="507"/>
    </row>
    <row r="76" ht="26.25" customHeight="1">
      <c r="A76" s="507"/>
      <c r="B76" s="508"/>
      <c r="C76" s="508"/>
      <c r="D76" s="508"/>
      <c r="E76" s="508"/>
      <c r="F76" s="515"/>
      <c r="G76" s="515"/>
      <c r="H76" s="508"/>
      <c r="I76" s="521"/>
      <c r="J76" s="521"/>
      <c r="K76" s="510"/>
      <c r="L76" s="510"/>
      <c r="M76" s="510"/>
      <c r="N76" s="510"/>
      <c r="O76" s="507"/>
      <c r="P76" s="507"/>
      <c r="Q76" s="507"/>
      <c r="R76" s="510"/>
      <c r="S76" s="510"/>
      <c r="T76" s="510"/>
      <c r="U76" s="510"/>
      <c r="V76" s="513"/>
      <c r="W76" s="510"/>
      <c r="X76" s="507"/>
      <c r="Y76" s="507"/>
      <c r="Z76" s="507"/>
    </row>
    <row r="77" ht="26.25" customHeight="1">
      <c r="A77" s="507"/>
      <c r="B77" s="508"/>
      <c r="C77" s="508"/>
      <c r="D77" s="508"/>
      <c r="E77" s="508"/>
      <c r="F77" s="515"/>
      <c r="G77" s="515"/>
      <c r="H77" s="508"/>
      <c r="I77" s="521"/>
      <c r="J77" s="521"/>
      <c r="K77" s="510"/>
      <c r="L77" s="510"/>
      <c r="M77" s="510"/>
      <c r="N77" s="510"/>
      <c r="O77" s="507"/>
      <c r="P77" s="507"/>
      <c r="Q77" s="507"/>
      <c r="R77" s="510"/>
      <c r="S77" s="510"/>
      <c r="T77" s="510"/>
      <c r="U77" s="510"/>
      <c r="V77" s="513"/>
      <c r="W77" s="510"/>
      <c r="X77" s="507"/>
      <c r="Y77" s="507"/>
      <c r="Z77" s="507"/>
    </row>
    <row r="78" ht="26.25" customHeight="1">
      <c r="A78" s="507"/>
      <c r="B78" s="508"/>
      <c r="C78" s="508"/>
      <c r="D78" s="508"/>
      <c r="E78" s="508"/>
      <c r="F78" s="515"/>
      <c r="G78" s="515"/>
      <c r="H78" s="508"/>
      <c r="I78" s="521"/>
      <c r="J78" s="521"/>
      <c r="K78" s="510"/>
      <c r="L78" s="510"/>
      <c r="M78" s="510"/>
      <c r="N78" s="510"/>
      <c r="O78" s="507"/>
      <c r="P78" s="507"/>
      <c r="Q78" s="507"/>
      <c r="R78" s="510"/>
      <c r="S78" s="510"/>
      <c r="T78" s="510"/>
      <c r="U78" s="510"/>
      <c r="V78" s="513"/>
      <c r="W78" s="510"/>
      <c r="X78" s="507"/>
      <c r="Y78" s="507"/>
      <c r="Z78" s="507"/>
    </row>
    <row r="79" ht="26.25" customHeight="1">
      <c r="A79" s="507"/>
      <c r="B79" s="508"/>
      <c r="C79" s="508"/>
      <c r="D79" s="508"/>
      <c r="E79" s="508"/>
      <c r="F79" s="515"/>
      <c r="G79" s="515"/>
      <c r="H79" s="508"/>
      <c r="I79" s="521"/>
      <c r="J79" s="521"/>
      <c r="K79" s="510"/>
      <c r="L79" s="510"/>
      <c r="M79" s="510"/>
      <c r="N79" s="510"/>
      <c r="O79" s="507"/>
      <c r="P79" s="507"/>
      <c r="Q79" s="507"/>
      <c r="R79" s="510"/>
      <c r="S79" s="510"/>
      <c r="T79" s="510"/>
      <c r="U79" s="510"/>
      <c r="V79" s="513"/>
      <c r="W79" s="510"/>
      <c r="X79" s="507"/>
      <c r="Y79" s="507"/>
      <c r="Z79" s="507"/>
    </row>
    <row r="80" ht="26.25" customHeight="1">
      <c r="A80" s="507"/>
      <c r="B80" s="508"/>
      <c r="C80" s="508"/>
      <c r="D80" s="508"/>
      <c r="E80" s="508"/>
      <c r="F80" s="515"/>
      <c r="G80" s="515"/>
      <c r="H80" s="508"/>
      <c r="I80" s="521"/>
      <c r="J80" s="521"/>
      <c r="K80" s="510"/>
      <c r="L80" s="510"/>
      <c r="M80" s="510"/>
      <c r="N80" s="510"/>
      <c r="O80" s="507"/>
      <c r="P80" s="507"/>
      <c r="Q80" s="507"/>
      <c r="R80" s="510"/>
      <c r="S80" s="510"/>
      <c r="T80" s="510"/>
      <c r="U80" s="510"/>
      <c r="V80" s="513"/>
      <c r="W80" s="510"/>
      <c r="X80" s="507"/>
      <c r="Y80" s="507"/>
      <c r="Z80" s="507"/>
    </row>
    <row r="81" ht="26.25" customHeight="1">
      <c r="A81" s="507"/>
      <c r="B81" s="508"/>
      <c r="C81" s="508"/>
      <c r="D81" s="508"/>
      <c r="E81" s="508"/>
      <c r="F81" s="515"/>
      <c r="G81" s="515"/>
      <c r="H81" s="508"/>
      <c r="I81" s="539"/>
      <c r="J81" s="521"/>
      <c r="K81" s="510"/>
      <c r="L81" s="510"/>
      <c r="M81" s="510"/>
      <c r="N81" s="510"/>
      <c r="O81" s="507"/>
      <c r="P81" s="507"/>
      <c r="Q81" s="507"/>
      <c r="R81" s="510"/>
      <c r="S81" s="510"/>
      <c r="T81" s="510"/>
      <c r="U81" s="510"/>
      <c r="V81" s="513"/>
      <c r="W81" s="510"/>
      <c r="X81" s="507"/>
      <c r="Y81" s="507"/>
      <c r="Z81" s="507"/>
    </row>
    <row r="82" ht="26.25" customHeight="1">
      <c r="A82" s="507"/>
      <c r="B82" s="508"/>
      <c r="C82" s="508"/>
      <c r="D82" s="508"/>
      <c r="E82" s="508"/>
      <c r="F82" s="515"/>
      <c r="G82" s="515"/>
      <c r="H82" s="508"/>
      <c r="I82" s="521"/>
      <c r="J82" s="521"/>
      <c r="K82" s="510"/>
      <c r="L82" s="510"/>
      <c r="M82" s="510"/>
      <c r="N82" s="510"/>
      <c r="O82" s="507"/>
      <c r="P82" s="507"/>
      <c r="Q82" s="507"/>
      <c r="R82" s="510"/>
      <c r="S82" s="510"/>
      <c r="T82" s="510"/>
      <c r="U82" s="510"/>
      <c r="V82" s="513"/>
      <c r="W82" s="510"/>
      <c r="X82" s="507"/>
      <c r="Y82" s="507"/>
      <c r="Z82" s="507"/>
    </row>
    <row r="83" ht="26.25" customHeight="1">
      <c r="A83" s="507"/>
      <c r="B83" s="508"/>
      <c r="C83" s="508"/>
      <c r="D83" s="508"/>
      <c r="E83" s="508"/>
      <c r="F83" s="515"/>
      <c r="G83" s="515"/>
      <c r="H83" s="508"/>
      <c r="I83" s="521"/>
      <c r="J83" s="521"/>
      <c r="K83" s="510"/>
      <c r="L83" s="510"/>
      <c r="M83" s="510"/>
      <c r="N83" s="510"/>
      <c r="O83" s="507"/>
      <c r="P83" s="507"/>
      <c r="Q83" s="507"/>
      <c r="R83" s="510"/>
      <c r="S83" s="510"/>
      <c r="T83" s="510"/>
      <c r="U83" s="510"/>
      <c r="V83" s="513"/>
      <c r="W83" s="510"/>
      <c r="X83" s="507"/>
      <c r="Y83" s="507"/>
      <c r="Z83" s="507"/>
    </row>
    <row r="84" ht="26.25" customHeight="1">
      <c r="A84" s="507"/>
      <c r="B84" s="508"/>
      <c r="C84" s="508"/>
      <c r="D84" s="508"/>
      <c r="E84" s="508"/>
      <c r="F84" s="515"/>
      <c r="G84" s="515"/>
      <c r="H84" s="508"/>
      <c r="I84" s="521"/>
      <c r="J84" s="521"/>
      <c r="K84" s="510"/>
      <c r="L84" s="510"/>
      <c r="M84" s="510"/>
      <c r="N84" s="510"/>
      <c r="O84" s="507"/>
      <c r="P84" s="507"/>
      <c r="Q84" s="507"/>
      <c r="R84" s="510"/>
      <c r="S84" s="510"/>
      <c r="T84" s="510"/>
      <c r="U84" s="510"/>
      <c r="V84" s="513"/>
      <c r="W84" s="510"/>
      <c r="X84" s="507"/>
      <c r="Y84" s="507"/>
      <c r="Z84" s="507"/>
    </row>
    <row r="85" ht="26.25" customHeight="1">
      <c r="A85" s="507"/>
      <c r="B85" s="508"/>
      <c r="C85" s="508"/>
      <c r="D85" s="508"/>
      <c r="E85" s="508"/>
      <c r="F85" s="515"/>
      <c r="G85" s="515"/>
      <c r="H85" s="508"/>
      <c r="I85" s="521"/>
      <c r="J85" s="521"/>
      <c r="K85" s="510"/>
      <c r="L85" s="510"/>
      <c r="M85" s="510"/>
      <c r="N85" s="510"/>
      <c r="O85" s="507"/>
      <c r="P85" s="507"/>
      <c r="Q85" s="507"/>
      <c r="R85" s="510"/>
      <c r="S85" s="510"/>
      <c r="T85" s="510"/>
      <c r="U85" s="510"/>
      <c r="V85" s="513"/>
      <c r="W85" s="510"/>
      <c r="X85" s="507"/>
      <c r="Y85" s="507"/>
      <c r="Z85" s="507"/>
    </row>
    <row r="86" ht="26.25" customHeight="1">
      <c r="A86" s="507"/>
      <c r="B86" s="508"/>
      <c r="C86" s="508"/>
      <c r="D86" s="508"/>
      <c r="E86" s="508"/>
      <c r="F86" s="515"/>
      <c r="G86" s="515"/>
      <c r="H86" s="508"/>
      <c r="I86" s="521"/>
      <c r="J86" s="521"/>
      <c r="K86" s="510"/>
      <c r="L86" s="510"/>
      <c r="M86" s="510"/>
      <c r="N86" s="510"/>
      <c r="O86" s="507"/>
      <c r="P86" s="507"/>
      <c r="Q86" s="507"/>
      <c r="R86" s="510"/>
      <c r="S86" s="510"/>
      <c r="T86" s="510"/>
      <c r="U86" s="510"/>
      <c r="V86" s="513"/>
      <c r="W86" s="510"/>
      <c r="X86" s="507"/>
      <c r="Y86" s="507"/>
      <c r="Z86" s="507"/>
    </row>
    <row r="87" ht="26.25" customHeight="1">
      <c r="A87" s="507"/>
      <c r="B87" s="508"/>
      <c r="C87" s="508"/>
      <c r="D87" s="508"/>
      <c r="E87" s="508"/>
      <c r="F87" s="515"/>
      <c r="G87" s="515"/>
      <c r="H87" s="508"/>
      <c r="I87" s="521"/>
      <c r="J87" s="521"/>
      <c r="K87" s="510"/>
      <c r="L87" s="510"/>
      <c r="M87" s="510"/>
      <c r="N87" s="510"/>
      <c r="O87" s="507"/>
      <c r="P87" s="507"/>
      <c r="Q87" s="507"/>
      <c r="R87" s="510"/>
      <c r="S87" s="510"/>
      <c r="T87" s="510"/>
      <c r="U87" s="510"/>
      <c r="V87" s="513"/>
      <c r="W87" s="510"/>
      <c r="X87" s="507"/>
      <c r="Y87" s="507"/>
      <c r="Z87" s="507"/>
    </row>
    <row r="88" ht="26.25" customHeight="1">
      <c r="A88" s="507"/>
      <c r="B88" s="508"/>
      <c r="C88" s="508"/>
      <c r="D88" s="508"/>
      <c r="E88" s="508"/>
      <c r="F88" s="515"/>
      <c r="G88" s="515"/>
      <c r="H88" s="508"/>
      <c r="I88" s="521"/>
      <c r="J88" s="521"/>
      <c r="K88" s="510"/>
      <c r="L88" s="510"/>
      <c r="M88" s="510"/>
      <c r="N88" s="510"/>
      <c r="O88" s="507"/>
      <c r="P88" s="507"/>
      <c r="Q88" s="507"/>
      <c r="R88" s="510"/>
      <c r="S88" s="510"/>
      <c r="T88" s="510"/>
      <c r="U88" s="510"/>
      <c r="V88" s="513"/>
      <c r="W88" s="510"/>
      <c r="X88" s="507"/>
      <c r="Y88" s="507"/>
      <c r="Z88" s="507"/>
    </row>
    <row r="89" ht="26.25" customHeight="1">
      <c r="A89" s="507"/>
      <c r="B89" s="508"/>
      <c r="C89" s="508"/>
      <c r="D89" s="508"/>
      <c r="E89" s="508"/>
      <c r="F89" s="515"/>
      <c r="G89" s="515"/>
      <c r="H89" s="508"/>
      <c r="I89" s="521"/>
      <c r="J89" s="521"/>
      <c r="K89" s="510"/>
      <c r="L89" s="510"/>
      <c r="M89" s="510"/>
      <c r="N89" s="510"/>
      <c r="O89" s="507"/>
      <c r="P89" s="507"/>
      <c r="Q89" s="507"/>
      <c r="R89" s="510"/>
      <c r="S89" s="510"/>
      <c r="T89" s="510"/>
      <c r="U89" s="510"/>
      <c r="V89" s="513"/>
      <c r="W89" s="510"/>
      <c r="X89" s="507"/>
      <c r="Y89" s="507"/>
      <c r="Z89" s="507"/>
    </row>
    <row r="90" ht="26.25" customHeight="1">
      <c r="A90" s="507"/>
      <c r="B90" s="508"/>
      <c r="C90" s="508"/>
      <c r="D90" s="508"/>
      <c r="E90" s="508"/>
      <c r="F90" s="515"/>
      <c r="G90" s="515"/>
      <c r="H90" s="508"/>
      <c r="I90" s="521"/>
      <c r="J90" s="521"/>
      <c r="K90" s="510"/>
      <c r="L90" s="510"/>
      <c r="M90" s="510"/>
      <c r="N90" s="510"/>
      <c r="O90" s="507"/>
      <c r="P90" s="507"/>
      <c r="Q90" s="507"/>
      <c r="R90" s="510"/>
      <c r="S90" s="510"/>
      <c r="T90" s="510"/>
      <c r="U90" s="510"/>
      <c r="V90" s="513"/>
      <c r="W90" s="510"/>
      <c r="X90" s="507"/>
      <c r="Y90" s="507"/>
      <c r="Z90" s="507"/>
    </row>
    <row r="91" ht="26.25" customHeight="1">
      <c r="A91" s="507"/>
      <c r="B91" s="508"/>
      <c r="C91" s="508"/>
      <c r="D91" s="508"/>
      <c r="E91" s="508"/>
      <c r="F91" s="515"/>
      <c r="G91" s="515"/>
      <c r="H91" s="508"/>
      <c r="I91" s="521"/>
      <c r="J91" s="521"/>
      <c r="K91" s="510"/>
      <c r="L91" s="510"/>
      <c r="M91" s="510"/>
      <c r="N91" s="510"/>
      <c r="O91" s="507"/>
      <c r="P91" s="507"/>
      <c r="Q91" s="507"/>
      <c r="R91" s="510"/>
      <c r="S91" s="510"/>
      <c r="T91" s="510"/>
      <c r="U91" s="510"/>
      <c r="V91" s="513"/>
      <c r="W91" s="510"/>
      <c r="X91" s="507"/>
      <c r="Y91" s="507"/>
      <c r="Z91" s="507"/>
    </row>
    <row r="92" ht="26.25" customHeight="1">
      <c r="A92" s="507"/>
      <c r="B92" s="508"/>
      <c r="C92" s="508"/>
      <c r="D92" s="508"/>
      <c r="E92" s="508"/>
      <c r="F92" s="515"/>
      <c r="G92" s="515"/>
      <c r="H92" s="508"/>
      <c r="I92" s="521"/>
      <c r="J92" s="521"/>
      <c r="K92" s="510"/>
      <c r="L92" s="510"/>
      <c r="M92" s="510"/>
      <c r="N92" s="510"/>
      <c r="O92" s="507"/>
      <c r="P92" s="507"/>
      <c r="Q92" s="507"/>
      <c r="R92" s="510"/>
      <c r="S92" s="510"/>
      <c r="T92" s="510"/>
      <c r="U92" s="510"/>
      <c r="V92" s="513"/>
      <c r="W92" s="510"/>
      <c r="X92" s="507"/>
      <c r="Y92" s="507"/>
      <c r="Z92" s="507"/>
    </row>
    <row r="93" ht="26.25" customHeight="1">
      <c r="A93" s="507"/>
      <c r="B93" s="508"/>
      <c r="C93" s="508"/>
      <c r="D93" s="508"/>
      <c r="E93" s="508"/>
      <c r="F93" s="515"/>
      <c r="G93" s="515"/>
      <c r="H93" s="508"/>
      <c r="I93" s="521"/>
      <c r="J93" s="521"/>
      <c r="K93" s="510"/>
      <c r="L93" s="510"/>
      <c r="M93" s="510"/>
      <c r="N93" s="510"/>
      <c r="O93" s="507"/>
      <c r="P93" s="507"/>
      <c r="Q93" s="507"/>
      <c r="R93" s="510"/>
      <c r="S93" s="510"/>
      <c r="T93" s="510"/>
      <c r="U93" s="510"/>
      <c r="V93" s="513"/>
      <c r="W93" s="510"/>
      <c r="X93" s="507"/>
      <c r="Y93" s="507"/>
      <c r="Z93" s="507"/>
    </row>
    <row r="94" ht="26.25" customHeight="1">
      <c r="A94" s="507"/>
      <c r="B94" s="508"/>
      <c r="C94" s="508"/>
      <c r="D94" s="508"/>
      <c r="E94" s="508"/>
      <c r="F94" s="515"/>
      <c r="G94" s="515"/>
      <c r="H94" s="508"/>
      <c r="I94" s="521"/>
      <c r="J94" s="521"/>
      <c r="K94" s="510"/>
      <c r="L94" s="510"/>
      <c r="M94" s="510"/>
      <c r="N94" s="510"/>
      <c r="O94" s="507"/>
      <c r="P94" s="507"/>
      <c r="Q94" s="507"/>
      <c r="R94" s="510"/>
      <c r="S94" s="510"/>
      <c r="T94" s="510"/>
      <c r="U94" s="510"/>
      <c r="V94" s="513"/>
      <c r="W94" s="510"/>
      <c r="X94" s="507"/>
      <c r="Y94" s="507"/>
      <c r="Z94" s="507"/>
    </row>
    <row r="95" ht="26.25" customHeight="1">
      <c r="A95" s="507"/>
      <c r="B95" s="508"/>
      <c r="C95" s="508"/>
      <c r="D95" s="508"/>
      <c r="E95" s="508"/>
      <c r="F95" s="515"/>
      <c r="G95" s="515"/>
      <c r="H95" s="508"/>
      <c r="I95" s="521"/>
      <c r="J95" s="521"/>
      <c r="K95" s="510"/>
      <c r="L95" s="510"/>
      <c r="M95" s="510"/>
      <c r="N95" s="510"/>
      <c r="O95" s="507"/>
      <c r="P95" s="507"/>
      <c r="Q95" s="507"/>
      <c r="R95" s="510"/>
      <c r="S95" s="510"/>
      <c r="T95" s="510"/>
      <c r="U95" s="510"/>
      <c r="V95" s="513"/>
      <c r="W95" s="510"/>
      <c r="X95" s="507"/>
      <c r="Y95" s="507"/>
      <c r="Z95" s="507"/>
    </row>
    <row r="96" ht="26.25" customHeight="1">
      <c r="A96" s="507"/>
      <c r="B96" s="508"/>
      <c r="C96" s="508"/>
      <c r="D96" s="508"/>
      <c r="E96" s="508"/>
      <c r="F96" s="515"/>
      <c r="G96" s="515"/>
      <c r="H96" s="508"/>
      <c r="I96" s="521"/>
      <c r="J96" s="521"/>
      <c r="K96" s="510"/>
      <c r="L96" s="510"/>
      <c r="M96" s="510"/>
      <c r="N96" s="510"/>
      <c r="O96" s="507"/>
      <c r="P96" s="507"/>
      <c r="Q96" s="507"/>
      <c r="R96" s="510"/>
      <c r="S96" s="510"/>
      <c r="T96" s="510"/>
      <c r="U96" s="510"/>
      <c r="V96" s="513"/>
      <c r="W96" s="510"/>
      <c r="X96" s="507"/>
      <c r="Y96" s="507"/>
      <c r="Z96" s="507"/>
    </row>
    <row r="97" ht="26.25" customHeight="1">
      <c r="A97" s="507"/>
      <c r="B97" s="508"/>
      <c r="C97" s="508"/>
      <c r="D97" s="508"/>
      <c r="E97" s="508"/>
      <c r="F97" s="515"/>
      <c r="G97" s="515"/>
      <c r="H97" s="508"/>
      <c r="I97" s="521"/>
      <c r="J97" s="521"/>
      <c r="K97" s="510"/>
      <c r="L97" s="510"/>
      <c r="M97" s="510"/>
      <c r="N97" s="510"/>
      <c r="O97" s="507"/>
      <c r="P97" s="507"/>
      <c r="Q97" s="507"/>
      <c r="R97" s="510"/>
      <c r="S97" s="510"/>
      <c r="T97" s="510"/>
      <c r="U97" s="510"/>
      <c r="V97" s="513"/>
      <c r="W97" s="510"/>
      <c r="X97" s="507"/>
      <c r="Y97" s="507"/>
      <c r="Z97" s="507"/>
    </row>
    <row r="98" ht="26.25" customHeight="1">
      <c r="A98" s="507"/>
      <c r="B98" s="508"/>
      <c r="C98" s="508"/>
      <c r="D98" s="508"/>
      <c r="E98" s="508"/>
      <c r="F98" s="515"/>
      <c r="G98" s="515"/>
      <c r="H98" s="508"/>
      <c r="I98" s="521"/>
      <c r="J98" s="521"/>
      <c r="K98" s="510"/>
      <c r="L98" s="510"/>
      <c r="M98" s="510"/>
      <c r="N98" s="510"/>
      <c r="O98" s="507"/>
      <c r="P98" s="507"/>
      <c r="Q98" s="507"/>
      <c r="R98" s="510"/>
      <c r="S98" s="510"/>
      <c r="T98" s="510"/>
      <c r="U98" s="510"/>
      <c r="V98" s="513"/>
      <c r="W98" s="510"/>
      <c r="X98" s="507"/>
      <c r="Y98" s="507"/>
      <c r="Z98" s="507"/>
    </row>
    <row r="99" ht="26.25" customHeight="1">
      <c r="A99" s="507"/>
      <c r="B99" s="508"/>
      <c r="C99" s="508"/>
      <c r="D99" s="508"/>
      <c r="E99" s="508"/>
      <c r="F99" s="515"/>
      <c r="G99" s="515"/>
      <c r="H99" s="508"/>
      <c r="I99" s="521"/>
      <c r="J99" s="521"/>
      <c r="K99" s="510"/>
      <c r="L99" s="510"/>
      <c r="M99" s="510"/>
      <c r="N99" s="510"/>
      <c r="O99" s="507"/>
      <c r="P99" s="507"/>
      <c r="Q99" s="507"/>
      <c r="R99" s="510"/>
      <c r="S99" s="510"/>
      <c r="T99" s="510"/>
      <c r="U99" s="510"/>
      <c r="V99" s="513"/>
      <c r="W99" s="510"/>
      <c r="X99" s="507"/>
      <c r="Y99" s="507"/>
      <c r="Z99" s="507"/>
    </row>
    <row r="100" ht="26.25" customHeight="1">
      <c r="A100" s="507"/>
      <c r="B100" s="508"/>
      <c r="C100" s="508"/>
      <c r="D100" s="508"/>
      <c r="E100" s="508"/>
      <c r="F100" s="515"/>
      <c r="G100" s="515"/>
      <c r="H100" s="508"/>
      <c r="I100" s="521"/>
      <c r="J100" s="521"/>
      <c r="K100" s="510"/>
      <c r="L100" s="510"/>
      <c r="M100" s="510"/>
      <c r="N100" s="510"/>
      <c r="O100" s="507"/>
      <c r="P100" s="507"/>
      <c r="Q100" s="507"/>
      <c r="R100" s="510"/>
      <c r="S100" s="510"/>
      <c r="T100" s="510"/>
      <c r="U100" s="510"/>
      <c r="V100" s="513"/>
      <c r="W100" s="510"/>
      <c r="X100" s="507"/>
      <c r="Y100" s="507"/>
      <c r="Z100" s="507"/>
    </row>
    <row r="101" ht="26.25" customHeight="1">
      <c r="A101" s="507"/>
      <c r="B101" s="508"/>
      <c r="C101" s="508"/>
      <c r="D101" s="508"/>
      <c r="E101" s="508"/>
      <c r="F101" s="515"/>
      <c r="G101" s="515"/>
      <c r="H101" s="508"/>
      <c r="I101" s="521"/>
      <c r="J101" s="521"/>
      <c r="K101" s="510"/>
      <c r="L101" s="510"/>
      <c r="M101" s="510"/>
      <c r="N101" s="510"/>
      <c r="O101" s="507"/>
      <c r="P101" s="507"/>
      <c r="Q101" s="507"/>
      <c r="R101" s="510"/>
      <c r="S101" s="510"/>
      <c r="T101" s="510"/>
      <c r="U101" s="510"/>
      <c r="V101" s="513"/>
      <c r="W101" s="510"/>
      <c r="X101" s="507"/>
      <c r="Y101" s="507"/>
      <c r="Z101" s="507"/>
    </row>
    <row r="102" ht="26.25" customHeight="1">
      <c r="A102" s="507"/>
      <c r="B102" s="508"/>
      <c r="C102" s="508"/>
      <c r="D102" s="508"/>
      <c r="E102" s="508"/>
      <c r="F102" s="515"/>
      <c r="G102" s="515"/>
      <c r="H102" s="508"/>
      <c r="I102" s="521"/>
      <c r="J102" s="521"/>
      <c r="K102" s="510"/>
      <c r="L102" s="510"/>
      <c r="M102" s="510"/>
      <c r="N102" s="510"/>
      <c r="O102" s="507"/>
      <c r="P102" s="507"/>
      <c r="Q102" s="507"/>
      <c r="R102" s="510"/>
      <c r="S102" s="510"/>
      <c r="T102" s="510"/>
      <c r="U102" s="510"/>
      <c r="V102" s="513"/>
      <c r="W102" s="510"/>
      <c r="X102" s="507"/>
      <c r="Y102" s="507"/>
      <c r="Z102" s="507"/>
    </row>
    <row r="103" ht="26.25" customHeight="1">
      <c r="A103" s="507"/>
      <c r="B103" s="508"/>
      <c r="C103" s="508"/>
      <c r="D103" s="508"/>
      <c r="E103" s="508"/>
      <c r="F103" s="515"/>
      <c r="G103" s="515"/>
      <c r="H103" s="508"/>
      <c r="I103" s="521"/>
      <c r="J103" s="521"/>
      <c r="K103" s="510"/>
      <c r="L103" s="510"/>
      <c r="M103" s="510"/>
      <c r="N103" s="510"/>
      <c r="O103" s="507"/>
      <c r="P103" s="507"/>
      <c r="Q103" s="507"/>
      <c r="R103" s="510"/>
      <c r="S103" s="510"/>
      <c r="T103" s="510"/>
      <c r="U103" s="510"/>
      <c r="V103" s="513"/>
      <c r="W103" s="510"/>
      <c r="X103" s="507"/>
      <c r="Y103" s="507"/>
      <c r="Z103" s="507"/>
    </row>
    <row r="104" ht="26.25" customHeight="1">
      <c r="A104" s="507"/>
      <c r="B104" s="508"/>
      <c r="C104" s="508"/>
      <c r="D104" s="508"/>
      <c r="E104" s="508"/>
      <c r="F104" s="515"/>
      <c r="G104" s="515"/>
      <c r="H104" s="508"/>
      <c r="I104" s="521"/>
      <c r="J104" s="521"/>
      <c r="K104" s="510"/>
      <c r="L104" s="510"/>
      <c r="M104" s="510"/>
      <c r="N104" s="510"/>
      <c r="O104" s="507"/>
      <c r="P104" s="507"/>
      <c r="Q104" s="507"/>
      <c r="R104" s="510"/>
      <c r="S104" s="510"/>
      <c r="T104" s="510"/>
      <c r="U104" s="510"/>
      <c r="V104" s="513"/>
      <c r="W104" s="510"/>
      <c r="X104" s="507"/>
      <c r="Y104" s="507"/>
      <c r="Z104" s="507"/>
    </row>
    <row r="105" ht="26.25" customHeight="1">
      <c r="A105" s="507"/>
      <c r="B105" s="508"/>
      <c r="C105" s="508"/>
      <c r="D105" s="508"/>
      <c r="E105" s="508"/>
      <c r="F105" s="515"/>
      <c r="G105" s="515"/>
      <c r="H105" s="508"/>
      <c r="I105" s="521"/>
      <c r="J105" s="521"/>
      <c r="K105" s="510"/>
      <c r="L105" s="510"/>
      <c r="M105" s="510"/>
      <c r="N105" s="510"/>
      <c r="O105" s="507"/>
      <c r="P105" s="507"/>
      <c r="Q105" s="507"/>
      <c r="R105" s="510"/>
      <c r="S105" s="510"/>
      <c r="T105" s="510"/>
      <c r="U105" s="510"/>
      <c r="V105" s="513"/>
      <c r="W105" s="510"/>
      <c r="X105" s="507"/>
      <c r="Y105" s="507"/>
      <c r="Z105" s="507"/>
    </row>
    <row r="106" ht="26.25" customHeight="1">
      <c r="A106" s="507"/>
      <c r="B106" s="508"/>
      <c r="C106" s="508"/>
      <c r="D106" s="508"/>
      <c r="E106" s="508"/>
      <c r="F106" s="515"/>
      <c r="G106" s="515"/>
      <c r="H106" s="508"/>
      <c r="I106" s="521"/>
      <c r="J106" s="521"/>
      <c r="K106" s="510"/>
      <c r="L106" s="510"/>
      <c r="M106" s="510"/>
      <c r="N106" s="510"/>
      <c r="O106" s="507"/>
      <c r="P106" s="507"/>
      <c r="Q106" s="507"/>
      <c r="R106" s="510"/>
      <c r="S106" s="510"/>
      <c r="T106" s="510"/>
      <c r="U106" s="510"/>
      <c r="V106" s="513"/>
      <c r="W106" s="510"/>
      <c r="X106" s="507"/>
      <c r="Y106" s="507"/>
      <c r="Z106" s="507"/>
    </row>
    <row r="107" ht="26.25" customHeight="1">
      <c r="A107" s="507"/>
      <c r="B107" s="508"/>
      <c r="C107" s="508"/>
      <c r="D107" s="508"/>
      <c r="E107" s="508"/>
      <c r="F107" s="515"/>
      <c r="G107" s="515"/>
      <c r="H107" s="508"/>
      <c r="I107" s="521"/>
      <c r="J107" s="521"/>
      <c r="K107" s="510"/>
      <c r="L107" s="510"/>
      <c r="M107" s="510"/>
      <c r="N107" s="510"/>
      <c r="O107" s="507"/>
      <c r="P107" s="507"/>
      <c r="Q107" s="507"/>
      <c r="R107" s="510"/>
      <c r="S107" s="510"/>
      <c r="T107" s="510"/>
      <c r="U107" s="510"/>
      <c r="V107" s="513"/>
      <c r="W107" s="510"/>
      <c r="X107" s="507"/>
      <c r="Y107" s="507"/>
      <c r="Z107" s="507"/>
    </row>
    <row r="108" ht="26.25" customHeight="1">
      <c r="A108" s="507"/>
      <c r="B108" s="508"/>
      <c r="C108" s="508"/>
      <c r="D108" s="508"/>
      <c r="E108" s="508"/>
      <c r="F108" s="515"/>
      <c r="G108" s="515"/>
      <c r="H108" s="508"/>
      <c r="I108" s="521"/>
      <c r="J108" s="521"/>
      <c r="K108" s="510"/>
      <c r="L108" s="510"/>
      <c r="M108" s="510"/>
      <c r="N108" s="510"/>
      <c r="O108" s="507"/>
      <c r="P108" s="507"/>
      <c r="Q108" s="507"/>
      <c r="R108" s="510"/>
      <c r="S108" s="510"/>
      <c r="T108" s="510"/>
      <c r="U108" s="510"/>
      <c r="V108" s="513"/>
      <c r="W108" s="510"/>
      <c r="X108" s="507"/>
      <c r="Y108" s="507"/>
      <c r="Z108" s="507"/>
    </row>
    <row r="109" ht="26.25" customHeight="1">
      <c r="A109" s="507"/>
      <c r="B109" s="508"/>
      <c r="C109" s="508"/>
      <c r="D109" s="508"/>
      <c r="E109" s="508"/>
      <c r="F109" s="515"/>
      <c r="G109" s="515"/>
      <c r="H109" s="508"/>
      <c r="I109" s="521"/>
      <c r="J109" s="521"/>
      <c r="K109" s="510"/>
      <c r="L109" s="510"/>
      <c r="M109" s="510"/>
      <c r="N109" s="510"/>
      <c r="O109" s="507"/>
      <c r="P109" s="507"/>
      <c r="Q109" s="507"/>
      <c r="R109" s="510"/>
      <c r="S109" s="510"/>
      <c r="T109" s="510"/>
      <c r="U109" s="510"/>
      <c r="V109" s="513"/>
      <c r="W109" s="510"/>
      <c r="X109" s="507"/>
      <c r="Y109" s="507"/>
      <c r="Z109" s="507"/>
    </row>
    <row r="110" ht="26.25" customHeight="1">
      <c r="A110" s="507"/>
      <c r="B110" s="508"/>
      <c r="C110" s="508"/>
      <c r="D110" s="508"/>
      <c r="E110" s="508"/>
      <c r="F110" s="515"/>
      <c r="G110" s="515"/>
      <c r="H110" s="508"/>
      <c r="I110" s="521"/>
      <c r="J110" s="521"/>
      <c r="K110" s="510"/>
      <c r="L110" s="510"/>
      <c r="M110" s="510"/>
      <c r="N110" s="510"/>
      <c r="O110" s="507"/>
      <c r="P110" s="507"/>
      <c r="Q110" s="507"/>
      <c r="R110" s="510"/>
      <c r="S110" s="510"/>
      <c r="T110" s="510"/>
      <c r="U110" s="510"/>
      <c r="V110" s="513"/>
      <c r="W110" s="510"/>
      <c r="X110" s="507"/>
      <c r="Y110" s="507"/>
      <c r="Z110" s="507"/>
    </row>
    <row r="111" ht="26.25" customHeight="1">
      <c r="A111" s="507"/>
      <c r="B111" s="508"/>
      <c r="C111" s="508"/>
      <c r="D111" s="508"/>
      <c r="E111" s="508"/>
      <c r="F111" s="515"/>
      <c r="G111" s="515"/>
      <c r="H111" s="508"/>
      <c r="I111" s="521"/>
      <c r="J111" s="521"/>
      <c r="K111" s="510"/>
      <c r="L111" s="510"/>
      <c r="M111" s="510"/>
      <c r="N111" s="510"/>
      <c r="O111" s="507"/>
      <c r="P111" s="507"/>
      <c r="Q111" s="507"/>
      <c r="R111" s="510"/>
      <c r="S111" s="510"/>
      <c r="T111" s="510"/>
      <c r="U111" s="510"/>
      <c r="V111" s="513"/>
      <c r="W111" s="510"/>
      <c r="X111" s="507"/>
      <c r="Y111" s="507"/>
      <c r="Z111" s="507"/>
    </row>
    <row r="112" ht="26.25" customHeight="1">
      <c r="A112" s="507"/>
      <c r="B112" s="508"/>
      <c r="C112" s="508"/>
      <c r="D112" s="508"/>
      <c r="E112" s="508"/>
      <c r="F112" s="515"/>
      <c r="G112" s="515"/>
      <c r="H112" s="508"/>
      <c r="I112" s="521"/>
      <c r="J112" s="521"/>
      <c r="K112" s="510"/>
      <c r="L112" s="510"/>
      <c r="M112" s="510"/>
      <c r="N112" s="510"/>
      <c r="O112" s="507"/>
      <c r="P112" s="507"/>
      <c r="Q112" s="507"/>
      <c r="R112" s="510"/>
      <c r="S112" s="510"/>
      <c r="T112" s="510"/>
      <c r="U112" s="510"/>
      <c r="V112" s="513"/>
      <c r="W112" s="510"/>
      <c r="X112" s="507"/>
      <c r="Y112" s="507"/>
      <c r="Z112" s="507"/>
    </row>
    <row r="113" ht="26.25" customHeight="1">
      <c r="A113" s="507"/>
      <c r="B113" s="508"/>
      <c r="C113" s="508"/>
      <c r="D113" s="508"/>
      <c r="E113" s="508"/>
      <c r="F113" s="515"/>
      <c r="G113" s="515"/>
      <c r="H113" s="508"/>
      <c r="I113" s="521"/>
      <c r="J113" s="521"/>
      <c r="K113" s="510"/>
      <c r="L113" s="510"/>
      <c r="M113" s="510"/>
      <c r="N113" s="510"/>
      <c r="O113" s="507"/>
      <c r="P113" s="507"/>
      <c r="Q113" s="507"/>
      <c r="R113" s="510"/>
      <c r="S113" s="510"/>
      <c r="T113" s="510"/>
      <c r="U113" s="510"/>
      <c r="V113" s="513"/>
      <c r="W113" s="510"/>
      <c r="X113" s="507"/>
      <c r="Y113" s="507"/>
      <c r="Z113" s="507"/>
    </row>
    <row r="114" ht="26.25" customHeight="1">
      <c r="A114" s="507"/>
      <c r="B114" s="508"/>
      <c r="C114" s="508"/>
      <c r="D114" s="508"/>
      <c r="E114" s="508"/>
      <c r="F114" s="515"/>
      <c r="G114" s="515"/>
      <c r="H114" s="508"/>
      <c r="I114" s="521"/>
      <c r="J114" s="521"/>
      <c r="K114" s="510"/>
      <c r="L114" s="510"/>
      <c r="M114" s="510"/>
      <c r="N114" s="510"/>
      <c r="O114" s="507"/>
      <c r="P114" s="507"/>
      <c r="Q114" s="507"/>
      <c r="R114" s="510"/>
      <c r="S114" s="510"/>
      <c r="T114" s="510"/>
      <c r="U114" s="510"/>
      <c r="V114" s="513"/>
      <c r="W114" s="510"/>
      <c r="X114" s="507"/>
      <c r="Y114" s="507"/>
      <c r="Z114" s="507"/>
    </row>
    <row r="115" ht="26.25" customHeight="1">
      <c r="A115" s="507"/>
      <c r="B115" s="508"/>
      <c r="C115" s="508"/>
      <c r="D115" s="508"/>
      <c r="E115" s="508"/>
      <c r="F115" s="515"/>
      <c r="G115" s="515"/>
      <c r="H115" s="508"/>
      <c r="I115" s="521"/>
      <c r="J115" s="521"/>
      <c r="K115" s="510"/>
      <c r="L115" s="510"/>
      <c r="M115" s="510"/>
      <c r="N115" s="510"/>
      <c r="O115" s="507"/>
      <c r="P115" s="507"/>
      <c r="Q115" s="507"/>
      <c r="R115" s="510"/>
      <c r="S115" s="510"/>
      <c r="T115" s="510"/>
      <c r="U115" s="510"/>
      <c r="V115" s="513"/>
      <c r="W115" s="510"/>
      <c r="X115" s="507"/>
      <c r="Y115" s="507"/>
      <c r="Z115" s="507"/>
    </row>
    <row r="116" ht="26.25" customHeight="1">
      <c r="A116" s="507"/>
      <c r="B116" s="508"/>
      <c r="C116" s="508"/>
      <c r="D116" s="508"/>
      <c r="E116" s="508"/>
      <c r="F116" s="515"/>
      <c r="G116" s="515"/>
      <c r="H116" s="508"/>
      <c r="I116" s="521"/>
      <c r="J116" s="521"/>
      <c r="K116" s="510"/>
      <c r="L116" s="510"/>
      <c r="M116" s="510"/>
      <c r="N116" s="510"/>
      <c r="O116" s="507"/>
      <c r="P116" s="507"/>
      <c r="Q116" s="507"/>
      <c r="R116" s="510"/>
      <c r="S116" s="510"/>
      <c r="T116" s="510"/>
      <c r="U116" s="510"/>
      <c r="V116" s="513"/>
      <c r="W116" s="510"/>
      <c r="X116" s="507"/>
      <c r="Y116" s="507"/>
      <c r="Z116" s="507"/>
    </row>
    <row r="117" ht="26.25" customHeight="1">
      <c r="A117" s="507"/>
      <c r="B117" s="508"/>
      <c r="C117" s="508"/>
      <c r="D117" s="508"/>
      <c r="E117" s="508"/>
      <c r="F117" s="515"/>
      <c r="G117" s="515"/>
      <c r="H117" s="508"/>
      <c r="I117" s="521"/>
      <c r="J117" s="521"/>
      <c r="K117" s="510"/>
      <c r="L117" s="510"/>
      <c r="M117" s="510"/>
      <c r="N117" s="510"/>
      <c r="O117" s="507"/>
      <c r="P117" s="507"/>
      <c r="Q117" s="507"/>
      <c r="R117" s="510"/>
      <c r="S117" s="510"/>
      <c r="T117" s="510"/>
      <c r="U117" s="510"/>
      <c r="V117" s="513"/>
      <c r="W117" s="510"/>
      <c r="X117" s="507"/>
      <c r="Y117" s="507"/>
      <c r="Z117" s="507"/>
    </row>
    <row r="118" ht="26.25" customHeight="1">
      <c r="A118" s="507"/>
      <c r="B118" s="508"/>
      <c r="C118" s="508"/>
      <c r="D118" s="508"/>
      <c r="E118" s="508"/>
      <c r="F118" s="515"/>
      <c r="G118" s="515"/>
      <c r="H118" s="508"/>
      <c r="I118" s="521"/>
      <c r="J118" s="521"/>
      <c r="K118" s="510"/>
      <c r="L118" s="510"/>
      <c r="M118" s="510"/>
      <c r="N118" s="510"/>
      <c r="O118" s="507"/>
      <c r="P118" s="507"/>
      <c r="Q118" s="507"/>
      <c r="R118" s="510"/>
      <c r="S118" s="510"/>
      <c r="T118" s="510"/>
      <c r="U118" s="510"/>
      <c r="V118" s="513"/>
      <c r="W118" s="510"/>
      <c r="X118" s="507"/>
      <c r="Y118" s="507"/>
      <c r="Z118" s="507"/>
    </row>
    <row r="119" ht="26.25" customHeight="1">
      <c r="A119" s="507"/>
      <c r="B119" s="508"/>
      <c r="C119" s="508"/>
      <c r="D119" s="508"/>
      <c r="E119" s="508"/>
      <c r="F119" s="515"/>
      <c r="G119" s="515"/>
      <c r="H119" s="508"/>
      <c r="I119" s="521"/>
      <c r="J119" s="521"/>
      <c r="K119" s="510"/>
      <c r="L119" s="510"/>
      <c r="M119" s="510"/>
      <c r="N119" s="510"/>
      <c r="O119" s="507"/>
      <c r="P119" s="507"/>
      <c r="Q119" s="507"/>
      <c r="R119" s="510"/>
      <c r="S119" s="510"/>
      <c r="T119" s="510"/>
      <c r="U119" s="510"/>
      <c r="V119" s="513"/>
      <c r="W119" s="510"/>
      <c r="X119" s="507"/>
      <c r="Y119" s="507"/>
      <c r="Z119" s="507"/>
    </row>
    <row r="120" ht="26.25" customHeight="1">
      <c r="A120" s="507"/>
      <c r="B120" s="508"/>
      <c r="C120" s="508"/>
      <c r="D120" s="508"/>
      <c r="E120" s="508"/>
      <c r="F120" s="515"/>
      <c r="G120" s="515"/>
      <c r="H120" s="508"/>
      <c r="I120" s="521"/>
      <c r="J120" s="521"/>
      <c r="K120" s="510"/>
      <c r="L120" s="510"/>
      <c r="M120" s="510"/>
      <c r="N120" s="510"/>
      <c r="O120" s="507"/>
      <c r="P120" s="507"/>
      <c r="Q120" s="507"/>
      <c r="R120" s="510"/>
      <c r="S120" s="510"/>
      <c r="T120" s="510"/>
      <c r="U120" s="510"/>
      <c r="V120" s="513"/>
      <c r="W120" s="510"/>
      <c r="X120" s="507"/>
      <c r="Y120" s="507"/>
      <c r="Z120" s="507"/>
    </row>
    <row r="121" ht="26.25" customHeight="1">
      <c r="A121" s="507"/>
      <c r="B121" s="508"/>
      <c r="C121" s="508"/>
      <c r="D121" s="508"/>
      <c r="E121" s="508"/>
      <c r="F121" s="515"/>
      <c r="G121" s="515"/>
      <c r="H121" s="508"/>
      <c r="I121" s="521"/>
      <c r="J121" s="521"/>
      <c r="K121" s="510"/>
      <c r="L121" s="510"/>
      <c r="M121" s="510"/>
      <c r="N121" s="510"/>
      <c r="O121" s="507"/>
      <c r="P121" s="507"/>
      <c r="Q121" s="507"/>
      <c r="R121" s="510"/>
      <c r="S121" s="510"/>
      <c r="T121" s="510"/>
      <c r="U121" s="510"/>
      <c r="V121" s="513"/>
      <c r="W121" s="510"/>
      <c r="X121" s="507"/>
      <c r="Y121" s="507"/>
      <c r="Z121" s="507"/>
    </row>
    <row r="122" ht="26.25" customHeight="1">
      <c r="A122" s="507"/>
      <c r="B122" s="508"/>
      <c r="C122" s="508"/>
      <c r="D122" s="508"/>
      <c r="E122" s="508"/>
      <c r="F122" s="515"/>
      <c r="G122" s="515"/>
      <c r="H122" s="508"/>
      <c r="I122" s="521"/>
      <c r="J122" s="521"/>
      <c r="K122" s="510"/>
      <c r="L122" s="510"/>
      <c r="M122" s="510"/>
      <c r="N122" s="510"/>
      <c r="O122" s="507"/>
      <c r="P122" s="507"/>
      <c r="Q122" s="507"/>
      <c r="R122" s="510"/>
      <c r="S122" s="510"/>
      <c r="T122" s="510"/>
      <c r="U122" s="510"/>
      <c r="V122" s="513"/>
      <c r="W122" s="510"/>
      <c r="X122" s="507"/>
      <c r="Y122" s="507"/>
      <c r="Z122" s="507"/>
    </row>
    <row r="123" ht="26.25" customHeight="1">
      <c r="A123" s="507"/>
      <c r="B123" s="508"/>
      <c r="C123" s="508"/>
      <c r="D123" s="508"/>
      <c r="E123" s="508"/>
      <c r="F123" s="515"/>
      <c r="G123" s="515"/>
      <c r="H123" s="508"/>
      <c r="I123" s="521"/>
      <c r="J123" s="521"/>
      <c r="K123" s="510"/>
      <c r="L123" s="510"/>
      <c r="M123" s="510"/>
      <c r="N123" s="510"/>
      <c r="O123" s="507"/>
      <c r="P123" s="507"/>
      <c r="Q123" s="507"/>
      <c r="R123" s="510"/>
      <c r="S123" s="510"/>
      <c r="T123" s="510"/>
      <c r="U123" s="510"/>
      <c r="V123" s="513"/>
      <c r="W123" s="510"/>
      <c r="X123" s="507"/>
      <c r="Y123" s="507"/>
      <c r="Z123" s="507"/>
    </row>
    <row r="124" ht="26.25" customHeight="1">
      <c r="A124" s="507"/>
      <c r="B124" s="508"/>
      <c r="C124" s="508"/>
      <c r="D124" s="508"/>
      <c r="E124" s="508"/>
      <c r="F124" s="515"/>
      <c r="G124" s="515"/>
      <c r="H124" s="508"/>
      <c r="I124" s="521"/>
      <c r="J124" s="521"/>
      <c r="K124" s="510"/>
      <c r="L124" s="510"/>
      <c r="M124" s="510"/>
      <c r="N124" s="510"/>
      <c r="O124" s="507"/>
      <c r="P124" s="507"/>
      <c r="Q124" s="507"/>
      <c r="R124" s="510"/>
      <c r="S124" s="510"/>
      <c r="T124" s="510"/>
      <c r="U124" s="510"/>
      <c r="V124" s="513"/>
      <c r="W124" s="510"/>
      <c r="X124" s="507"/>
      <c r="Y124" s="507"/>
      <c r="Z124" s="507"/>
    </row>
    <row r="125" ht="26.25" customHeight="1">
      <c r="A125" s="507"/>
      <c r="B125" s="508"/>
      <c r="C125" s="508"/>
      <c r="D125" s="508"/>
      <c r="E125" s="508"/>
      <c r="F125" s="515"/>
      <c r="G125" s="515"/>
      <c r="H125" s="508"/>
      <c r="I125" s="521"/>
      <c r="J125" s="521"/>
      <c r="K125" s="510"/>
      <c r="L125" s="510"/>
      <c r="M125" s="510"/>
      <c r="N125" s="510"/>
      <c r="O125" s="507"/>
      <c r="P125" s="507"/>
      <c r="Q125" s="507"/>
      <c r="R125" s="510"/>
      <c r="S125" s="510"/>
      <c r="T125" s="510"/>
      <c r="U125" s="510"/>
      <c r="V125" s="513"/>
      <c r="W125" s="510"/>
      <c r="X125" s="507"/>
      <c r="Y125" s="507"/>
      <c r="Z125" s="507"/>
    </row>
    <row r="126" ht="26.25" customHeight="1">
      <c r="A126" s="507"/>
      <c r="B126" s="508"/>
      <c r="C126" s="508"/>
      <c r="D126" s="508"/>
      <c r="E126" s="508"/>
      <c r="F126" s="515"/>
      <c r="G126" s="515"/>
      <c r="H126" s="508"/>
      <c r="I126" s="521"/>
      <c r="J126" s="521"/>
      <c r="K126" s="510"/>
      <c r="L126" s="510"/>
      <c r="M126" s="510"/>
      <c r="N126" s="510"/>
      <c r="O126" s="507"/>
      <c r="P126" s="507"/>
      <c r="Q126" s="507"/>
      <c r="R126" s="510"/>
      <c r="S126" s="510"/>
      <c r="T126" s="510"/>
      <c r="U126" s="510"/>
      <c r="V126" s="513"/>
      <c r="W126" s="510"/>
      <c r="X126" s="507"/>
      <c r="Y126" s="507"/>
      <c r="Z126" s="507"/>
    </row>
    <row r="127" ht="26.25" customHeight="1">
      <c r="A127" s="507"/>
      <c r="B127" s="508"/>
      <c r="C127" s="508"/>
      <c r="D127" s="508"/>
      <c r="E127" s="508"/>
      <c r="F127" s="515"/>
      <c r="G127" s="515"/>
      <c r="H127" s="508"/>
      <c r="I127" s="521"/>
      <c r="J127" s="521"/>
      <c r="K127" s="510"/>
      <c r="L127" s="510"/>
      <c r="M127" s="510"/>
      <c r="N127" s="510"/>
      <c r="O127" s="507"/>
      <c r="P127" s="507"/>
      <c r="Q127" s="507"/>
      <c r="R127" s="510"/>
      <c r="S127" s="510"/>
      <c r="T127" s="510"/>
      <c r="U127" s="510"/>
      <c r="V127" s="513"/>
      <c r="W127" s="510"/>
      <c r="X127" s="507"/>
      <c r="Y127" s="507"/>
      <c r="Z127" s="507"/>
    </row>
    <row r="128" ht="26.25" customHeight="1">
      <c r="A128" s="507"/>
      <c r="B128" s="508"/>
      <c r="C128" s="508"/>
      <c r="D128" s="508"/>
      <c r="E128" s="508"/>
      <c r="F128" s="515"/>
      <c r="G128" s="515"/>
      <c r="H128" s="508"/>
      <c r="I128" s="521"/>
      <c r="J128" s="521"/>
      <c r="K128" s="510"/>
      <c r="L128" s="510"/>
      <c r="M128" s="510"/>
      <c r="N128" s="510"/>
      <c r="O128" s="507"/>
      <c r="P128" s="507"/>
      <c r="Q128" s="507"/>
      <c r="R128" s="510"/>
      <c r="S128" s="510"/>
      <c r="T128" s="510"/>
      <c r="U128" s="510"/>
      <c r="V128" s="513"/>
      <c r="W128" s="510"/>
      <c r="X128" s="507"/>
      <c r="Y128" s="507"/>
      <c r="Z128" s="507"/>
    </row>
    <row r="129" ht="26.25" customHeight="1">
      <c r="A129" s="507"/>
      <c r="B129" s="508"/>
      <c r="C129" s="508"/>
      <c r="D129" s="508"/>
      <c r="E129" s="508"/>
      <c r="F129" s="515"/>
      <c r="G129" s="515"/>
      <c r="H129" s="508"/>
      <c r="I129" s="521"/>
      <c r="J129" s="521"/>
      <c r="K129" s="510"/>
      <c r="L129" s="510"/>
      <c r="M129" s="510"/>
      <c r="N129" s="510"/>
      <c r="O129" s="507"/>
      <c r="P129" s="507"/>
      <c r="Q129" s="507"/>
      <c r="R129" s="510"/>
      <c r="S129" s="510"/>
      <c r="T129" s="510"/>
      <c r="U129" s="510"/>
      <c r="V129" s="513"/>
      <c r="W129" s="510"/>
      <c r="X129" s="507"/>
      <c r="Y129" s="507"/>
      <c r="Z129" s="507"/>
    </row>
    <row r="130" ht="26.25" customHeight="1">
      <c r="A130" s="507"/>
      <c r="B130" s="508"/>
      <c r="C130" s="508"/>
      <c r="D130" s="508"/>
      <c r="E130" s="508"/>
      <c r="F130" s="515"/>
      <c r="G130" s="515"/>
      <c r="H130" s="508"/>
      <c r="I130" s="521"/>
      <c r="J130" s="521"/>
      <c r="K130" s="510"/>
      <c r="L130" s="510"/>
      <c r="M130" s="510"/>
      <c r="N130" s="510"/>
      <c r="O130" s="507"/>
      <c r="P130" s="507"/>
      <c r="Q130" s="507"/>
      <c r="R130" s="510"/>
      <c r="S130" s="510"/>
      <c r="T130" s="510"/>
      <c r="U130" s="510"/>
      <c r="V130" s="513"/>
      <c r="W130" s="510"/>
      <c r="X130" s="507"/>
      <c r="Y130" s="507"/>
      <c r="Z130" s="507"/>
    </row>
    <row r="131" ht="26.25" customHeight="1">
      <c r="A131" s="507"/>
      <c r="B131" s="508"/>
      <c r="C131" s="508"/>
      <c r="D131" s="508"/>
      <c r="E131" s="508"/>
      <c r="F131" s="515"/>
      <c r="G131" s="515"/>
      <c r="H131" s="508"/>
      <c r="I131" s="521"/>
      <c r="J131" s="521"/>
      <c r="K131" s="510"/>
      <c r="L131" s="510"/>
      <c r="M131" s="510"/>
      <c r="N131" s="510"/>
      <c r="O131" s="507"/>
      <c r="P131" s="507"/>
      <c r="Q131" s="507"/>
      <c r="R131" s="510"/>
      <c r="S131" s="510"/>
      <c r="T131" s="510"/>
      <c r="U131" s="510"/>
      <c r="V131" s="513"/>
      <c r="W131" s="510"/>
      <c r="X131" s="507"/>
      <c r="Y131" s="507"/>
      <c r="Z131" s="507"/>
    </row>
    <row r="132" ht="26.25" customHeight="1">
      <c r="A132" s="507"/>
      <c r="B132" s="508"/>
      <c r="C132" s="508"/>
      <c r="D132" s="508"/>
      <c r="E132" s="508"/>
      <c r="F132" s="515"/>
      <c r="G132" s="515"/>
      <c r="H132" s="508"/>
      <c r="I132" s="521"/>
      <c r="J132" s="521"/>
      <c r="K132" s="510"/>
      <c r="L132" s="510"/>
      <c r="M132" s="510"/>
      <c r="N132" s="510"/>
      <c r="O132" s="507"/>
      <c r="P132" s="507"/>
      <c r="Q132" s="507"/>
      <c r="R132" s="510"/>
      <c r="S132" s="510"/>
      <c r="T132" s="510"/>
      <c r="U132" s="510"/>
      <c r="V132" s="513"/>
      <c r="W132" s="510"/>
      <c r="X132" s="507"/>
      <c r="Y132" s="507"/>
      <c r="Z132" s="507"/>
    </row>
    <row r="133" ht="26.25" customHeight="1">
      <c r="A133" s="507"/>
      <c r="B133" s="508"/>
      <c r="C133" s="508"/>
      <c r="D133" s="508"/>
      <c r="E133" s="508"/>
      <c r="F133" s="515"/>
      <c r="G133" s="515"/>
      <c r="H133" s="508"/>
      <c r="I133" s="521"/>
      <c r="J133" s="521"/>
      <c r="K133" s="510"/>
      <c r="L133" s="510"/>
      <c r="M133" s="510"/>
      <c r="N133" s="510"/>
      <c r="O133" s="507"/>
      <c r="P133" s="507"/>
      <c r="Q133" s="507"/>
      <c r="R133" s="510"/>
      <c r="S133" s="510"/>
      <c r="T133" s="510"/>
      <c r="U133" s="510"/>
      <c r="V133" s="513"/>
      <c r="W133" s="510"/>
      <c r="X133" s="507"/>
      <c r="Y133" s="507"/>
      <c r="Z133" s="507"/>
    </row>
    <row r="134" ht="26.25" customHeight="1">
      <c r="A134" s="507"/>
      <c r="B134" s="508"/>
      <c r="C134" s="508"/>
      <c r="D134" s="508"/>
      <c r="E134" s="508"/>
      <c r="F134" s="515"/>
      <c r="G134" s="515"/>
      <c r="H134" s="508"/>
      <c r="I134" s="521"/>
      <c r="J134" s="521"/>
      <c r="K134" s="510"/>
      <c r="L134" s="510"/>
      <c r="M134" s="510"/>
      <c r="N134" s="510"/>
      <c r="O134" s="507"/>
      <c r="P134" s="507"/>
      <c r="Q134" s="507"/>
      <c r="R134" s="510"/>
      <c r="S134" s="510"/>
      <c r="T134" s="510"/>
      <c r="U134" s="510"/>
      <c r="V134" s="513"/>
      <c r="W134" s="510"/>
      <c r="X134" s="507"/>
      <c r="Y134" s="507"/>
      <c r="Z134" s="507"/>
    </row>
    <row r="135" ht="26.25" customHeight="1">
      <c r="A135" s="507"/>
      <c r="B135" s="508"/>
      <c r="C135" s="508"/>
      <c r="D135" s="508"/>
      <c r="E135" s="508"/>
      <c r="F135" s="515"/>
      <c r="G135" s="515"/>
      <c r="H135" s="508"/>
      <c r="I135" s="521"/>
      <c r="J135" s="521"/>
      <c r="K135" s="510"/>
      <c r="L135" s="510"/>
      <c r="M135" s="510"/>
      <c r="N135" s="510"/>
      <c r="O135" s="507"/>
      <c r="P135" s="507"/>
      <c r="Q135" s="507"/>
      <c r="R135" s="510"/>
      <c r="S135" s="510"/>
      <c r="T135" s="510"/>
      <c r="U135" s="510"/>
      <c r="V135" s="513"/>
      <c r="W135" s="510"/>
      <c r="X135" s="507"/>
      <c r="Y135" s="507"/>
      <c r="Z135" s="507"/>
    </row>
    <row r="136" ht="26.25" customHeight="1">
      <c r="A136" s="507"/>
      <c r="B136" s="508"/>
      <c r="C136" s="508"/>
      <c r="D136" s="508"/>
      <c r="E136" s="508"/>
      <c r="F136" s="515"/>
      <c r="G136" s="515"/>
      <c r="H136" s="508"/>
      <c r="I136" s="521"/>
      <c r="J136" s="521"/>
      <c r="K136" s="510"/>
      <c r="L136" s="510"/>
      <c r="M136" s="510"/>
      <c r="N136" s="510"/>
      <c r="O136" s="507"/>
      <c r="P136" s="507"/>
      <c r="Q136" s="507"/>
      <c r="R136" s="510"/>
      <c r="S136" s="510"/>
      <c r="T136" s="510"/>
      <c r="U136" s="510"/>
      <c r="V136" s="513"/>
      <c r="W136" s="510"/>
      <c r="X136" s="507"/>
      <c r="Y136" s="507"/>
      <c r="Z136" s="507"/>
    </row>
    <row r="137" ht="26.25" customHeight="1">
      <c r="A137" s="507"/>
      <c r="B137" s="508"/>
      <c r="C137" s="508"/>
      <c r="D137" s="508"/>
      <c r="E137" s="508"/>
      <c r="F137" s="515"/>
      <c r="G137" s="515"/>
      <c r="H137" s="508"/>
      <c r="I137" s="521"/>
      <c r="J137" s="521"/>
      <c r="K137" s="510"/>
      <c r="L137" s="510"/>
      <c r="M137" s="510"/>
      <c r="N137" s="510"/>
      <c r="O137" s="507"/>
      <c r="P137" s="507"/>
      <c r="Q137" s="507"/>
      <c r="R137" s="510"/>
      <c r="S137" s="510"/>
      <c r="T137" s="510"/>
      <c r="U137" s="510"/>
      <c r="V137" s="513"/>
      <c r="W137" s="510"/>
      <c r="X137" s="507"/>
      <c r="Y137" s="507"/>
      <c r="Z137" s="507"/>
    </row>
    <row r="138" ht="26.25" customHeight="1">
      <c r="A138" s="507"/>
      <c r="B138" s="508"/>
      <c r="C138" s="508"/>
      <c r="D138" s="508"/>
      <c r="E138" s="508"/>
      <c r="F138" s="515"/>
      <c r="G138" s="515"/>
      <c r="H138" s="508"/>
      <c r="I138" s="521"/>
      <c r="J138" s="521"/>
      <c r="K138" s="510"/>
      <c r="L138" s="510"/>
      <c r="M138" s="510"/>
      <c r="N138" s="510"/>
      <c r="O138" s="507"/>
      <c r="P138" s="507"/>
      <c r="Q138" s="507"/>
      <c r="R138" s="510"/>
      <c r="S138" s="510"/>
      <c r="T138" s="510"/>
      <c r="U138" s="510"/>
      <c r="V138" s="513"/>
      <c r="W138" s="510"/>
      <c r="X138" s="507"/>
      <c r="Y138" s="507"/>
      <c r="Z138" s="507"/>
    </row>
    <row r="139" ht="26.25" customHeight="1">
      <c r="A139" s="507"/>
      <c r="B139" s="508"/>
      <c r="C139" s="508"/>
      <c r="D139" s="508"/>
      <c r="E139" s="508"/>
      <c r="F139" s="515"/>
      <c r="G139" s="515"/>
      <c r="H139" s="508"/>
      <c r="I139" s="521"/>
      <c r="J139" s="521"/>
      <c r="K139" s="510"/>
      <c r="L139" s="510"/>
      <c r="M139" s="510"/>
      <c r="N139" s="510"/>
      <c r="O139" s="507"/>
      <c r="P139" s="507"/>
      <c r="Q139" s="507"/>
      <c r="R139" s="510"/>
      <c r="S139" s="510"/>
      <c r="T139" s="510"/>
      <c r="U139" s="510"/>
      <c r="V139" s="513"/>
      <c r="W139" s="510"/>
      <c r="X139" s="507"/>
      <c r="Y139" s="507"/>
      <c r="Z139" s="507"/>
    </row>
    <row r="140" ht="26.25" customHeight="1">
      <c r="A140" s="507"/>
      <c r="B140" s="508"/>
      <c r="C140" s="508"/>
      <c r="D140" s="508"/>
      <c r="E140" s="508"/>
      <c r="F140" s="515"/>
      <c r="G140" s="515"/>
      <c r="H140" s="508"/>
      <c r="I140" s="521"/>
      <c r="J140" s="521"/>
      <c r="K140" s="510"/>
      <c r="L140" s="510"/>
      <c r="M140" s="510"/>
      <c r="N140" s="510"/>
      <c r="O140" s="507"/>
      <c r="P140" s="507"/>
      <c r="Q140" s="507"/>
      <c r="R140" s="510"/>
      <c r="S140" s="510"/>
      <c r="T140" s="510"/>
      <c r="U140" s="510"/>
      <c r="V140" s="513"/>
      <c r="W140" s="510"/>
      <c r="X140" s="507"/>
      <c r="Y140" s="507"/>
      <c r="Z140" s="507"/>
    </row>
    <row r="141" ht="26.25" customHeight="1">
      <c r="A141" s="507"/>
      <c r="B141" s="508"/>
      <c r="C141" s="508"/>
      <c r="D141" s="508"/>
      <c r="E141" s="508"/>
      <c r="F141" s="515"/>
      <c r="G141" s="515"/>
      <c r="H141" s="508"/>
      <c r="I141" s="521"/>
      <c r="J141" s="521"/>
      <c r="K141" s="510"/>
      <c r="L141" s="510"/>
      <c r="M141" s="510"/>
      <c r="N141" s="510"/>
      <c r="O141" s="507"/>
      <c r="P141" s="507"/>
      <c r="Q141" s="507"/>
      <c r="R141" s="510"/>
      <c r="S141" s="510"/>
      <c r="T141" s="510"/>
      <c r="U141" s="510"/>
      <c r="V141" s="513"/>
      <c r="W141" s="510"/>
      <c r="X141" s="507"/>
      <c r="Y141" s="507"/>
      <c r="Z141" s="507"/>
    </row>
    <row r="142" ht="26.25" customHeight="1">
      <c r="A142" s="507"/>
      <c r="B142" s="508"/>
      <c r="C142" s="508"/>
      <c r="D142" s="508"/>
      <c r="E142" s="508"/>
      <c r="F142" s="515"/>
      <c r="G142" s="515"/>
      <c r="H142" s="508"/>
      <c r="I142" s="521"/>
      <c r="J142" s="521"/>
      <c r="K142" s="510"/>
      <c r="L142" s="510"/>
      <c r="M142" s="510"/>
      <c r="N142" s="510"/>
      <c r="O142" s="507"/>
      <c r="P142" s="507"/>
      <c r="Q142" s="507"/>
      <c r="R142" s="510"/>
      <c r="S142" s="510"/>
      <c r="T142" s="510"/>
      <c r="U142" s="510"/>
      <c r="V142" s="513"/>
      <c r="W142" s="510"/>
      <c r="X142" s="507"/>
      <c r="Y142" s="507"/>
      <c r="Z142" s="507"/>
    </row>
    <row r="143" ht="26.25" customHeight="1">
      <c r="A143" s="507"/>
      <c r="B143" s="508"/>
      <c r="C143" s="508"/>
      <c r="D143" s="508"/>
      <c r="E143" s="508"/>
      <c r="F143" s="515"/>
      <c r="G143" s="515"/>
      <c r="H143" s="508"/>
      <c r="I143" s="521"/>
      <c r="J143" s="521"/>
      <c r="K143" s="510"/>
      <c r="L143" s="510"/>
      <c r="M143" s="510"/>
      <c r="N143" s="510"/>
      <c r="O143" s="507"/>
      <c r="P143" s="507"/>
      <c r="Q143" s="507"/>
      <c r="R143" s="510"/>
      <c r="S143" s="510"/>
      <c r="T143" s="510"/>
      <c r="U143" s="510"/>
      <c r="V143" s="513"/>
      <c r="W143" s="510"/>
      <c r="X143" s="507"/>
      <c r="Y143" s="507"/>
      <c r="Z143" s="507"/>
    </row>
    <row r="144" ht="26.25" customHeight="1">
      <c r="A144" s="507"/>
      <c r="B144" s="508"/>
      <c r="C144" s="508"/>
      <c r="D144" s="508"/>
      <c r="E144" s="508"/>
      <c r="F144" s="515"/>
      <c r="G144" s="515"/>
      <c r="H144" s="508"/>
      <c r="I144" s="521"/>
      <c r="J144" s="521"/>
      <c r="K144" s="510"/>
      <c r="L144" s="510"/>
      <c r="M144" s="510"/>
      <c r="N144" s="510"/>
      <c r="O144" s="507"/>
      <c r="P144" s="507"/>
      <c r="Q144" s="507"/>
      <c r="R144" s="510"/>
      <c r="S144" s="510"/>
      <c r="T144" s="510"/>
      <c r="U144" s="510"/>
      <c r="V144" s="513"/>
      <c r="W144" s="510"/>
      <c r="X144" s="507"/>
      <c r="Y144" s="507"/>
      <c r="Z144" s="507"/>
    </row>
    <row r="145" ht="26.25" customHeight="1">
      <c r="A145" s="507"/>
      <c r="B145" s="508"/>
      <c r="C145" s="508"/>
      <c r="D145" s="508"/>
      <c r="E145" s="508"/>
      <c r="F145" s="515"/>
      <c r="G145" s="515"/>
      <c r="H145" s="508"/>
      <c r="I145" s="521"/>
      <c r="J145" s="521"/>
      <c r="K145" s="510"/>
      <c r="L145" s="510"/>
      <c r="M145" s="510"/>
      <c r="N145" s="510"/>
      <c r="O145" s="507"/>
      <c r="P145" s="507"/>
      <c r="Q145" s="507"/>
      <c r="R145" s="510"/>
      <c r="S145" s="510"/>
      <c r="T145" s="510"/>
      <c r="U145" s="510"/>
      <c r="V145" s="513"/>
      <c r="W145" s="510"/>
      <c r="X145" s="507"/>
      <c r="Y145" s="507"/>
      <c r="Z145" s="507"/>
    </row>
    <row r="146" ht="26.25" customHeight="1">
      <c r="A146" s="507"/>
      <c r="B146" s="508"/>
      <c r="C146" s="508"/>
      <c r="D146" s="508"/>
      <c r="E146" s="508"/>
      <c r="F146" s="515"/>
      <c r="G146" s="515"/>
      <c r="H146" s="508"/>
      <c r="I146" s="521"/>
      <c r="J146" s="521"/>
      <c r="K146" s="510"/>
      <c r="L146" s="510"/>
      <c r="M146" s="510"/>
      <c r="N146" s="510"/>
      <c r="O146" s="507"/>
      <c r="P146" s="507"/>
      <c r="Q146" s="507"/>
      <c r="R146" s="510"/>
      <c r="S146" s="510"/>
      <c r="T146" s="510"/>
      <c r="U146" s="510"/>
      <c r="V146" s="513"/>
      <c r="W146" s="510"/>
      <c r="X146" s="507"/>
      <c r="Y146" s="507"/>
      <c r="Z146" s="507"/>
    </row>
    <row r="147" ht="26.25" customHeight="1">
      <c r="A147" s="507"/>
      <c r="B147" s="508"/>
      <c r="C147" s="508"/>
      <c r="D147" s="508"/>
      <c r="E147" s="508"/>
      <c r="F147" s="515"/>
      <c r="G147" s="515"/>
      <c r="H147" s="508"/>
      <c r="I147" s="521"/>
      <c r="J147" s="521"/>
      <c r="K147" s="510"/>
      <c r="L147" s="510"/>
      <c r="M147" s="510"/>
      <c r="N147" s="510"/>
      <c r="O147" s="507"/>
      <c r="P147" s="507"/>
      <c r="Q147" s="507"/>
      <c r="R147" s="510"/>
      <c r="S147" s="510"/>
      <c r="T147" s="510"/>
      <c r="U147" s="510"/>
      <c r="V147" s="513"/>
      <c r="W147" s="510"/>
      <c r="X147" s="507"/>
      <c r="Y147" s="507"/>
      <c r="Z147" s="507"/>
    </row>
    <row r="148" ht="26.25" customHeight="1">
      <c r="A148" s="507"/>
      <c r="B148" s="508"/>
      <c r="C148" s="508"/>
      <c r="D148" s="508"/>
      <c r="E148" s="508"/>
      <c r="F148" s="515"/>
      <c r="G148" s="515"/>
      <c r="H148" s="508"/>
      <c r="I148" s="521"/>
      <c r="J148" s="521"/>
      <c r="K148" s="510"/>
      <c r="L148" s="510"/>
      <c r="M148" s="510"/>
      <c r="N148" s="510"/>
      <c r="O148" s="507"/>
      <c r="P148" s="507"/>
      <c r="Q148" s="507"/>
      <c r="R148" s="510"/>
      <c r="S148" s="510"/>
      <c r="T148" s="510"/>
      <c r="U148" s="510"/>
      <c r="V148" s="513"/>
      <c r="W148" s="510"/>
      <c r="X148" s="507"/>
      <c r="Y148" s="507"/>
      <c r="Z148" s="507"/>
    </row>
    <row r="149" ht="26.25" customHeight="1">
      <c r="A149" s="507"/>
      <c r="B149" s="508"/>
      <c r="C149" s="508"/>
      <c r="D149" s="508"/>
      <c r="E149" s="508"/>
      <c r="F149" s="515"/>
      <c r="G149" s="515"/>
      <c r="H149" s="508"/>
      <c r="I149" s="521"/>
      <c r="J149" s="521"/>
      <c r="K149" s="510"/>
      <c r="L149" s="510"/>
      <c r="M149" s="510"/>
      <c r="N149" s="510"/>
      <c r="O149" s="507"/>
      <c r="P149" s="507"/>
      <c r="Q149" s="507"/>
      <c r="R149" s="510"/>
      <c r="S149" s="510"/>
      <c r="T149" s="510"/>
      <c r="U149" s="510"/>
      <c r="V149" s="513"/>
      <c r="W149" s="510"/>
      <c r="X149" s="507"/>
      <c r="Y149" s="507"/>
      <c r="Z149" s="507"/>
    </row>
    <row r="150" ht="26.25" customHeight="1">
      <c r="A150" s="507"/>
      <c r="B150" s="508"/>
      <c r="C150" s="508"/>
      <c r="D150" s="508"/>
      <c r="E150" s="508"/>
      <c r="F150" s="515"/>
      <c r="G150" s="515"/>
      <c r="H150" s="508"/>
      <c r="I150" s="521"/>
      <c r="J150" s="521"/>
      <c r="K150" s="510"/>
      <c r="L150" s="510"/>
      <c r="M150" s="510"/>
      <c r="N150" s="510"/>
      <c r="O150" s="507"/>
      <c r="P150" s="507"/>
      <c r="Q150" s="507"/>
      <c r="R150" s="510"/>
      <c r="S150" s="510"/>
      <c r="T150" s="510"/>
      <c r="U150" s="510"/>
      <c r="V150" s="513"/>
      <c r="W150" s="510"/>
      <c r="X150" s="507"/>
      <c r="Y150" s="507"/>
      <c r="Z150" s="507"/>
    </row>
    <row r="151" ht="26.25" customHeight="1">
      <c r="A151" s="507"/>
      <c r="B151" s="508"/>
      <c r="C151" s="508"/>
      <c r="D151" s="508"/>
      <c r="E151" s="508"/>
      <c r="F151" s="515"/>
      <c r="G151" s="515"/>
      <c r="H151" s="508"/>
      <c r="I151" s="521"/>
      <c r="J151" s="521"/>
      <c r="K151" s="510"/>
      <c r="L151" s="510"/>
      <c r="M151" s="510"/>
      <c r="N151" s="510"/>
      <c r="O151" s="507"/>
      <c r="P151" s="507"/>
      <c r="Q151" s="507"/>
      <c r="R151" s="510"/>
      <c r="S151" s="510"/>
      <c r="T151" s="510"/>
      <c r="U151" s="510"/>
      <c r="V151" s="513"/>
      <c r="W151" s="510"/>
      <c r="X151" s="507"/>
      <c r="Y151" s="507"/>
      <c r="Z151" s="507"/>
    </row>
    <row r="152" ht="26.25" customHeight="1">
      <c r="A152" s="507"/>
      <c r="B152" s="508"/>
      <c r="C152" s="508"/>
      <c r="D152" s="508"/>
      <c r="E152" s="508"/>
      <c r="F152" s="515"/>
      <c r="G152" s="515"/>
      <c r="H152" s="508"/>
      <c r="I152" s="521"/>
      <c r="J152" s="521"/>
      <c r="K152" s="510"/>
      <c r="L152" s="510"/>
      <c r="M152" s="510"/>
      <c r="N152" s="510"/>
      <c r="O152" s="507"/>
      <c r="P152" s="507"/>
      <c r="Q152" s="507"/>
      <c r="R152" s="510"/>
      <c r="S152" s="510"/>
      <c r="T152" s="510"/>
      <c r="U152" s="510"/>
      <c r="V152" s="513"/>
      <c r="W152" s="510"/>
      <c r="X152" s="507"/>
      <c r="Y152" s="507"/>
      <c r="Z152" s="507"/>
    </row>
    <row r="153" ht="26.25" customHeight="1">
      <c r="A153" s="507"/>
      <c r="B153" s="508"/>
      <c r="C153" s="508"/>
      <c r="D153" s="508"/>
      <c r="E153" s="508"/>
      <c r="F153" s="515"/>
      <c r="G153" s="515"/>
      <c r="H153" s="508"/>
      <c r="I153" s="521"/>
      <c r="J153" s="521"/>
      <c r="K153" s="510"/>
      <c r="L153" s="510"/>
      <c r="M153" s="510"/>
      <c r="N153" s="510"/>
      <c r="O153" s="507"/>
      <c r="P153" s="507"/>
      <c r="Q153" s="507"/>
      <c r="R153" s="510"/>
      <c r="S153" s="510"/>
      <c r="T153" s="510"/>
      <c r="U153" s="510"/>
      <c r="V153" s="513"/>
      <c r="W153" s="510"/>
      <c r="X153" s="507"/>
      <c r="Y153" s="507"/>
      <c r="Z153" s="507"/>
    </row>
    <row r="154" ht="26.25" customHeight="1">
      <c r="A154" s="507"/>
      <c r="B154" s="508"/>
      <c r="C154" s="508"/>
      <c r="D154" s="508"/>
      <c r="E154" s="508"/>
      <c r="F154" s="515"/>
      <c r="G154" s="515"/>
      <c r="H154" s="508"/>
      <c r="I154" s="521"/>
      <c r="J154" s="521"/>
      <c r="K154" s="510"/>
      <c r="L154" s="510"/>
      <c r="M154" s="510"/>
      <c r="N154" s="510"/>
      <c r="O154" s="507"/>
      <c r="P154" s="507"/>
      <c r="Q154" s="507"/>
      <c r="R154" s="510"/>
      <c r="S154" s="510"/>
      <c r="T154" s="510"/>
      <c r="U154" s="510"/>
      <c r="V154" s="513"/>
      <c r="W154" s="510"/>
      <c r="X154" s="507"/>
      <c r="Y154" s="507"/>
      <c r="Z154" s="507"/>
    </row>
    <row r="155" ht="26.25" customHeight="1">
      <c r="A155" s="507"/>
      <c r="B155" s="508"/>
      <c r="C155" s="508"/>
      <c r="D155" s="508"/>
      <c r="E155" s="508"/>
      <c r="F155" s="515"/>
      <c r="G155" s="515"/>
      <c r="H155" s="508"/>
      <c r="I155" s="521"/>
      <c r="J155" s="521"/>
      <c r="K155" s="510"/>
      <c r="L155" s="510"/>
      <c r="M155" s="510"/>
      <c r="N155" s="510"/>
      <c r="O155" s="507"/>
      <c r="P155" s="507"/>
      <c r="Q155" s="507"/>
      <c r="R155" s="510"/>
      <c r="S155" s="510"/>
      <c r="T155" s="510"/>
      <c r="U155" s="510"/>
      <c r="V155" s="513"/>
      <c r="W155" s="510"/>
      <c r="X155" s="507"/>
      <c r="Y155" s="507"/>
      <c r="Z155" s="507"/>
    </row>
    <row r="156" ht="26.25" customHeight="1">
      <c r="A156" s="507"/>
      <c r="B156" s="508"/>
      <c r="C156" s="508"/>
      <c r="D156" s="508"/>
      <c r="E156" s="508"/>
      <c r="F156" s="515"/>
      <c r="G156" s="515"/>
      <c r="H156" s="508"/>
      <c r="I156" s="521"/>
      <c r="J156" s="521"/>
      <c r="K156" s="510"/>
      <c r="L156" s="510"/>
      <c r="M156" s="510"/>
      <c r="N156" s="510"/>
      <c r="O156" s="507"/>
      <c r="P156" s="507"/>
      <c r="Q156" s="507"/>
      <c r="R156" s="510"/>
      <c r="S156" s="510"/>
      <c r="T156" s="510"/>
      <c r="U156" s="510"/>
      <c r="V156" s="513"/>
      <c r="W156" s="510"/>
      <c r="X156" s="507"/>
      <c r="Y156" s="507"/>
      <c r="Z156" s="507"/>
    </row>
    <row r="157" ht="26.25" customHeight="1">
      <c r="A157" s="507"/>
      <c r="B157" s="508"/>
      <c r="C157" s="508"/>
      <c r="D157" s="508"/>
      <c r="E157" s="508"/>
      <c r="F157" s="515"/>
      <c r="G157" s="515"/>
      <c r="H157" s="508"/>
      <c r="I157" s="521"/>
      <c r="J157" s="521"/>
      <c r="K157" s="510"/>
      <c r="L157" s="510"/>
      <c r="M157" s="510"/>
      <c r="N157" s="510"/>
      <c r="O157" s="507"/>
      <c r="P157" s="507"/>
      <c r="Q157" s="507"/>
      <c r="R157" s="510"/>
      <c r="S157" s="510"/>
      <c r="T157" s="510"/>
      <c r="U157" s="510"/>
      <c r="V157" s="513"/>
      <c r="W157" s="510"/>
      <c r="X157" s="507"/>
      <c r="Y157" s="507"/>
      <c r="Z157" s="507"/>
    </row>
    <row r="158" ht="26.25" customHeight="1">
      <c r="A158" s="507"/>
      <c r="B158" s="508"/>
      <c r="C158" s="508"/>
      <c r="D158" s="508"/>
      <c r="E158" s="508"/>
      <c r="F158" s="515"/>
      <c r="G158" s="515"/>
      <c r="H158" s="508"/>
      <c r="I158" s="521"/>
      <c r="J158" s="521"/>
      <c r="K158" s="510"/>
      <c r="L158" s="510"/>
      <c r="M158" s="510"/>
      <c r="N158" s="510"/>
      <c r="O158" s="507"/>
      <c r="P158" s="507"/>
      <c r="Q158" s="507"/>
      <c r="R158" s="510"/>
      <c r="S158" s="510"/>
      <c r="T158" s="510"/>
      <c r="U158" s="510"/>
      <c r="V158" s="513"/>
      <c r="W158" s="510"/>
      <c r="X158" s="507"/>
      <c r="Y158" s="507"/>
      <c r="Z158" s="507"/>
    </row>
    <row r="159" ht="26.25" customHeight="1">
      <c r="A159" s="507"/>
      <c r="B159" s="508"/>
      <c r="C159" s="508"/>
      <c r="D159" s="508"/>
      <c r="E159" s="508"/>
      <c r="F159" s="515"/>
      <c r="G159" s="515"/>
      <c r="H159" s="508"/>
      <c r="I159" s="521"/>
      <c r="J159" s="521"/>
      <c r="K159" s="510"/>
      <c r="L159" s="510"/>
      <c r="M159" s="510"/>
      <c r="N159" s="510"/>
      <c r="O159" s="507"/>
      <c r="P159" s="507"/>
      <c r="Q159" s="507"/>
      <c r="R159" s="510"/>
      <c r="S159" s="510"/>
      <c r="T159" s="510"/>
      <c r="U159" s="510"/>
      <c r="V159" s="513"/>
      <c r="W159" s="510"/>
      <c r="X159" s="507"/>
      <c r="Y159" s="507"/>
      <c r="Z159" s="507"/>
    </row>
    <row r="160" ht="26.25" customHeight="1">
      <c r="A160" s="507"/>
      <c r="B160" s="508"/>
      <c r="C160" s="508"/>
      <c r="D160" s="508"/>
      <c r="E160" s="508"/>
      <c r="F160" s="515"/>
      <c r="G160" s="515"/>
      <c r="H160" s="508"/>
      <c r="I160" s="521"/>
      <c r="J160" s="521"/>
      <c r="K160" s="510"/>
      <c r="L160" s="510"/>
      <c r="M160" s="510"/>
      <c r="N160" s="510"/>
      <c r="O160" s="507"/>
      <c r="P160" s="507"/>
      <c r="Q160" s="507"/>
      <c r="R160" s="510"/>
      <c r="S160" s="510"/>
      <c r="T160" s="510"/>
      <c r="U160" s="510"/>
      <c r="V160" s="513"/>
      <c r="W160" s="510"/>
      <c r="X160" s="507"/>
      <c r="Y160" s="507"/>
      <c r="Z160" s="507"/>
    </row>
    <row r="161" ht="26.25" customHeight="1">
      <c r="A161" s="507"/>
      <c r="B161" s="508"/>
      <c r="C161" s="508"/>
      <c r="D161" s="508"/>
      <c r="E161" s="508"/>
      <c r="F161" s="515"/>
      <c r="G161" s="515"/>
      <c r="H161" s="508"/>
      <c r="I161" s="521"/>
      <c r="J161" s="521"/>
      <c r="K161" s="510"/>
      <c r="L161" s="510"/>
      <c r="M161" s="510"/>
      <c r="N161" s="510"/>
      <c r="O161" s="507"/>
      <c r="P161" s="507"/>
      <c r="Q161" s="507"/>
      <c r="R161" s="510"/>
      <c r="S161" s="510"/>
      <c r="T161" s="510"/>
      <c r="U161" s="510"/>
      <c r="V161" s="513"/>
      <c r="W161" s="510"/>
      <c r="X161" s="507"/>
      <c r="Y161" s="507"/>
      <c r="Z161" s="507"/>
    </row>
    <row r="162" ht="26.25" customHeight="1">
      <c r="A162" s="507"/>
      <c r="B162" s="508"/>
      <c r="C162" s="508"/>
      <c r="D162" s="508"/>
      <c r="E162" s="508"/>
      <c r="F162" s="515"/>
      <c r="G162" s="515"/>
      <c r="H162" s="508"/>
      <c r="I162" s="521"/>
      <c r="J162" s="521"/>
      <c r="K162" s="510"/>
      <c r="L162" s="510"/>
      <c r="M162" s="510"/>
      <c r="N162" s="510"/>
      <c r="O162" s="507"/>
      <c r="P162" s="507"/>
      <c r="Q162" s="507"/>
      <c r="R162" s="510"/>
      <c r="S162" s="510"/>
      <c r="T162" s="510"/>
      <c r="U162" s="510"/>
      <c r="V162" s="513"/>
      <c r="W162" s="510"/>
      <c r="X162" s="507"/>
      <c r="Y162" s="507"/>
      <c r="Z162" s="507"/>
    </row>
    <row r="163" ht="26.25" customHeight="1">
      <c r="A163" s="507"/>
      <c r="B163" s="508"/>
      <c r="C163" s="508"/>
      <c r="D163" s="508"/>
      <c r="E163" s="508"/>
      <c r="F163" s="515"/>
      <c r="G163" s="515"/>
      <c r="H163" s="508"/>
      <c r="I163" s="521"/>
      <c r="J163" s="521"/>
      <c r="K163" s="510"/>
      <c r="L163" s="510"/>
      <c r="M163" s="510"/>
      <c r="N163" s="510"/>
      <c r="O163" s="507"/>
      <c r="P163" s="507"/>
      <c r="Q163" s="507"/>
      <c r="R163" s="510"/>
      <c r="S163" s="510"/>
      <c r="T163" s="510"/>
      <c r="U163" s="510"/>
      <c r="V163" s="513"/>
      <c r="W163" s="510"/>
      <c r="X163" s="507"/>
      <c r="Y163" s="507"/>
      <c r="Z163" s="507"/>
    </row>
    <row r="164" ht="26.25" customHeight="1">
      <c r="A164" s="507"/>
      <c r="B164" s="508"/>
      <c r="C164" s="508"/>
      <c r="D164" s="508"/>
      <c r="E164" s="508"/>
      <c r="F164" s="515"/>
      <c r="G164" s="515"/>
      <c r="H164" s="508"/>
      <c r="I164" s="521"/>
      <c r="J164" s="521"/>
      <c r="K164" s="510"/>
      <c r="L164" s="510"/>
      <c r="M164" s="510"/>
      <c r="N164" s="510"/>
      <c r="O164" s="507"/>
      <c r="P164" s="507"/>
      <c r="Q164" s="507"/>
      <c r="R164" s="510"/>
      <c r="S164" s="510"/>
      <c r="T164" s="510"/>
      <c r="U164" s="510"/>
      <c r="V164" s="513"/>
      <c r="W164" s="510"/>
      <c r="X164" s="507"/>
      <c r="Y164" s="507"/>
      <c r="Z164" s="507"/>
    </row>
    <row r="165" ht="26.25" customHeight="1">
      <c r="A165" s="507"/>
      <c r="B165" s="508"/>
      <c r="C165" s="508"/>
      <c r="D165" s="508"/>
      <c r="E165" s="508"/>
      <c r="F165" s="515"/>
      <c r="G165" s="515"/>
      <c r="H165" s="508"/>
      <c r="I165" s="521"/>
      <c r="J165" s="521"/>
      <c r="K165" s="510"/>
      <c r="L165" s="510"/>
      <c r="M165" s="510"/>
      <c r="N165" s="510"/>
      <c r="O165" s="507"/>
      <c r="P165" s="507"/>
      <c r="Q165" s="507"/>
      <c r="R165" s="510"/>
      <c r="S165" s="510"/>
      <c r="T165" s="510"/>
      <c r="U165" s="510"/>
      <c r="V165" s="513"/>
      <c r="W165" s="510"/>
      <c r="X165" s="507"/>
      <c r="Y165" s="507"/>
      <c r="Z165" s="507"/>
    </row>
    <row r="166" ht="26.25" customHeight="1">
      <c r="A166" s="507"/>
      <c r="B166" s="508"/>
      <c r="C166" s="508"/>
      <c r="D166" s="508"/>
      <c r="E166" s="508"/>
      <c r="F166" s="515"/>
      <c r="G166" s="515"/>
      <c r="H166" s="508"/>
      <c r="I166" s="521"/>
      <c r="J166" s="521"/>
      <c r="K166" s="510"/>
      <c r="L166" s="510"/>
      <c r="M166" s="510"/>
      <c r="N166" s="510"/>
      <c r="O166" s="507"/>
      <c r="P166" s="507"/>
      <c r="Q166" s="507"/>
      <c r="R166" s="510"/>
      <c r="S166" s="510"/>
      <c r="T166" s="510"/>
      <c r="U166" s="510"/>
      <c r="V166" s="513"/>
      <c r="W166" s="510"/>
      <c r="X166" s="507"/>
      <c r="Y166" s="507"/>
      <c r="Z166" s="507"/>
    </row>
    <row r="167" ht="26.25" customHeight="1">
      <c r="A167" s="507"/>
      <c r="B167" s="508"/>
      <c r="C167" s="508"/>
      <c r="D167" s="508"/>
      <c r="E167" s="508"/>
      <c r="F167" s="515"/>
      <c r="G167" s="515"/>
      <c r="H167" s="508"/>
      <c r="I167" s="521"/>
      <c r="J167" s="521"/>
      <c r="K167" s="510"/>
      <c r="L167" s="510"/>
      <c r="M167" s="510"/>
      <c r="N167" s="510"/>
      <c r="O167" s="507"/>
      <c r="P167" s="507"/>
      <c r="Q167" s="507"/>
      <c r="R167" s="510"/>
      <c r="S167" s="510"/>
      <c r="T167" s="510"/>
      <c r="U167" s="510"/>
      <c r="V167" s="513"/>
      <c r="W167" s="510"/>
      <c r="X167" s="507"/>
      <c r="Y167" s="507"/>
      <c r="Z167" s="507"/>
    </row>
    <row r="168" ht="26.25" customHeight="1">
      <c r="A168" s="507"/>
      <c r="B168" s="508"/>
      <c r="C168" s="508"/>
      <c r="D168" s="508"/>
      <c r="E168" s="508"/>
      <c r="F168" s="515"/>
      <c r="G168" s="515"/>
      <c r="H168" s="508"/>
      <c r="I168" s="521"/>
      <c r="J168" s="521"/>
      <c r="K168" s="510"/>
      <c r="L168" s="510"/>
      <c r="M168" s="510"/>
      <c r="N168" s="510"/>
      <c r="O168" s="507"/>
      <c r="P168" s="507"/>
      <c r="Q168" s="507"/>
      <c r="R168" s="510"/>
      <c r="S168" s="510"/>
      <c r="T168" s="510"/>
      <c r="U168" s="510"/>
      <c r="V168" s="513"/>
      <c r="W168" s="510"/>
      <c r="X168" s="507"/>
      <c r="Y168" s="507"/>
      <c r="Z168" s="507"/>
    </row>
    <row r="169" ht="26.25" customHeight="1">
      <c r="A169" s="507"/>
      <c r="B169" s="508"/>
      <c r="C169" s="508"/>
      <c r="D169" s="508"/>
      <c r="E169" s="508"/>
      <c r="F169" s="515"/>
      <c r="G169" s="515"/>
      <c r="H169" s="508"/>
      <c r="I169" s="521"/>
      <c r="J169" s="521"/>
      <c r="K169" s="510"/>
      <c r="L169" s="510"/>
      <c r="M169" s="510"/>
      <c r="N169" s="510"/>
      <c r="O169" s="507"/>
      <c r="P169" s="507"/>
      <c r="Q169" s="507"/>
      <c r="R169" s="510"/>
      <c r="S169" s="510"/>
      <c r="T169" s="510"/>
      <c r="U169" s="510"/>
      <c r="V169" s="513"/>
      <c r="W169" s="510"/>
      <c r="X169" s="507"/>
      <c r="Y169" s="507"/>
      <c r="Z169" s="507"/>
    </row>
    <row r="170" ht="26.25" customHeight="1">
      <c r="A170" s="507"/>
      <c r="B170" s="508"/>
      <c r="C170" s="508"/>
      <c r="D170" s="508"/>
      <c r="E170" s="508"/>
      <c r="F170" s="515"/>
      <c r="G170" s="515"/>
      <c r="H170" s="508"/>
      <c r="I170" s="521"/>
      <c r="J170" s="521"/>
      <c r="K170" s="510"/>
      <c r="L170" s="510"/>
      <c r="M170" s="510"/>
      <c r="N170" s="510"/>
      <c r="O170" s="507"/>
      <c r="P170" s="507"/>
      <c r="Q170" s="507"/>
      <c r="R170" s="510"/>
      <c r="S170" s="510"/>
      <c r="T170" s="510"/>
      <c r="U170" s="510"/>
      <c r="V170" s="513"/>
      <c r="W170" s="510"/>
      <c r="X170" s="507"/>
      <c r="Y170" s="507"/>
      <c r="Z170" s="507"/>
    </row>
    <row r="171" ht="26.25" customHeight="1">
      <c r="A171" s="507"/>
      <c r="B171" s="508"/>
      <c r="C171" s="540"/>
      <c r="D171" s="508"/>
      <c r="E171" s="540"/>
      <c r="F171" s="541"/>
      <c r="G171" s="541"/>
      <c r="H171" s="540"/>
      <c r="I171" s="521"/>
      <c r="J171" s="521"/>
      <c r="K171" s="510"/>
      <c r="L171" s="510"/>
      <c r="M171" s="510"/>
      <c r="N171" s="510"/>
      <c r="O171" s="507"/>
      <c r="P171" s="507"/>
      <c r="Q171" s="507"/>
      <c r="R171" s="510"/>
      <c r="S171" s="510"/>
      <c r="T171" s="510"/>
      <c r="U171" s="510"/>
      <c r="V171" s="513"/>
      <c r="W171" s="510"/>
      <c r="X171" s="507"/>
      <c r="Y171" s="507"/>
      <c r="Z171" s="507"/>
    </row>
    <row r="172" ht="26.25" customHeight="1">
      <c r="A172" s="507"/>
      <c r="B172" s="540"/>
      <c r="C172" s="540"/>
      <c r="D172" s="540"/>
      <c r="E172" s="540"/>
      <c r="F172" s="541"/>
      <c r="G172" s="541"/>
      <c r="H172" s="540"/>
      <c r="I172" s="521"/>
      <c r="J172" s="521"/>
      <c r="K172" s="510"/>
      <c r="L172" s="510"/>
      <c r="M172" s="510"/>
      <c r="N172" s="510"/>
      <c r="O172" s="507"/>
      <c r="P172" s="507"/>
      <c r="Q172" s="507"/>
      <c r="R172" s="510"/>
      <c r="S172" s="510"/>
      <c r="T172" s="510"/>
      <c r="U172" s="510"/>
      <c r="V172" s="513"/>
      <c r="W172" s="510"/>
      <c r="X172" s="507"/>
      <c r="Y172" s="507"/>
      <c r="Z172" s="507"/>
    </row>
    <row r="173" ht="26.25" customHeight="1">
      <c r="A173" s="507"/>
      <c r="B173" s="540"/>
      <c r="C173" s="540"/>
      <c r="D173" s="540"/>
      <c r="E173" s="540"/>
      <c r="F173" s="541"/>
      <c r="G173" s="541"/>
      <c r="H173" s="540"/>
      <c r="I173" s="521"/>
      <c r="J173" s="521"/>
      <c r="K173" s="510"/>
      <c r="L173" s="510"/>
      <c r="M173" s="510"/>
      <c r="N173" s="510"/>
      <c r="O173" s="507"/>
      <c r="P173" s="507"/>
      <c r="Q173" s="507"/>
      <c r="R173" s="510"/>
      <c r="S173" s="510"/>
      <c r="T173" s="510"/>
      <c r="U173" s="510"/>
      <c r="V173" s="513"/>
      <c r="W173" s="510"/>
      <c r="X173" s="507"/>
      <c r="Y173" s="507"/>
      <c r="Z173" s="507"/>
    </row>
    <row r="174" ht="26.25" customHeight="1">
      <c r="A174" s="507"/>
      <c r="B174" s="540"/>
      <c r="C174" s="540"/>
      <c r="D174" s="540"/>
      <c r="E174" s="540"/>
      <c r="F174" s="541"/>
      <c r="G174" s="541"/>
      <c r="H174" s="540"/>
      <c r="I174" s="521"/>
      <c r="J174" s="521"/>
      <c r="K174" s="510"/>
      <c r="L174" s="510"/>
      <c r="M174" s="510"/>
      <c r="N174" s="510"/>
      <c r="O174" s="507"/>
      <c r="P174" s="507"/>
      <c r="Q174" s="507"/>
      <c r="R174" s="510"/>
      <c r="S174" s="510"/>
      <c r="T174" s="510"/>
      <c r="U174" s="510"/>
      <c r="V174" s="513"/>
      <c r="W174" s="510"/>
      <c r="X174" s="507"/>
      <c r="Y174" s="507"/>
      <c r="Z174" s="507"/>
    </row>
    <row r="175" ht="26.25" customHeight="1">
      <c r="A175" s="507"/>
      <c r="B175" s="540"/>
      <c r="C175" s="540"/>
      <c r="D175" s="540"/>
      <c r="E175" s="540"/>
      <c r="F175" s="541"/>
      <c r="G175" s="541"/>
      <c r="H175" s="540"/>
      <c r="I175" s="521"/>
      <c r="J175" s="521"/>
      <c r="K175" s="510"/>
      <c r="L175" s="510"/>
      <c r="M175" s="510"/>
      <c r="N175" s="510"/>
      <c r="O175" s="507"/>
      <c r="P175" s="507"/>
      <c r="Q175" s="507"/>
      <c r="R175" s="510"/>
      <c r="S175" s="510"/>
      <c r="T175" s="510"/>
      <c r="U175" s="510"/>
      <c r="V175" s="513"/>
      <c r="W175" s="510"/>
      <c r="X175" s="507"/>
      <c r="Y175" s="507"/>
      <c r="Z175" s="507"/>
    </row>
    <row r="176" ht="26.25" customHeight="1">
      <c r="A176" s="507"/>
      <c r="B176" s="540"/>
      <c r="C176" s="540"/>
      <c r="D176" s="540"/>
      <c r="E176" s="540"/>
      <c r="F176" s="541"/>
      <c r="G176" s="541"/>
      <c r="H176" s="540"/>
      <c r="I176" s="521"/>
      <c r="J176" s="521"/>
      <c r="K176" s="510"/>
      <c r="L176" s="510"/>
      <c r="M176" s="510"/>
      <c r="N176" s="510"/>
      <c r="O176" s="507"/>
      <c r="P176" s="507"/>
      <c r="Q176" s="507"/>
      <c r="R176" s="510"/>
      <c r="S176" s="510"/>
      <c r="T176" s="510"/>
      <c r="U176" s="510"/>
      <c r="V176" s="513"/>
      <c r="W176" s="510"/>
      <c r="X176" s="507"/>
      <c r="Y176" s="507"/>
      <c r="Z176" s="507"/>
    </row>
    <row r="177" ht="26.25" customHeight="1">
      <c r="A177" s="507"/>
      <c r="B177" s="540"/>
      <c r="C177" s="540"/>
      <c r="D177" s="540"/>
      <c r="E177" s="540"/>
      <c r="F177" s="541"/>
      <c r="G177" s="541"/>
      <c r="H177" s="540"/>
      <c r="I177" s="521"/>
      <c r="J177" s="521"/>
      <c r="K177" s="510"/>
      <c r="L177" s="510"/>
      <c r="M177" s="510"/>
      <c r="N177" s="510"/>
      <c r="O177" s="507"/>
      <c r="P177" s="507"/>
      <c r="Q177" s="507"/>
      <c r="R177" s="510"/>
      <c r="S177" s="510"/>
      <c r="T177" s="510"/>
      <c r="U177" s="510"/>
      <c r="V177" s="513"/>
      <c r="W177" s="510"/>
      <c r="X177" s="507"/>
      <c r="Y177" s="507"/>
      <c r="Z177" s="507"/>
    </row>
    <row r="178" ht="26.25" customHeight="1">
      <c r="A178" s="507"/>
      <c r="B178" s="540"/>
      <c r="C178" s="540"/>
      <c r="D178" s="540"/>
      <c r="E178" s="540"/>
      <c r="F178" s="541"/>
      <c r="G178" s="541"/>
      <c r="H178" s="540"/>
      <c r="I178" s="521"/>
      <c r="J178" s="521"/>
      <c r="K178" s="510"/>
      <c r="L178" s="510"/>
      <c r="M178" s="510"/>
      <c r="N178" s="510"/>
      <c r="O178" s="507"/>
      <c r="P178" s="507"/>
      <c r="Q178" s="507"/>
      <c r="R178" s="510"/>
      <c r="S178" s="510"/>
      <c r="T178" s="510"/>
      <c r="U178" s="510"/>
      <c r="V178" s="513"/>
      <c r="W178" s="510"/>
      <c r="X178" s="507"/>
      <c r="Y178" s="507"/>
      <c r="Z178" s="507"/>
    </row>
    <row r="179" ht="26.25" customHeight="1">
      <c r="A179" s="507"/>
      <c r="B179" s="540"/>
      <c r="C179" s="540"/>
      <c r="D179" s="540"/>
      <c r="E179" s="540"/>
      <c r="F179" s="541"/>
      <c r="G179" s="541"/>
      <c r="H179" s="540"/>
      <c r="I179" s="521"/>
      <c r="J179" s="521"/>
      <c r="K179" s="510"/>
      <c r="L179" s="510"/>
      <c r="M179" s="510"/>
      <c r="N179" s="510"/>
      <c r="O179" s="507"/>
      <c r="P179" s="507"/>
      <c r="Q179" s="507"/>
      <c r="R179" s="510"/>
      <c r="S179" s="510"/>
      <c r="T179" s="510"/>
      <c r="U179" s="510"/>
      <c r="V179" s="513"/>
      <c r="W179" s="510"/>
      <c r="X179" s="507"/>
      <c r="Y179" s="507"/>
      <c r="Z179" s="507"/>
    </row>
    <row r="180" ht="26.25" customHeight="1">
      <c r="A180" s="507"/>
      <c r="B180" s="540"/>
      <c r="C180" s="540"/>
      <c r="D180" s="540"/>
      <c r="E180" s="540"/>
      <c r="F180" s="541"/>
      <c r="G180" s="541"/>
      <c r="H180" s="540"/>
      <c r="I180" s="521"/>
      <c r="J180" s="521"/>
      <c r="K180" s="510"/>
      <c r="L180" s="510"/>
      <c r="M180" s="510"/>
      <c r="N180" s="510"/>
      <c r="O180" s="507"/>
      <c r="P180" s="507"/>
      <c r="Q180" s="507"/>
      <c r="R180" s="510"/>
      <c r="S180" s="510"/>
      <c r="T180" s="510"/>
      <c r="U180" s="510"/>
      <c r="V180" s="513"/>
      <c r="W180" s="510"/>
      <c r="X180" s="507"/>
      <c r="Y180" s="507"/>
      <c r="Z180" s="507"/>
    </row>
    <row r="181" ht="26.25" customHeight="1">
      <c r="A181" s="507"/>
      <c r="B181" s="540"/>
      <c r="C181" s="540"/>
      <c r="D181" s="540"/>
      <c r="E181" s="540"/>
      <c r="F181" s="541"/>
      <c r="G181" s="541"/>
      <c r="H181" s="540"/>
      <c r="I181" s="521"/>
      <c r="J181" s="521"/>
      <c r="K181" s="510"/>
      <c r="L181" s="510"/>
      <c r="M181" s="510"/>
      <c r="N181" s="510"/>
      <c r="O181" s="507"/>
      <c r="P181" s="507"/>
      <c r="Q181" s="507"/>
      <c r="R181" s="510"/>
      <c r="S181" s="510"/>
      <c r="T181" s="510"/>
      <c r="U181" s="510"/>
      <c r="V181" s="513"/>
      <c r="W181" s="510"/>
      <c r="X181" s="507"/>
      <c r="Y181" s="507"/>
      <c r="Z181" s="507"/>
    </row>
    <row r="182" ht="26.25" customHeight="1">
      <c r="A182" s="507"/>
      <c r="B182" s="540"/>
      <c r="C182" s="540"/>
      <c r="D182" s="540"/>
      <c r="E182" s="540"/>
      <c r="F182" s="541"/>
      <c r="G182" s="541"/>
      <c r="H182" s="540"/>
      <c r="I182" s="521"/>
      <c r="J182" s="521"/>
      <c r="K182" s="510"/>
      <c r="L182" s="510"/>
      <c r="M182" s="510"/>
      <c r="N182" s="510"/>
      <c r="O182" s="507"/>
      <c r="P182" s="507"/>
      <c r="Q182" s="507"/>
      <c r="R182" s="510"/>
      <c r="S182" s="510"/>
      <c r="T182" s="510"/>
      <c r="U182" s="510"/>
      <c r="V182" s="513"/>
      <c r="W182" s="510"/>
      <c r="X182" s="507"/>
      <c r="Y182" s="507"/>
      <c r="Z182" s="507"/>
    </row>
    <row r="183" ht="26.25" customHeight="1">
      <c r="A183" s="507"/>
      <c r="B183" s="540"/>
      <c r="C183" s="540"/>
      <c r="D183" s="540"/>
      <c r="E183" s="540"/>
      <c r="F183" s="541"/>
      <c r="G183" s="541"/>
      <c r="H183" s="540"/>
      <c r="I183" s="521"/>
      <c r="J183" s="521"/>
      <c r="K183" s="510"/>
      <c r="L183" s="510"/>
      <c r="M183" s="510"/>
      <c r="N183" s="510"/>
      <c r="O183" s="507"/>
      <c r="P183" s="507"/>
      <c r="Q183" s="507"/>
      <c r="R183" s="510"/>
      <c r="S183" s="510"/>
      <c r="T183" s="510"/>
      <c r="U183" s="510"/>
      <c r="V183" s="513"/>
      <c r="W183" s="510"/>
      <c r="X183" s="507"/>
      <c r="Y183" s="507"/>
      <c r="Z183" s="507"/>
    </row>
    <row r="184" ht="26.25" customHeight="1">
      <c r="A184" s="507"/>
      <c r="B184" s="540"/>
      <c r="C184" s="540"/>
      <c r="D184" s="540"/>
      <c r="E184" s="540"/>
      <c r="F184" s="541"/>
      <c r="G184" s="541"/>
      <c r="H184" s="540"/>
      <c r="I184" s="521"/>
      <c r="J184" s="521"/>
      <c r="K184" s="510"/>
      <c r="L184" s="510"/>
      <c r="M184" s="510"/>
      <c r="N184" s="510"/>
      <c r="O184" s="507"/>
      <c r="P184" s="507"/>
      <c r="Q184" s="507"/>
      <c r="R184" s="510"/>
      <c r="S184" s="510"/>
      <c r="T184" s="510"/>
      <c r="U184" s="510"/>
      <c r="V184" s="513"/>
      <c r="W184" s="510"/>
      <c r="X184" s="507"/>
      <c r="Y184" s="507"/>
      <c r="Z184" s="507"/>
    </row>
    <row r="185" ht="26.25" customHeight="1">
      <c r="A185" s="507"/>
      <c r="B185" s="540"/>
      <c r="C185" s="540"/>
      <c r="D185" s="540"/>
      <c r="E185" s="540"/>
      <c r="F185" s="541"/>
      <c r="G185" s="541"/>
      <c r="H185" s="540"/>
      <c r="I185" s="521"/>
      <c r="J185" s="521"/>
      <c r="K185" s="510"/>
      <c r="L185" s="510"/>
      <c r="M185" s="510"/>
      <c r="N185" s="510"/>
      <c r="O185" s="507"/>
      <c r="P185" s="507"/>
      <c r="Q185" s="507"/>
      <c r="R185" s="510"/>
      <c r="S185" s="510"/>
      <c r="T185" s="510"/>
      <c r="U185" s="510"/>
      <c r="V185" s="513"/>
      <c r="W185" s="510"/>
      <c r="X185" s="507"/>
      <c r="Y185" s="507"/>
      <c r="Z185" s="507"/>
    </row>
    <row r="186" ht="26.25" customHeight="1">
      <c r="A186" s="507"/>
      <c r="B186" s="540"/>
      <c r="C186" s="540"/>
      <c r="D186" s="540"/>
      <c r="E186" s="540"/>
      <c r="F186" s="541"/>
      <c r="G186" s="541"/>
      <c r="H186" s="540"/>
      <c r="I186" s="521"/>
      <c r="J186" s="521"/>
      <c r="K186" s="510"/>
      <c r="L186" s="510"/>
      <c r="M186" s="510"/>
      <c r="N186" s="510"/>
      <c r="O186" s="507"/>
      <c r="P186" s="507"/>
      <c r="Q186" s="507"/>
      <c r="R186" s="510"/>
      <c r="S186" s="510"/>
      <c r="T186" s="510"/>
      <c r="U186" s="510"/>
      <c r="V186" s="513"/>
      <c r="W186" s="510"/>
      <c r="X186" s="507"/>
      <c r="Y186" s="507"/>
      <c r="Z186" s="507"/>
    </row>
    <row r="187" ht="26.25" customHeight="1">
      <c r="A187" s="507"/>
      <c r="B187" s="540"/>
      <c r="C187" s="540"/>
      <c r="D187" s="540"/>
      <c r="E187" s="540"/>
      <c r="F187" s="541"/>
      <c r="G187" s="541"/>
      <c r="H187" s="540"/>
      <c r="I187" s="521"/>
      <c r="J187" s="521"/>
      <c r="K187" s="510"/>
      <c r="L187" s="510"/>
      <c r="M187" s="510"/>
      <c r="N187" s="510"/>
      <c r="O187" s="507"/>
      <c r="P187" s="507"/>
      <c r="Q187" s="507"/>
      <c r="R187" s="510"/>
      <c r="S187" s="510"/>
      <c r="T187" s="510"/>
      <c r="U187" s="510"/>
      <c r="V187" s="513"/>
      <c r="W187" s="510"/>
      <c r="X187" s="507"/>
      <c r="Y187" s="507"/>
      <c r="Z187" s="507"/>
    </row>
    <row r="188" ht="26.25" customHeight="1">
      <c r="A188" s="507"/>
      <c r="B188" s="540"/>
      <c r="C188" s="540"/>
      <c r="D188" s="540"/>
      <c r="E188" s="540"/>
      <c r="F188" s="541"/>
      <c r="G188" s="541"/>
      <c r="H188" s="540"/>
      <c r="I188" s="521"/>
      <c r="J188" s="521"/>
      <c r="K188" s="510"/>
      <c r="L188" s="510"/>
      <c r="M188" s="510"/>
      <c r="N188" s="510"/>
      <c r="O188" s="507"/>
      <c r="P188" s="507"/>
      <c r="Q188" s="507"/>
      <c r="R188" s="510"/>
      <c r="S188" s="510"/>
      <c r="T188" s="510"/>
      <c r="U188" s="510"/>
      <c r="V188" s="513"/>
      <c r="W188" s="510"/>
      <c r="X188" s="507"/>
      <c r="Y188" s="507"/>
      <c r="Z188" s="507"/>
    </row>
    <row r="189" ht="26.25" customHeight="1">
      <c r="A189" s="507"/>
      <c r="B189" s="540"/>
      <c r="C189" s="540"/>
      <c r="D189" s="540"/>
      <c r="E189" s="540"/>
      <c r="F189" s="541"/>
      <c r="G189" s="541"/>
      <c r="H189" s="540"/>
      <c r="I189" s="521"/>
      <c r="J189" s="521"/>
      <c r="K189" s="510"/>
      <c r="L189" s="510"/>
      <c r="M189" s="510"/>
      <c r="N189" s="510"/>
      <c r="O189" s="507"/>
      <c r="P189" s="507"/>
      <c r="Q189" s="507"/>
      <c r="R189" s="510"/>
      <c r="S189" s="510"/>
      <c r="T189" s="510"/>
      <c r="U189" s="510"/>
      <c r="V189" s="513"/>
      <c r="W189" s="510"/>
      <c r="X189" s="507"/>
      <c r="Y189" s="507"/>
      <c r="Z189" s="507"/>
    </row>
    <row r="190" ht="26.25" customHeight="1">
      <c r="A190" s="507"/>
      <c r="B190" s="542"/>
      <c r="C190" s="542"/>
      <c r="D190" s="542"/>
      <c r="E190" s="542"/>
      <c r="F190" s="543"/>
      <c r="G190" s="543"/>
      <c r="H190" s="542"/>
      <c r="I190" s="544"/>
      <c r="J190" s="544"/>
      <c r="K190" s="510"/>
      <c r="L190" s="510"/>
      <c r="M190" s="510"/>
      <c r="N190" s="510"/>
      <c r="O190" s="507"/>
      <c r="P190" s="507"/>
      <c r="Q190" s="507"/>
      <c r="R190" s="510"/>
      <c r="S190" s="510"/>
      <c r="T190" s="510"/>
      <c r="U190" s="510"/>
      <c r="V190" s="513"/>
      <c r="W190" s="510"/>
      <c r="X190" s="507"/>
      <c r="Y190" s="507"/>
      <c r="Z190" s="507"/>
    </row>
    <row r="191" ht="26.25" customHeight="1">
      <c r="A191" s="507"/>
      <c r="B191" s="542"/>
      <c r="C191" s="542"/>
      <c r="D191" s="542"/>
      <c r="E191" s="542"/>
      <c r="F191" s="543"/>
      <c r="G191" s="543"/>
      <c r="H191" s="542"/>
      <c r="I191" s="544"/>
      <c r="J191" s="544"/>
      <c r="K191" s="510"/>
      <c r="L191" s="510"/>
      <c r="M191" s="510"/>
      <c r="N191" s="510"/>
      <c r="O191" s="507"/>
      <c r="P191" s="507"/>
      <c r="Q191" s="507"/>
      <c r="R191" s="510"/>
      <c r="S191" s="510"/>
      <c r="T191" s="510"/>
      <c r="U191" s="510"/>
      <c r="V191" s="510"/>
      <c r="W191" s="510"/>
      <c r="X191" s="507"/>
      <c r="Y191" s="507"/>
      <c r="Z191" s="507"/>
    </row>
    <row r="192" ht="26.25" customHeight="1">
      <c r="A192" s="507"/>
      <c r="B192" s="542"/>
      <c r="C192" s="542"/>
      <c r="D192" s="542"/>
      <c r="E192" s="542"/>
      <c r="F192" s="543"/>
      <c r="G192" s="543"/>
      <c r="H192" s="542"/>
      <c r="I192" s="544"/>
      <c r="J192" s="544"/>
      <c r="K192" s="510"/>
      <c r="L192" s="510"/>
      <c r="M192" s="510"/>
      <c r="N192" s="510"/>
      <c r="O192" s="507"/>
      <c r="P192" s="507"/>
      <c r="Q192" s="507"/>
      <c r="R192" s="510"/>
      <c r="S192" s="510"/>
      <c r="T192" s="510"/>
      <c r="U192" s="510"/>
      <c r="V192" s="510"/>
      <c r="W192" s="510"/>
      <c r="X192" s="507"/>
      <c r="Y192" s="507"/>
      <c r="Z192" s="507"/>
    </row>
    <row r="193" ht="26.25" customHeight="1">
      <c r="A193" s="507"/>
      <c r="B193" s="542"/>
      <c r="C193" s="542"/>
      <c r="D193" s="542"/>
      <c r="E193" s="542"/>
      <c r="F193" s="543"/>
      <c r="G193" s="543"/>
      <c r="H193" s="542"/>
      <c r="I193" s="544"/>
      <c r="J193" s="544"/>
      <c r="K193" s="510"/>
      <c r="L193" s="510"/>
      <c r="M193" s="510"/>
      <c r="N193" s="510"/>
      <c r="O193" s="507"/>
      <c r="P193" s="507"/>
      <c r="Q193" s="507"/>
      <c r="R193" s="510"/>
      <c r="S193" s="510"/>
      <c r="T193" s="510"/>
      <c r="U193" s="510"/>
      <c r="V193" s="510"/>
      <c r="W193" s="510"/>
      <c r="X193" s="507"/>
      <c r="Y193" s="507"/>
      <c r="Z193" s="507"/>
    </row>
    <row r="194" ht="26.25" customHeight="1">
      <c r="A194" s="507"/>
      <c r="B194" s="542"/>
      <c r="C194" s="542"/>
      <c r="D194" s="542"/>
      <c r="E194" s="542"/>
      <c r="F194" s="543"/>
      <c r="G194" s="543"/>
      <c r="H194" s="542"/>
      <c r="I194" s="544"/>
      <c r="J194" s="544"/>
      <c r="K194" s="510"/>
      <c r="L194" s="510"/>
      <c r="M194" s="510"/>
      <c r="N194" s="510"/>
      <c r="O194" s="507"/>
      <c r="P194" s="507"/>
      <c r="Q194" s="507"/>
      <c r="R194" s="510"/>
      <c r="S194" s="510"/>
      <c r="T194" s="510"/>
      <c r="U194" s="510"/>
      <c r="V194" s="510"/>
      <c r="W194" s="510"/>
      <c r="X194" s="507"/>
      <c r="Y194" s="507"/>
      <c r="Z194" s="507"/>
    </row>
    <row r="195" ht="26.25" customHeight="1">
      <c r="A195" s="507"/>
      <c r="B195" s="545"/>
      <c r="C195" s="545"/>
      <c r="D195" s="545"/>
      <c r="E195" s="545"/>
      <c r="F195" s="546"/>
      <c r="G195" s="546"/>
      <c r="H195" s="545"/>
      <c r="I195" s="547"/>
      <c r="J195" s="547"/>
      <c r="K195" s="510"/>
      <c r="L195" s="510"/>
      <c r="M195" s="510"/>
      <c r="N195" s="510"/>
      <c r="O195" s="507"/>
      <c r="P195" s="507"/>
      <c r="Q195" s="507"/>
      <c r="R195" s="510"/>
      <c r="S195" s="510"/>
      <c r="T195" s="510"/>
      <c r="U195" s="510"/>
      <c r="V195" s="510"/>
      <c r="W195" s="510"/>
      <c r="X195" s="507"/>
      <c r="Y195" s="507"/>
      <c r="Z195" s="507"/>
    </row>
    <row r="196" ht="26.25" customHeight="1">
      <c r="A196" s="507"/>
      <c r="B196" s="545"/>
      <c r="C196" s="545"/>
      <c r="D196" s="545"/>
      <c r="E196" s="545"/>
      <c r="F196" s="546"/>
      <c r="G196" s="546"/>
      <c r="H196" s="545"/>
      <c r="I196" s="547"/>
      <c r="J196" s="547"/>
      <c r="K196" s="510"/>
      <c r="L196" s="510"/>
      <c r="M196" s="510"/>
      <c r="N196" s="510"/>
      <c r="O196" s="507"/>
      <c r="P196" s="507"/>
      <c r="Q196" s="507"/>
      <c r="R196" s="510"/>
      <c r="S196" s="510"/>
      <c r="T196" s="510"/>
      <c r="U196" s="510"/>
      <c r="V196" s="510"/>
      <c r="W196" s="510"/>
      <c r="X196" s="507"/>
      <c r="Y196" s="507"/>
      <c r="Z196" s="507"/>
    </row>
    <row r="197" ht="26.25" customHeight="1">
      <c r="A197" s="507"/>
      <c r="B197" s="545"/>
      <c r="C197" s="545"/>
      <c r="D197" s="545"/>
      <c r="E197" s="545"/>
      <c r="F197" s="546"/>
      <c r="G197" s="546"/>
      <c r="H197" s="545"/>
      <c r="I197" s="547"/>
      <c r="J197" s="547"/>
      <c r="K197" s="510"/>
      <c r="L197" s="510"/>
      <c r="M197" s="510"/>
      <c r="N197" s="510"/>
      <c r="O197" s="507"/>
      <c r="P197" s="507"/>
      <c r="Q197" s="507"/>
      <c r="R197" s="510"/>
      <c r="S197" s="510"/>
      <c r="T197" s="510"/>
      <c r="U197" s="510"/>
      <c r="V197" s="510"/>
      <c r="W197" s="510"/>
      <c r="X197" s="507"/>
      <c r="Y197" s="507"/>
      <c r="Z197" s="507"/>
    </row>
    <row r="198" ht="26.25" customHeight="1">
      <c r="A198" s="507"/>
      <c r="B198" s="545"/>
      <c r="C198" s="545"/>
      <c r="D198" s="545"/>
      <c r="E198" s="545"/>
      <c r="F198" s="546"/>
      <c r="G198" s="546"/>
      <c r="H198" s="545"/>
      <c r="I198" s="547"/>
      <c r="J198" s="547"/>
      <c r="K198" s="510"/>
      <c r="L198" s="510"/>
      <c r="M198" s="510"/>
      <c r="N198" s="510"/>
      <c r="O198" s="507"/>
      <c r="P198" s="507"/>
      <c r="Q198" s="507"/>
      <c r="R198" s="510"/>
      <c r="S198" s="510"/>
      <c r="T198" s="510"/>
      <c r="U198" s="510"/>
      <c r="V198" s="510"/>
      <c r="W198" s="510"/>
      <c r="X198" s="507"/>
      <c r="Y198" s="507"/>
      <c r="Z198" s="507"/>
    </row>
    <row r="199" ht="26.25" customHeight="1">
      <c r="A199" s="507"/>
      <c r="B199" s="545"/>
      <c r="C199" s="545"/>
      <c r="D199" s="545"/>
      <c r="E199" s="545"/>
      <c r="F199" s="546"/>
      <c r="G199" s="546"/>
      <c r="H199" s="545"/>
      <c r="I199" s="547"/>
      <c r="J199" s="547"/>
      <c r="K199" s="510"/>
      <c r="L199" s="510"/>
      <c r="M199" s="510"/>
      <c r="N199" s="510"/>
      <c r="O199" s="507"/>
      <c r="P199" s="507"/>
      <c r="Q199" s="507"/>
      <c r="R199" s="510"/>
      <c r="S199" s="510"/>
      <c r="T199" s="510"/>
      <c r="U199" s="510"/>
      <c r="V199" s="510"/>
      <c r="W199" s="510"/>
      <c r="X199" s="507"/>
      <c r="Y199" s="507"/>
      <c r="Z199" s="507"/>
    </row>
    <row r="200" ht="26.25" customHeight="1">
      <c r="A200" s="507"/>
      <c r="B200" s="545"/>
      <c r="C200" s="545"/>
      <c r="D200" s="545"/>
      <c r="E200" s="545"/>
      <c r="F200" s="546"/>
      <c r="G200" s="546"/>
      <c r="H200" s="545"/>
      <c r="I200" s="547"/>
      <c r="J200" s="547"/>
      <c r="K200" s="510"/>
      <c r="L200" s="510"/>
      <c r="M200" s="510"/>
      <c r="N200" s="510"/>
      <c r="O200" s="507"/>
      <c r="P200" s="507"/>
      <c r="Q200" s="507"/>
      <c r="R200" s="510"/>
      <c r="S200" s="510"/>
      <c r="T200" s="510"/>
      <c r="U200" s="510"/>
      <c r="V200" s="510"/>
      <c r="W200" s="510"/>
      <c r="X200" s="507"/>
      <c r="Y200" s="507"/>
      <c r="Z200" s="507"/>
    </row>
    <row r="201" ht="26.25" customHeight="1">
      <c r="A201" s="507"/>
      <c r="B201" s="545"/>
      <c r="C201" s="545"/>
      <c r="D201" s="545"/>
      <c r="E201" s="545"/>
      <c r="F201" s="546"/>
      <c r="G201" s="546"/>
      <c r="H201" s="545"/>
      <c r="I201" s="547"/>
      <c r="J201" s="547"/>
      <c r="K201" s="510"/>
      <c r="L201" s="510"/>
      <c r="M201" s="510"/>
      <c r="N201" s="510"/>
      <c r="O201" s="507"/>
      <c r="P201" s="507"/>
      <c r="Q201" s="507"/>
      <c r="R201" s="510"/>
      <c r="S201" s="510"/>
      <c r="T201" s="510"/>
      <c r="U201" s="510"/>
      <c r="V201" s="510"/>
      <c r="W201" s="510"/>
      <c r="X201" s="507"/>
      <c r="Y201" s="507"/>
      <c r="Z201" s="507"/>
    </row>
    <row r="202" ht="26.25" customHeight="1">
      <c r="A202" s="507"/>
      <c r="B202" s="545"/>
      <c r="C202" s="545"/>
      <c r="D202" s="545"/>
      <c r="E202" s="545"/>
      <c r="F202" s="546"/>
      <c r="G202" s="546"/>
      <c r="H202" s="545"/>
      <c r="I202" s="547"/>
      <c r="J202" s="547"/>
      <c r="K202" s="510"/>
      <c r="L202" s="510"/>
      <c r="M202" s="510"/>
      <c r="N202" s="510"/>
      <c r="O202" s="507"/>
      <c r="P202" s="507"/>
      <c r="Q202" s="507"/>
      <c r="R202" s="510"/>
      <c r="S202" s="510"/>
      <c r="T202" s="510"/>
      <c r="U202" s="510"/>
      <c r="V202" s="510"/>
      <c r="W202" s="510"/>
      <c r="X202" s="507"/>
      <c r="Y202" s="507"/>
      <c r="Z202" s="507"/>
    </row>
    <row r="203" ht="26.25" customHeight="1">
      <c r="A203" s="507"/>
      <c r="B203" s="545"/>
      <c r="C203" s="545"/>
      <c r="D203" s="545"/>
      <c r="E203" s="545"/>
      <c r="F203" s="546"/>
      <c r="G203" s="546"/>
      <c r="H203" s="545"/>
      <c r="I203" s="547"/>
      <c r="J203" s="547"/>
      <c r="K203" s="510"/>
      <c r="L203" s="510"/>
      <c r="M203" s="510"/>
      <c r="N203" s="510"/>
      <c r="O203" s="507"/>
      <c r="P203" s="507"/>
      <c r="Q203" s="507"/>
      <c r="R203" s="510"/>
      <c r="S203" s="510"/>
      <c r="T203" s="510"/>
      <c r="U203" s="510"/>
      <c r="V203" s="510"/>
      <c r="W203" s="510"/>
      <c r="X203" s="507"/>
      <c r="Y203" s="507"/>
      <c r="Z203" s="507"/>
    </row>
    <row r="204" ht="26.25" customHeight="1">
      <c r="A204" s="507"/>
      <c r="B204" s="545"/>
      <c r="C204" s="545"/>
      <c r="D204" s="545"/>
      <c r="E204" s="545"/>
      <c r="F204" s="546"/>
      <c r="G204" s="546"/>
      <c r="H204" s="545"/>
      <c r="I204" s="547"/>
      <c r="J204" s="547"/>
      <c r="K204" s="510"/>
      <c r="L204" s="510"/>
      <c r="M204" s="510"/>
      <c r="N204" s="510"/>
      <c r="O204" s="507"/>
      <c r="P204" s="507"/>
      <c r="Q204" s="507"/>
      <c r="R204" s="510"/>
      <c r="S204" s="510"/>
      <c r="T204" s="510"/>
      <c r="U204" s="510"/>
      <c r="V204" s="510"/>
      <c r="W204" s="510"/>
      <c r="X204" s="507"/>
      <c r="Y204" s="507"/>
      <c r="Z204" s="507"/>
    </row>
    <row r="205" ht="26.25" customHeight="1">
      <c r="A205" s="507"/>
      <c r="B205" s="545"/>
      <c r="C205" s="545"/>
      <c r="D205" s="545"/>
      <c r="E205" s="545"/>
      <c r="F205" s="546"/>
      <c r="G205" s="546"/>
      <c r="H205" s="545"/>
      <c r="I205" s="547"/>
      <c r="J205" s="547"/>
      <c r="K205" s="510"/>
      <c r="L205" s="510"/>
      <c r="M205" s="510"/>
      <c r="N205" s="510"/>
      <c r="O205" s="507"/>
      <c r="P205" s="507"/>
      <c r="Q205" s="507"/>
      <c r="R205" s="510"/>
      <c r="S205" s="510"/>
      <c r="T205" s="510"/>
      <c r="U205" s="510"/>
      <c r="V205" s="510"/>
      <c r="W205" s="510"/>
      <c r="X205" s="507"/>
      <c r="Y205" s="507"/>
      <c r="Z205" s="507"/>
    </row>
    <row r="206" ht="26.25" customHeight="1">
      <c r="A206" s="507"/>
      <c r="B206" s="545"/>
      <c r="C206" s="545"/>
      <c r="D206" s="545"/>
      <c r="E206" s="545"/>
      <c r="F206" s="546"/>
      <c r="G206" s="546"/>
      <c r="H206" s="545"/>
      <c r="I206" s="547"/>
      <c r="J206" s="547"/>
      <c r="K206" s="510"/>
      <c r="L206" s="510"/>
      <c r="M206" s="510"/>
      <c r="N206" s="510"/>
      <c r="O206" s="507"/>
      <c r="P206" s="507"/>
      <c r="Q206" s="507"/>
      <c r="R206" s="510"/>
      <c r="S206" s="510"/>
      <c r="T206" s="510"/>
      <c r="U206" s="510"/>
      <c r="V206" s="510"/>
      <c r="W206" s="510"/>
      <c r="X206" s="507"/>
      <c r="Y206" s="507"/>
      <c r="Z206" s="507"/>
    </row>
    <row r="207" ht="26.25" customHeight="1">
      <c r="A207" s="507"/>
      <c r="B207" s="545"/>
      <c r="C207" s="545"/>
      <c r="D207" s="545"/>
      <c r="E207" s="545"/>
      <c r="F207" s="546"/>
      <c r="G207" s="546"/>
      <c r="H207" s="545"/>
      <c r="I207" s="547"/>
      <c r="J207" s="547"/>
      <c r="K207" s="510"/>
      <c r="L207" s="510"/>
      <c r="M207" s="510"/>
      <c r="N207" s="510"/>
      <c r="O207" s="507"/>
      <c r="P207" s="507"/>
      <c r="Q207" s="507"/>
      <c r="R207" s="510"/>
      <c r="S207" s="510"/>
      <c r="T207" s="510"/>
      <c r="U207" s="510"/>
      <c r="V207" s="510"/>
      <c r="W207" s="510"/>
      <c r="X207" s="507"/>
      <c r="Y207" s="507"/>
      <c r="Z207" s="507"/>
    </row>
    <row r="208" ht="26.25" customHeight="1">
      <c r="A208" s="507"/>
      <c r="B208" s="545"/>
      <c r="C208" s="545"/>
      <c r="D208" s="545"/>
      <c r="E208" s="545"/>
      <c r="F208" s="546"/>
      <c r="G208" s="546"/>
      <c r="H208" s="545"/>
      <c r="I208" s="547"/>
      <c r="J208" s="547"/>
      <c r="K208" s="510"/>
      <c r="L208" s="510"/>
      <c r="M208" s="510"/>
      <c r="N208" s="510"/>
      <c r="O208" s="507"/>
      <c r="P208" s="507"/>
      <c r="Q208" s="507"/>
      <c r="R208" s="510"/>
      <c r="S208" s="510"/>
      <c r="T208" s="510"/>
      <c r="U208" s="510"/>
      <c r="V208" s="510"/>
      <c r="W208" s="510"/>
      <c r="X208" s="507"/>
      <c r="Y208" s="507"/>
      <c r="Z208" s="507"/>
    </row>
    <row r="209" ht="26.25" customHeight="1">
      <c r="A209" s="507"/>
      <c r="B209" s="545"/>
      <c r="C209" s="545"/>
      <c r="D209" s="545"/>
      <c r="E209" s="545"/>
      <c r="F209" s="546"/>
      <c r="G209" s="546"/>
      <c r="H209" s="545"/>
      <c r="I209" s="547"/>
      <c r="J209" s="547"/>
      <c r="K209" s="510"/>
      <c r="L209" s="510"/>
      <c r="M209" s="510"/>
      <c r="N209" s="510"/>
      <c r="O209" s="507"/>
      <c r="P209" s="507"/>
      <c r="Q209" s="507"/>
      <c r="R209" s="510"/>
      <c r="S209" s="510"/>
      <c r="T209" s="510"/>
      <c r="U209" s="510"/>
      <c r="V209" s="510"/>
      <c r="W209" s="510"/>
      <c r="X209" s="507"/>
      <c r="Y209" s="507"/>
      <c r="Z209" s="507"/>
    </row>
    <row r="210" ht="26.25" customHeight="1">
      <c r="A210" s="507"/>
      <c r="B210" s="545"/>
      <c r="C210" s="545"/>
      <c r="D210" s="545"/>
      <c r="E210" s="545"/>
      <c r="F210" s="546"/>
      <c r="G210" s="546"/>
      <c r="H210" s="545"/>
      <c r="I210" s="547"/>
      <c r="J210" s="547"/>
      <c r="K210" s="510"/>
      <c r="L210" s="510"/>
      <c r="M210" s="510"/>
      <c r="N210" s="510"/>
      <c r="O210" s="507"/>
      <c r="P210" s="507"/>
      <c r="Q210" s="507"/>
      <c r="R210" s="510"/>
      <c r="S210" s="510"/>
      <c r="T210" s="510"/>
      <c r="U210" s="510"/>
      <c r="V210" s="510"/>
      <c r="W210" s="510"/>
      <c r="X210" s="507"/>
      <c r="Y210" s="507"/>
      <c r="Z210" s="507"/>
    </row>
    <row r="211" ht="26.25" customHeight="1">
      <c r="A211" s="507"/>
      <c r="B211" s="545"/>
      <c r="C211" s="545"/>
      <c r="D211" s="545"/>
      <c r="E211" s="545"/>
      <c r="F211" s="546"/>
      <c r="G211" s="546"/>
      <c r="H211" s="545"/>
      <c r="I211" s="547"/>
      <c r="J211" s="547"/>
      <c r="K211" s="510"/>
      <c r="L211" s="510"/>
      <c r="M211" s="510"/>
      <c r="N211" s="510"/>
      <c r="O211" s="507"/>
      <c r="P211" s="507"/>
      <c r="Q211" s="507"/>
      <c r="R211" s="510"/>
      <c r="S211" s="510"/>
      <c r="T211" s="510"/>
      <c r="U211" s="510"/>
      <c r="V211" s="510"/>
      <c r="W211" s="510"/>
      <c r="X211" s="507"/>
      <c r="Y211" s="507"/>
      <c r="Z211" s="507"/>
    </row>
    <row r="212" ht="26.25" customHeight="1">
      <c r="A212" s="507"/>
      <c r="B212" s="545"/>
      <c r="C212" s="545"/>
      <c r="D212" s="545"/>
      <c r="E212" s="545"/>
      <c r="F212" s="546"/>
      <c r="G212" s="546"/>
      <c r="H212" s="545"/>
      <c r="I212" s="547"/>
      <c r="J212" s="547"/>
      <c r="K212" s="510"/>
      <c r="L212" s="510"/>
      <c r="M212" s="510"/>
      <c r="N212" s="510"/>
      <c r="O212" s="507"/>
      <c r="P212" s="507"/>
      <c r="Q212" s="507"/>
      <c r="R212" s="510"/>
      <c r="S212" s="510"/>
      <c r="T212" s="510"/>
      <c r="U212" s="510"/>
      <c r="V212" s="510"/>
      <c r="W212" s="510"/>
      <c r="X212" s="507"/>
      <c r="Y212" s="507"/>
      <c r="Z212" s="507"/>
    </row>
    <row r="213" ht="26.25" customHeight="1">
      <c r="A213" s="507"/>
      <c r="B213" s="545"/>
      <c r="C213" s="545"/>
      <c r="D213" s="545"/>
      <c r="E213" s="545"/>
      <c r="F213" s="546"/>
      <c r="G213" s="546"/>
      <c r="H213" s="545"/>
      <c r="I213" s="547"/>
      <c r="J213" s="547"/>
      <c r="K213" s="510"/>
      <c r="L213" s="510"/>
      <c r="M213" s="510"/>
      <c r="N213" s="510"/>
      <c r="O213" s="507"/>
      <c r="P213" s="507"/>
      <c r="Q213" s="507"/>
      <c r="R213" s="510"/>
      <c r="S213" s="510"/>
      <c r="T213" s="510"/>
      <c r="U213" s="510"/>
      <c r="V213" s="510"/>
      <c r="W213" s="510"/>
      <c r="X213" s="507"/>
      <c r="Y213" s="507"/>
      <c r="Z213" s="507"/>
    </row>
    <row r="214" ht="26.25" customHeight="1">
      <c r="A214" s="507"/>
      <c r="B214" s="545"/>
      <c r="C214" s="545"/>
      <c r="D214" s="545"/>
      <c r="E214" s="545"/>
      <c r="F214" s="546"/>
      <c r="G214" s="546"/>
      <c r="H214" s="545"/>
      <c r="I214" s="547"/>
      <c r="J214" s="547"/>
      <c r="K214" s="510"/>
      <c r="L214" s="510"/>
      <c r="M214" s="510"/>
      <c r="N214" s="510"/>
      <c r="O214" s="507"/>
      <c r="P214" s="507"/>
      <c r="Q214" s="507"/>
      <c r="R214" s="510"/>
      <c r="S214" s="510"/>
      <c r="T214" s="510"/>
      <c r="U214" s="510"/>
      <c r="V214" s="510"/>
      <c r="W214" s="510"/>
      <c r="X214" s="507"/>
      <c r="Y214" s="507"/>
      <c r="Z214" s="507"/>
    </row>
    <row r="215" ht="26.25" customHeight="1">
      <c r="A215" s="507"/>
      <c r="B215" s="545"/>
      <c r="C215" s="545"/>
      <c r="D215" s="545"/>
      <c r="E215" s="545"/>
      <c r="F215" s="546"/>
      <c r="G215" s="546"/>
      <c r="H215" s="545"/>
      <c r="I215" s="547"/>
      <c r="J215" s="547"/>
      <c r="K215" s="510"/>
      <c r="L215" s="510"/>
      <c r="M215" s="510"/>
      <c r="N215" s="510"/>
      <c r="O215" s="507"/>
      <c r="P215" s="507"/>
      <c r="Q215" s="507"/>
      <c r="R215" s="510"/>
      <c r="S215" s="510"/>
      <c r="T215" s="510"/>
      <c r="U215" s="510"/>
      <c r="V215" s="510"/>
      <c r="W215" s="510"/>
      <c r="X215" s="507"/>
      <c r="Y215" s="507"/>
      <c r="Z215" s="507"/>
    </row>
    <row r="216" ht="26.25" customHeight="1">
      <c r="A216" s="507"/>
      <c r="B216" s="545"/>
      <c r="C216" s="545"/>
      <c r="D216" s="545"/>
      <c r="E216" s="545"/>
      <c r="F216" s="546"/>
      <c r="G216" s="546"/>
      <c r="H216" s="545"/>
      <c r="I216" s="547"/>
      <c r="J216" s="547"/>
      <c r="K216" s="510"/>
      <c r="L216" s="510"/>
      <c r="M216" s="510"/>
      <c r="N216" s="510"/>
      <c r="O216" s="507"/>
      <c r="P216" s="507"/>
      <c r="Q216" s="507"/>
      <c r="R216" s="510"/>
      <c r="S216" s="510"/>
      <c r="T216" s="510"/>
      <c r="U216" s="510"/>
      <c r="V216" s="510"/>
      <c r="W216" s="510"/>
      <c r="X216" s="507"/>
      <c r="Y216" s="507"/>
      <c r="Z216" s="507"/>
    </row>
    <row r="217" ht="26.25" customHeight="1">
      <c r="A217" s="507"/>
      <c r="B217" s="545"/>
      <c r="C217" s="545"/>
      <c r="D217" s="545"/>
      <c r="E217" s="545"/>
      <c r="F217" s="546"/>
      <c r="G217" s="546"/>
      <c r="H217" s="545"/>
      <c r="I217" s="547"/>
      <c r="J217" s="547"/>
      <c r="K217" s="510"/>
      <c r="L217" s="510"/>
      <c r="M217" s="510"/>
      <c r="N217" s="510"/>
      <c r="O217" s="507"/>
      <c r="P217" s="507"/>
      <c r="Q217" s="507"/>
      <c r="R217" s="510"/>
      <c r="S217" s="510"/>
      <c r="T217" s="510"/>
      <c r="U217" s="510"/>
      <c r="V217" s="510"/>
      <c r="W217" s="510"/>
      <c r="X217" s="507"/>
      <c r="Y217" s="507"/>
      <c r="Z217" s="507"/>
    </row>
    <row r="218" ht="26.25" customHeight="1">
      <c r="A218" s="507"/>
      <c r="B218" s="545"/>
      <c r="C218" s="545"/>
      <c r="D218" s="545"/>
      <c r="E218" s="545"/>
      <c r="F218" s="546"/>
      <c r="G218" s="546"/>
      <c r="H218" s="545"/>
      <c r="I218" s="547"/>
      <c r="J218" s="547"/>
      <c r="K218" s="510"/>
      <c r="L218" s="510"/>
      <c r="M218" s="510"/>
      <c r="N218" s="510"/>
      <c r="O218" s="507"/>
      <c r="P218" s="507"/>
      <c r="Q218" s="507"/>
      <c r="R218" s="510"/>
      <c r="S218" s="510"/>
      <c r="T218" s="510"/>
      <c r="U218" s="510"/>
      <c r="V218" s="510"/>
      <c r="W218" s="510"/>
      <c r="X218" s="507"/>
      <c r="Y218" s="507"/>
      <c r="Z218" s="507"/>
    </row>
    <row r="219" ht="26.25" customHeight="1">
      <c r="A219" s="507"/>
      <c r="B219" s="545"/>
      <c r="C219" s="545"/>
      <c r="D219" s="545"/>
      <c r="E219" s="545"/>
      <c r="F219" s="546"/>
      <c r="G219" s="546"/>
      <c r="H219" s="545"/>
      <c r="I219" s="547"/>
      <c r="J219" s="547"/>
      <c r="K219" s="510"/>
      <c r="L219" s="510"/>
      <c r="M219" s="510"/>
      <c r="N219" s="510"/>
      <c r="O219" s="507"/>
      <c r="P219" s="507"/>
      <c r="Q219" s="507"/>
      <c r="R219" s="510"/>
      <c r="S219" s="510"/>
      <c r="T219" s="510"/>
      <c r="U219" s="510"/>
      <c r="V219" s="510"/>
      <c r="W219" s="510"/>
      <c r="X219" s="507"/>
      <c r="Y219" s="507"/>
      <c r="Z219" s="507"/>
    </row>
    <row r="220" ht="26.25" customHeight="1">
      <c r="A220" s="507"/>
      <c r="B220" s="545"/>
      <c r="C220" s="545"/>
      <c r="D220" s="545"/>
      <c r="E220" s="545"/>
      <c r="F220" s="546"/>
      <c r="G220" s="546"/>
      <c r="H220" s="545"/>
      <c r="I220" s="547"/>
      <c r="J220" s="547"/>
      <c r="K220" s="510"/>
      <c r="L220" s="510"/>
      <c r="M220" s="510"/>
      <c r="N220" s="510"/>
      <c r="O220" s="507"/>
      <c r="P220" s="507"/>
      <c r="Q220" s="507"/>
      <c r="R220" s="510"/>
      <c r="S220" s="510"/>
      <c r="T220" s="510"/>
      <c r="U220" s="510"/>
      <c r="V220" s="510"/>
      <c r="W220" s="510"/>
      <c r="X220" s="507"/>
      <c r="Y220" s="507"/>
      <c r="Z220" s="507"/>
    </row>
    <row r="221" ht="26.25" customHeight="1">
      <c r="A221" s="507"/>
      <c r="B221" s="545"/>
      <c r="C221" s="545"/>
      <c r="D221" s="545"/>
      <c r="E221" s="545"/>
      <c r="F221" s="546"/>
      <c r="G221" s="546"/>
      <c r="H221" s="545"/>
      <c r="I221" s="547"/>
      <c r="J221" s="547"/>
      <c r="K221" s="510"/>
      <c r="L221" s="510"/>
      <c r="M221" s="510"/>
      <c r="N221" s="510"/>
      <c r="O221" s="507"/>
      <c r="P221" s="507"/>
      <c r="Q221" s="507"/>
      <c r="R221" s="510"/>
      <c r="S221" s="510"/>
      <c r="T221" s="510"/>
      <c r="U221" s="510"/>
      <c r="V221" s="510"/>
      <c r="W221" s="510"/>
      <c r="X221" s="507"/>
      <c r="Y221" s="507"/>
      <c r="Z221" s="507"/>
    </row>
    <row r="222" ht="26.25" customHeight="1">
      <c r="A222" s="507"/>
      <c r="B222" s="545"/>
      <c r="C222" s="545"/>
      <c r="D222" s="545"/>
      <c r="E222" s="545"/>
      <c r="F222" s="546"/>
      <c r="G222" s="546"/>
      <c r="H222" s="545"/>
      <c r="I222" s="547"/>
      <c r="J222" s="547"/>
      <c r="K222" s="510"/>
      <c r="L222" s="510"/>
      <c r="M222" s="510"/>
      <c r="N222" s="510"/>
      <c r="O222" s="507"/>
      <c r="P222" s="507"/>
      <c r="Q222" s="507"/>
      <c r="R222" s="510"/>
      <c r="S222" s="510"/>
      <c r="T222" s="510"/>
      <c r="U222" s="510"/>
      <c r="V222" s="510"/>
      <c r="W222" s="510"/>
      <c r="X222" s="507"/>
      <c r="Y222" s="507"/>
      <c r="Z222" s="507"/>
    </row>
    <row r="223" ht="26.25" customHeight="1">
      <c r="A223" s="507"/>
      <c r="B223" s="545"/>
      <c r="C223" s="545"/>
      <c r="D223" s="545"/>
      <c r="E223" s="545"/>
      <c r="F223" s="546"/>
      <c r="G223" s="546"/>
      <c r="H223" s="545"/>
      <c r="I223" s="547"/>
      <c r="J223" s="547"/>
      <c r="K223" s="510"/>
      <c r="L223" s="510"/>
      <c r="M223" s="510"/>
      <c r="N223" s="510"/>
      <c r="O223" s="507"/>
      <c r="P223" s="507"/>
      <c r="Q223" s="507"/>
      <c r="R223" s="510"/>
      <c r="S223" s="510"/>
      <c r="T223" s="510"/>
      <c r="U223" s="510"/>
      <c r="V223" s="510"/>
      <c r="W223" s="510"/>
      <c r="X223" s="507"/>
      <c r="Y223" s="507"/>
      <c r="Z223" s="507"/>
    </row>
    <row r="224" ht="26.25" customHeight="1">
      <c r="A224" s="507"/>
      <c r="B224" s="545"/>
      <c r="C224" s="545"/>
      <c r="D224" s="545"/>
      <c r="E224" s="545"/>
      <c r="F224" s="546"/>
      <c r="G224" s="546"/>
      <c r="H224" s="545"/>
      <c r="I224" s="547"/>
      <c r="J224" s="547"/>
      <c r="K224" s="510"/>
      <c r="L224" s="510"/>
      <c r="M224" s="510"/>
      <c r="N224" s="510"/>
      <c r="O224" s="507"/>
      <c r="P224" s="507"/>
      <c r="Q224" s="507"/>
      <c r="R224" s="510"/>
      <c r="S224" s="510"/>
      <c r="T224" s="510"/>
      <c r="U224" s="510"/>
      <c r="V224" s="510"/>
      <c r="W224" s="510"/>
      <c r="X224" s="507"/>
      <c r="Y224" s="507"/>
      <c r="Z224" s="507"/>
    </row>
    <row r="225" ht="26.25" customHeight="1">
      <c r="A225" s="507"/>
      <c r="B225" s="545"/>
      <c r="C225" s="545"/>
      <c r="D225" s="545"/>
      <c r="E225" s="545"/>
      <c r="F225" s="546"/>
      <c r="G225" s="546"/>
      <c r="H225" s="545"/>
      <c r="I225" s="547"/>
      <c r="J225" s="547"/>
      <c r="K225" s="510"/>
      <c r="L225" s="510"/>
      <c r="M225" s="510"/>
      <c r="N225" s="510"/>
      <c r="O225" s="507"/>
      <c r="P225" s="507"/>
      <c r="Q225" s="507"/>
      <c r="R225" s="510"/>
      <c r="S225" s="510"/>
      <c r="T225" s="510"/>
      <c r="U225" s="510"/>
      <c r="V225" s="510"/>
      <c r="W225" s="510"/>
      <c r="X225" s="507"/>
      <c r="Y225" s="507"/>
      <c r="Z225" s="507"/>
    </row>
    <row r="226" ht="26.25" customHeight="1">
      <c r="A226" s="401"/>
      <c r="B226" s="510"/>
      <c r="C226" s="510"/>
      <c r="D226" s="510"/>
      <c r="E226" s="510"/>
      <c r="F226" s="548"/>
      <c r="G226" s="548"/>
      <c r="H226" s="527"/>
      <c r="I226" s="527"/>
      <c r="J226" s="527"/>
      <c r="K226" s="509"/>
      <c r="L226" s="509"/>
      <c r="M226" s="509"/>
      <c r="N226" s="509"/>
      <c r="O226" s="509"/>
      <c r="P226" s="509"/>
      <c r="Q226" s="509"/>
      <c r="R226" s="401"/>
      <c r="S226" s="401"/>
      <c r="T226" s="401"/>
      <c r="U226" s="401"/>
      <c r="V226" s="401"/>
      <c r="W226" s="401"/>
      <c r="X226" s="401"/>
      <c r="Y226" s="401"/>
      <c r="Z226" s="401"/>
    </row>
    <row r="227" ht="15.0" customHeight="1">
      <c r="A227" s="401"/>
      <c r="B227" s="510"/>
      <c r="C227" s="510"/>
      <c r="D227" s="510"/>
      <c r="E227" s="510"/>
      <c r="F227" s="549"/>
      <c r="G227" s="549"/>
      <c r="H227" s="510"/>
      <c r="I227" s="401"/>
      <c r="J227" s="401"/>
      <c r="K227" s="401"/>
      <c r="L227" s="401"/>
      <c r="M227" s="401"/>
      <c r="N227" s="401"/>
      <c r="O227" s="401"/>
      <c r="P227" s="401"/>
      <c r="Q227" s="401"/>
      <c r="R227" s="401"/>
      <c r="S227" s="401"/>
      <c r="T227" s="401"/>
      <c r="U227" s="401"/>
      <c r="V227" s="401"/>
      <c r="W227" s="401"/>
      <c r="X227" s="401"/>
      <c r="Y227" s="401"/>
      <c r="Z227" s="401"/>
    </row>
    <row r="228" ht="12.75" customHeight="1">
      <c r="A228" s="401"/>
      <c r="B228" s="401"/>
      <c r="C228" s="401"/>
      <c r="D228" s="401"/>
      <c r="E228" s="401"/>
      <c r="F228" s="550"/>
      <c r="G228" s="550"/>
      <c r="H228" s="401"/>
      <c r="I228" s="401"/>
      <c r="J228" s="401"/>
      <c r="K228" s="401"/>
      <c r="L228" s="401"/>
      <c r="M228" s="401"/>
      <c r="N228" s="401"/>
      <c r="O228" s="401"/>
      <c r="P228" s="401"/>
      <c r="Q228" s="401"/>
      <c r="R228" s="401"/>
      <c r="S228" s="401"/>
      <c r="T228" s="401"/>
      <c r="U228" s="401"/>
      <c r="V228" s="401"/>
      <c r="W228" s="401"/>
      <c r="X228" s="401"/>
      <c r="Y228" s="401"/>
      <c r="Z228" s="401"/>
    </row>
    <row r="229" ht="12.75" customHeight="1">
      <c r="A229" s="401"/>
      <c r="B229" s="401"/>
      <c r="C229" s="401"/>
      <c r="D229" s="401"/>
      <c r="E229" s="401"/>
      <c r="F229" s="550"/>
      <c r="G229" s="550"/>
      <c r="H229" s="401"/>
      <c r="I229" s="401"/>
      <c r="J229" s="401"/>
      <c r="K229" s="401"/>
      <c r="L229" s="401"/>
      <c r="M229" s="401"/>
      <c r="N229" s="401"/>
      <c r="O229" s="401"/>
      <c r="P229" s="401"/>
      <c r="Q229" s="401"/>
      <c r="R229" s="401"/>
      <c r="S229" s="401"/>
      <c r="T229" s="401"/>
      <c r="U229" s="401"/>
      <c r="V229" s="401"/>
      <c r="W229" s="401"/>
      <c r="X229" s="401"/>
      <c r="Y229" s="401"/>
      <c r="Z229" s="401"/>
    </row>
    <row r="230" ht="12.75" customHeight="1">
      <c r="A230" s="401"/>
      <c r="B230" s="401"/>
      <c r="C230" s="401"/>
      <c r="D230" s="401"/>
      <c r="E230" s="401"/>
      <c r="F230" s="550"/>
      <c r="G230" s="550"/>
      <c r="H230" s="401"/>
      <c r="I230" s="401"/>
      <c r="J230" s="401"/>
      <c r="K230" s="401"/>
      <c r="L230" s="401"/>
      <c r="M230" s="401"/>
      <c r="N230" s="401"/>
      <c r="O230" s="401"/>
      <c r="P230" s="401"/>
      <c r="Q230" s="401"/>
      <c r="R230" s="401"/>
      <c r="S230" s="401"/>
      <c r="T230" s="401"/>
      <c r="U230" s="401"/>
      <c r="V230" s="401"/>
      <c r="W230" s="401"/>
      <c r="X230" s="401"/>
      <c r="Y230" s="401"/>
      <c r="Z230" s="401"/>
    </row>
    <row r="231" ht="18.75" customHeight="1">
      <c r="A231" s="139"/>
      <c r="B231" s="401"/>
      <c r="C231" s="401"/>
      <c r="D231" s="401"/>
      <c r="E231" s="401"/>
      <c r="F231" s="550"/>
      <c r="G231" s="550"/>
      <c r="H231" s="401"/>
      <c r="I231" s="401"/>
      <c r="J231" s="401"/>
      <c r="K231" s="401"/>
      <c r="L231" s="401"/>
      <c r="M231" s="401"/>
      <c r="N231" s="401"/>
      <c r="O231" s="401"/>
      <c r="P231" s="401"/>
      <c r="Q231" s="401"/>
      <c r="R231" s="401"/>
      <c r="S231" s="401"/>
      <c r="T231" s="401"/>
      <c r="U231" s="401"/>
      <c r="V231" s="401"/>
      <c r="W231" s="401"/>
      <c r="X231" s="401"/>
      <c r="Y231" s="401"/>
      <c r="Z231" s="401"/>
    </row>
    <row r="232" ht="12.75" customHeight="1">
      <c r="A232" s="401"/>
      <c r="B232" s="401"/>
      <c r="C232" s="401"/>
      <c r="D232" s="401"/>
      <c r="E232" s="401"/>
      <c r="F232" s="550"/>
      <c r="G232" s="550"/>
      <c r="H232" s="401"/>
      <c r="I232" s="401"/>
      <c r="J232" s="401"/>
      <c r="K232" s="401"/>
      <c r="L232" s="401"/>
      <c r="M232" s="401"/>
      <c r="N232" s="401"/>
      <c r="O232" s="401"/>
      <c r="P232" s="401"/>
      <c r="Q232" s="401"/>
      <c r="R232" s="401"/>
      <c r="S232" s="401"/>
      <c r="T232" s="401"/>
      <c r="U232" s="401"/>
      <c r="V232" s="401"/>
      <c r="W232" s="401"/>
      <c r="X232" s="401"/>
      <c r="Y232" s="401"/>
      <c r="Z232" s="401"/>
    </row>
    <row r="233" ht="32.25" customHeight="1">
      <c r="A233" s="401"/>
      <c r="B233" s="527"/>
      <c r="C233" s="551"/>
      <c r="D233" s="551"/>
      <c r="E233" s="551"/>
      <c r="F233" s="552"/>
      <c r="G233" s="552"/>
      <c r="H233" s="527"/>
      <c r="I233" s="527"/>
      <c r="J233" s="527"/>
      <c r="K233" s="401"/>
      <c r="L233" s="401"/>
      <c r="M233" s="401"/>
      <c r="N233" s="401"/>
      <c r="O233" s="401"/>
      <c r="P233" s="401"/>
      <c r="Q233" s="401"/>
      <c r="R233" s="401"/>
      <c r="S233" s="401"/>
      <c r="T233" s="401"/>
      <c r="U233" s="401"/>
      <c r="V233" s="401"/>
      <c r="W233" s="401"/>
      <c r="X233" s="401"/>
      <c r="Y233" s="401"/>
      <c r="Z233" s="401"/>
    </row>
    <row r="234" ht="15.75" customHeight="1">
      <c r="A234" s="553"/>
      <c r="B234" s="508"/>
      <c r="C234" s="508"/>
      <c r="D234" s="508"/>
      <c r="E234" s="508"/>
      <c r="F234" s="515"/>
      <c r="G234" s="515"/>
      <c r="H234" s="508"/>
      <c r="I234" s="521"/>
      <c r="J234" s="521"/>
      <c r="K234" s="401"/>
      <c r="L234" s="401"/>
      <c r="M234" s="401"/>
      <c r="N234" s="401"/>
      <c r="O234" s="554"/>
      <c r="P234" s="554"/>
      <c r="Q234" s="554"/>
      <c r="R234" s="401"/>
      <c r="S234" s="401"/>
      <c r="T234" s="401"/>
      <c r="U234" s="401"/>
      <c r="V234" s="401"/>
      <c r="W234" s="401"/>
      <c r="X234" s="401"/>
      <c r="Y234" s="401"/>
      <c r="Z234" s="401"/>
    </row>
    <row r="235" ht="15.75" customHeight="1">
      <c r="A235" s="553"/>
      <c r="B235" s="508"/>
      <c r="C235" s="508"/>
      <c r="D235" s="508"/>
      <c r="E235" s="508"/>
      <c r="F235" s="515"/>
      <c r="G235" s="515"/>
      <c r="H235" s="508"/>
      <c r="I235" s="521"/>
      <c r="J235" s="521"/>
      <c r="K235" s="401"/>
      <c r="L235" s="401"/>
      <c r="M235" s="401"/>
      <c r="N235" s="401"/>
      <c r="O235" s="554"/>
      <c r="P235" s="554"/>
      <c r="Q235" s="554"/>
      <c r="R235" s="401"/>
      <c r="S235" s="401"/>
      <c r="T235" s="401"/>
      <c r="U235" s="401"/>
      <c r="V235" s="401"/>
      <c r="W235" s="401"/>
      <c r="X235" s="545"/>
      <c r="Y235" s="545"/>
      <c r="Z235" s="401"/>
    </row>
    <row r="236" ht="15.75" customHeight="1">
      <c r="A236" s="553"/>
      <c r="B236" s="508"/>
      <c r="C236" s="508"/>
      <c r="D236" s="508"/>
      <c r="E236" s="508"/>
      <c r="F236" s="515"/>
      <c r="G236" s="515"/>
      <c r="H236" s="508"/>
      <c r="I236" s="521"/>
      <c r="J236" s="521"/>
      <c r="K236" s="401"/>
      <c r="L236" s="401"/>
      <c r="M236" s="401"/>
      <c r="N236" s="401"/>
      <c r="O236" s="554"/>
      <c r="P236" s="554"/>
      <c r="Q236" s="554"/>
      <c r="R236" s="401"/>
      <c r="S236" s="401"/>
      <c r="T236" s="401"/>
      <c r="U236" s="401"/>
      <c r="V236" s="401"/>
      <c r="W236" s="401"/>
      <c r="X236" s="545"/>
      <c r="Y236" s="545"/>
      <c r="Z236" s="401"/>
    </row>
    <row r="237" ht="15.75" customHeight="1">
      <c r="A237" s="553"/>
      <c r="B237" s="508"/>
      <c r="C237" s="508"/>
      <c r="D237" s="508"/>
      <c r="E237" s="508"/>
      <c r="F237" s="515"/>
      <c r="G237" s="515"/>
      <c r="H237" s="508"/>
      <c r="I237" s="521"/>
      <c r="J237" s="521"/>
      <c r="K237" s="401"/>
      <c r="L237" s="401"/>
      <c r="M237" s="401"/>
      <c r="N237" s="401"/>
      <c r="O237" s="554"/>
      <c r="P237" s="554"/>
      <c r="Q237" s="554"/>
      <c r="R237" s="401"/>
      <c r="S237" s="401"/>
      <c r="T237" s="401"/>
      <c r="U237" s="401"/>
      <c r="V237" s="401"/>
      <c r="W237" s="401"/>
      <c r="X237" s="545"/>
      <c r="Y237" s="545"/>
      <c r="Z237" s="401"/>
    </row>
    <row r="238" ht="15.75" customHeight="1">
      <c r="A238" s="553"/>
      <c r="B238" s="508"/>
      <c r="C238" s="508"/>
      <c r="D238" s="508"/>
      <c r="E238" s="508"/>
      <c r="F238" s="515"/>
      <c r="G238" s="515"/>
      <c r="H238" s="508"/>
      <c r="I238" s="521"/>
      <c r="J238" s="521"/>
      <c r="K238" s="401"/>
      <c r="L238" s="401"/>
      <c r="M238" s="401"/>
      <c r="N238" s="401"/>
      <c r="O238" s="554"/>
      <c r="P238" s="554"/>
      <c r="Q238" s="554"/>
      <c r="R238" s="401"/>
      <c r="S238" s="401"/>
      <c r="T238" s="401"/>
      <c r="U238" s="401"/>
      <c r="V238" s="401"/>
      <c r="W238" s="401"/>
      <c r="X238" s="401"/>
      <c r="Y238" s="401"/>
      <c r="Z238" s="401"/>
    </row>
    <row r="239" ht="15.75" customHeight="1">
      <c r="A239" s="553"/>
      <c r="B239" s="508"/>
      <c r="C239" s="508"/>
      <c r="D239" s="508"/>
      <c r="E239" s="508"/>
      <c r="F239" s="515"/>
      <c r="G239" s="515"/>
      <c r="H239" s="508"/>
      <c r="I239" s="521"/>
      <c r="J239" s="521"/>
      <c r="K239" s="401"/>
      <c r="L239" s="401"/>
      <c r="M239" s="401"/>
      <c r="N239" s="401"/>
      <c r="O239" s="554"/>
      <c r="P239" s="554"/>
      <c r="Q239" s="554"/>
      <c r="R239" s="401"/>
      <c r="S239" s="401"/>
      <c r="T239" s="401"/>
      <c r="U239" s="401"/>
      <c r="V239" s="401"/>
      <c r="W239" s="401"/>
      <c r="X239" s="401"/>
      <c r="Y239" s="401"/>
      <c r="Z239" s="401"/>
    </row>
    <row r="240" ht="18.75" customHeight="1">
      <c r="A240" s="553"/>
      <c r="B240" s="508"/>
      <c r="C240" s="508"/>
      <c r="D240" s="508"/>
      <c r="E240" s="508"/>
      <c r="F240" s="515"/>
      <c r="G240" s="515"/>
      <c r="H240" s="508"/>
      <c r="I240" s="521"/>
      <c r="J240" s="521"/>
      <c r="K240" s="401"/>
      <c r="L240" s="401"/>
      <c r="M240" s="401"/>
      <c r="N240" s="401"/>
      <c r="O240" s="554"/>
      <c r="P240" s="554"/>
      <c r="Q240" s="554"/>
      <c r="R240" s="401"/>
      <c r="S240" s="401"/>
      <c r="T240" s="401"/>
      <c r="U240" s="401"/>
      <c r="V240" s="401"/>
      <c r="W240" s="401"/>
      <c r="X240" s="401"/>
      <c r="Y240" s="401"/>
      <c r="Z240" s="401"/>
    </row>
    <row r="241" ht="18.0" customHeight="1">
      <c r="A241" s="553"/>
      <c r="B241" s="508"/>
      <c r="C241" s="508"/>
      <c r="D241" s="508"/>
      <c r="E241" s="508"/>
      <c r="F241" s="515"/>
      <c r="G241" s="515"/>
      <c r="H241" s="508"/>
      <c r="I241" s="521"/>
      <c r="J241" s="521"/>
      <c r="K241" s="401"/>
      <c r="L241" s="401"/>
      <c r="M241" s="401"/>
      <c r="N241" s="401"/>
      <c r="O241" s="554"/>
      <c r="P241" s="554"/>
      <c r="Q241" s="554"/>
      <c r="R241" s="401"/>
      <c r="S241" s="401"/>
      <c r="T241" s="401"/>
      <c r="U241" s="401"/>
      <c r="V241" s="401"/>
      <c r="W241" s="401"/>
      <c r="X241" s="401"/>
      <c r="Y241" s="401"/>
      <c r="Z241" s="401"/>
    </row>
    <row r="242" ht="18.0" customHeight="1">
      <c r="A242" s="553"/>
      <c r="B242" s="508"/>
      <c r="C242" s="508"/>
      <c r="D242" s="508"/>
      <c r="E242" s="508"/>
      <c r="F242" s="515"/>
      <c r="G242" s="515"/>
      <c r="H242" s="508"/>
      <c r="I242" s="521"/>
      <c r="J242" s="521"/>
      <c r="K242" s="401"/>
      <c r="L242" s="401"/>
      <c r="M242" s="401"/>
      <c r="N242" s="401"/>
      <c r="O242" s="554"/>
      <c r="P242" s="554"/>
      <c r="Q242" s="554"/>
      <c r="R242" s="401"/>
      <c r="S242" s="401"/>
      <c r="T242" s="401"/>
      <c r="U242" s="401"/>
      <c r="V242" s="401"/>
      <c r="W242" s="401"/>
      <c r="X242" s="401"/>
      <c r="Y242" s="401"/>
      <c r="Z242" s="401"/>
    </row>
    <row r="243" ht="18.0" customHeight="1">
      <c r="A243" s="553"/>
      <c r="B243" s="508"/>
      <c r="C243" s="508"/>
      <c r="D243" s="508"/>
      <c r="E243" s="508"/>
      <c r="F243" s="515"/>
      <c r="G243" s="515"/>
      <c r="H243" s="508"/>
      <c r="I243" s="521"/>
      <c r="J243" s="521"/>
      <c r="K243" s="401"/>
      <c r="L243" s="401"/>
      <c r="M243" s="401"/>
      <c r="N243" s="401"/>
      <c r="O243" s="401"/>
      <c r="P243" s="401"/>
      <c r="Q243" s="401"/>
      <c r="R243" s="401"/>
      <c r="S243" s="401"/>
      <c r="T243" s="401"/>
      <c r="U243" s="401"/>
      <c r="V243" s="401"/>
      <c r="W243" s="555"/>
      <c r="X243" s="401"/>
      <c r="Y243" s="401"/>
      <c r="Z243" s="401"/>
    </row>
    <row r="244" ht="15.75" customHeight="1">
      <c r="A244" s="553"/>
      <c r="B244" s="401"/>
      <c r="C244" s="401"/>
      <c r="D244" s="401"/>
      <c r="E244" s="401"/>
      <c r="F244" s="552"/>
      <c r="G244" s="552"/>
      <c r="H244" s="401"/>
      <c r="I244" s="556"/>
      <c r="J244" s="556"/>
      <c r="K244" s="401"/>
      <c r="L244" s="401"/>
      <c r="M244" s="401"/>
      <c r="N244" s="401"/>
      <c r="O244" s="401"/>
      <c r="P244" s="401"/>
      <c r="Q244" s="401"/>
      <c r="R244" s="401"/>
      <c r="S244" s="401"/>
      <c r="T244" s="401"/>
      <c r="U244" s="401"/>
      <c r="V244" s="401"/>
      <c r="W244" s="555"/>
      <c r="X244" s="401"/>
      <c r="Y244" s="401"/>
      <c r="Z244" s="401"/>
    </row>
    <row r="245" ht="12.75" customHeight="1">
      <c r="A245" s="401"/>
      <c r="B245" s="401"/>
      <c r="C245" s="401"/>
      <c r="D245" s="401"/>
      <c r="E245" s="401"/>
      <c r="F245" s="550"/>
      <c r="G245" s="550"/>
      <c r="H245" s="401"/>
      <c r="I245" s="401"/>
      <c r="J245" s="401"/>
      <c r="K245" s="401"/>
      <c r="L245" s="401"/>
      <c r="M245" s="401"/>
      <c r="N245" s="401"/>
      <c r="O245" s="401"/>
      <c r="P245" s="401"/>
      <c r="Q245" s="401"/>
      <c r="R245" s="401"/>
      <c r="S245" s="401"/>
      <c r="T245" s="401"/>
      <c r="U245" s="401"/>
      <c r="V245" s="401"/>
      <c r="W245" s="555"/>
      <c r="X245" s="401"/>
      <c r="Y245" s="401"/>
      <c r="Z245" s="401"/>
    </row>
    <row r="246" ht="12.75" customHeight="1">
      <c r="A246" s="401"/>
      <c r="B246" s="401"/>
      <c r="C246" s="401"/>
      <c r="D246" s="401"/>
      <c r="E246" s="401"/>
      <c r="F246" s="550"/>
      <c r="G246" s="550"/>
      <c r="H246" s="401"/>
      <c r="I246" s="401"/>
      <c r="J246" s="401"/>
      <c r="K246" s="401"/>
      <c r="L246" s="401"/>
      <c r="M246" s="401"/>
      <c r="N246" s="401"/>
      <c r="O246" s="401"/>
      <c r="P246" s="401"/>
      <c r="Q246" s="401"/>
      <c r="R246" s="401"/>
      <c r="S246" s="401"/>
      <c r="T246" s="401"/>
      <c r="U246" s="401"/>
      <c r="V246" s="401"/>
      <c r="W246" s="555"/>
      <c r="X246" s="401"/>
      <c r="Y246" s="401"/>
      <c r="Z246" s="401"/>
    </row>
    <row r="247" ht="12.75" customHeight="1">
      <c r="A247" s="401"/>
      <c r="B247" s="401"/>
      <c r="C247" s="401"/>
      <c r="D247" s="401"/>
      <c r="E247" s="401"/>
      <c r="F247" s="550"/>
      <c r="G247" s="550"/>
      <c r="H247" s="401"/>
      <c r="I247" s="401"/>
      <c r="J247" s="401"/>
      <c r="K247" s="401"/>
      <c r="L247" s="401"/>
      <c r="M247" s="401"/>
      <c r="N247" s="401"/>
      <c r="O247" s="401"/>
      <c r="P247" s="401"/>
      <c r="Q247" s="401"/>
      <c r="R247" s="401"/>
      <c r="S247" s="401"/>
      <c r="T247" s="401"/>
      <c r="U247" s="401"/>
      <c r="V247" s="401"/>
      <c r="W247" s="555"/>
      <c r="X247" s="401"/>
      <c r="Y247" s="401"/>
      <c r="Z247" s="401"/>
    </row>
    <row r="248" ht="18.75" customHeight="1">
      <c r="A248" s="139"/>
      <c r="B248" s="401"/>
      <c r="C248" s="401"/>
      <c r="D248" s="401"/>
      <c r="E248" s="401"/>
      <c r="F248" s="550"/>
      <c r="G248" s="550"/>
      <c r="H248" s="401"/>
      <c r="I248" s="401"/>
      <c r="J248" s="401"/>
      <c r="K248" s="401"/>
      <c r="L248" s="401"/>
      <c r="M248" s="401"/>
      <c r="N248" s="401"/>
      <c r="O248" s="401"/>
      <c r="P248" s="401"/>
      <c r="Q248" s="401"/>
      <c r="R248" s="401"/>
      <c r="S248" s="401"/>
      <c r="T248" s="401"/>
      <c r="U248" s="401"/>
      <c r="V248" s="401"/>
      <c r="W248" s="555"/>
      <c r="X248" s="401"/>
      <c r="Y248" s="401"/>
      <c r="Z248" s="401"/>
    </row>
    <row r="249" ht="12.75" customHeight="1">
      <c r="A249" s="401"/>
      <c r="B249" s="401"/>
      <c r="C249" s="401"/>
      <c r="D249" s="401"/>
      <c r="E249" s="401"/>
      <c r="F249" s="550"/>
      <c r="G249" s="550"/>
      <c r="H249" s="401"/>
      <c r="I249" s="401"/>
      <c r="J249" s="401"/>
      <c r="K249" s="401"/>
      <c r="L249" s="401"/>
      <c r="M249" s="401"/>
      <c r="N249" s="401"/>
      <c r="O249" s="401"/>
      <c r="P249" s="401"/>
      <c r="Q249" s="401"/>
      <c r="R249" s="401"/>
      <c r="S249" s="401"/>
      <c r="T249" s="401"/>
      <c r="U249" s="401"/>
      <c r="V249" s="401"/>
      <c r="W249" s="555"/>
      <c r="X249" s="401"/>
      <c r="Y249" s="401"/>
      <c r="Z249" s="401"/>
    </row>
    <row r="250" ht="33.75" customHeight="1">
      <c r="A250" s="401"/>
      <c r="B250" s="527"/>
      <c r="C250" s="551"/>
      <c r="D250" s="551"/>
      <c r="E250" s="551"/>
      <c r="F250" s="552"/>
      <c r="G250" s="552"/>
      <c r="H250" s="527"/>
      <c r="I250" s="527"/>
      <c r="J250" s="527"/>
      <c r="K250" s="401"/>
      <c r="L250" s="401"/>
      <c r="M250" s="401"/>
      <c r="N250" s="401"/>
      <c r="O250" s="401"/>
      <c r="P250" s="401"/>
      <c r="Q250" s="401"/>
      <c r="R250" s="401"/>
      <c r="S250" s="401"/>
      <c r="T250" s="401"/>
      <c r="U250" s="401"/>
      <c r="V250" s="401"/>
      <c r="W250" s="555"/>
      <c r="X250" s="401"/>
      <c r="Y250" s="401"/>
      <c r="Z250" s="401"/>
    </row>
    <row r="251" ht="15.75" customHeight="1">
      <c r="A251" s="553"/>
      <c r="B251" s="557"/>
      <c r="C251" s="556"/>
      <c r="D251" s="556"/>
      <c r="E251" s="556"/>
      <c r="F251" s="558"/>
      <c r="G251" s="558"/>
      <c r="H251" s="556"/>
      <c r="I251" s="556"/>
      <c r="J251" s="556"/>
      <c r="K251" s="401"/>
      <c r="L251" s="401"/>
      <c r="M251" s="401"/>
      <c r="N251" s="401"/>
      <c r="O251" s="401"/>
      <c r="P251" s="401"/>
      <c r="Q251" s="401"/>
      <c r="R251" s="401"/>
      <c r="S251" s="401"/>
      <c r="T251" s="401"/>
      <c r="U251" s="401"/>
      <c r="V251" s="401"/>
      <c r="W251" s="555"/>
      <c r="X251" s="401"/>
      <c r="Y251" s="401"/>
      <c r="Z251" s="401"/>
    </row>
    <row r="252" ht="15.75" customHeight="1">
      <c r="A252" s="553"/>
      <c r="B252" s="557"/>
      <c r="C252" s="556"/>
      <c r="D252" s="556"/>
      <c r="E252" s="556"/>
      <c r="F252" s="558"/>
      <c r="G252" s="558"/>
      <c r="H252" s="556"/>
      <c r="I252" s="556"/>
      <c r="J252" s="556"/>
      <c r="K252" s="401"/>
      <c r="L252" s="401"/>
      <c r="M252" s="401"/>
      <c r="N252" s="401"/>
      <c r="O252" s="401"/>
      <c r="P252" s="401"/>
      <c r="Q252" s="401"/>
      <c r="R252" s="401"/>
      <c r="S252" s="401"/>
      <c r="T252" s="401"/>
      <c r="U252" s="401"/>
      <c r="V252" s="401"/>
      <c r="W252" s="555"/>
      <c r="X252" s="401"/>
      <c r="Y252" s="401"/>
      <c r="Z252" s="401"/>
    </row>
    <row r="253" ht="15.75" customHeight="1">
      <c r="A253" s="553"/>
      <c r="B253" s="557"/>
      <c r="C253" s="556"/>
      <c r="D253" s="556"/>
      <c r="E253" s="556"/>
      <c r="F253" s="558"/>
      <c r="G253" s="558"/>
      <c r="H253" s="556"/>
      <c r="I253" s="556"/>
      <c r="J253" s="556"/>
      <c r="K253" s="401"/>
      <c r="L253" s="401"/>
      <c r="M253" s="401"/>
      <c r="N253" s="401"/>
      <c r="O253" s="401"/>
      <c r="P253" s="401"/>
      <c r="Q253" s="401"/>
      <c r="R253" s="401"/>
      <c r="S253" s="401"/>
      <c r="T253" s="401"/>
      <c r="U253" s="401"/>
      <c r="V253" s="401"/>
      <c r="W253" s="555"/>
      <c r="X253" s="401"/>
      <c r="Y253" s="401"/>
      <c r="Z253" s="401"/>
    </row>
    <row r="254" ht="15.75" customHeight="1">
      <c r="A254" s="553"/>
      <c r="B254" s="557"/>
      <c r="C254" s="556"/>
      <c r="D254" s="556"/>
      <c r="E254" s="556"/>
      <c r="F254" s="559"/>
      <c r="G254" s="559"/>
      <c r="H254" s="556"/>
      <c r="I254" s="556"/>
      <c r="J254" s="556"/>
      <c r="K254" s="401"/>
      <c r="L254" s="401"/>
      <c r="M254" s="401"/>
      <c r="N254" s="401"/>
      <c r="O254" s="401"/>
      <c r="P254" s="401"/>
      <c r="Q254" s="401"/>
      <c r="R254" s="401"/>
      <c r="S254" s="401"/>
      <c r="T254" s="401"/>
      <c r="U254" s="401"/>
      <c r="V254" s="401"/>
      <c r="W254" s="550"/>
      <c r="X254" s="401"/>
      <c r="Y254" s="401"/>
      <c r="Z254" s="401"/>
    </row>
    <row r="255" ht="15.75" customHeight="1">
      <c r="A255" s="553"/>
      <c r="B255" s="557"/>
      <c r="C255" s="556"/>
      <c r="D255" s="556"/>
      <c r="E255" s="556"/>
      <c r="F255" s="559"/>
      <c r="G255" s="559"/>
      <c r="H255" s="556"/>
      <c r="I255" s="556"/>
      <c r="J255" s="556"/>
      <c r="K255" s="401"/>
      <c r="L255" s="401"/>
      <c r="M255" s="401"/>
      <c r="N255" s="401"/>
      <c r="O255" s="401"/>
      <c r="P255" s="401"/>
      <c r="Q255" s="401"/>
      <c r="R255" s="401"/>
      <c r="S255" s="401"/>
      <c r="T255" s="401"/>
      <c r="U255" s="401"/>
      <c r="V255" s="401"/>
      <c r="W255" s="555"/>
      <c r="X255" s="401"/>
      <c r="Y255" s="401"/>
      <c r="Z255" s="401"/>
    </row>
    <row r="256" ht="15.75" customHeight="1">
      <c r="A256" s="553"/>
      <c r="B256" s="557"/>
      <c r="C256" s="560"/>
      <c r="D256" s="556"/>
      <c r="E256" s="556"/>
      <c r="F256" s="559"/>
      <c r="G256" s="559"/>
      <c r="H256" s="556"/>
      <c r="I256" s="556"/>
      <c r="J256" s="556"/>
      <c r="K256" s="401"/>
      <c r="L256" s="401"/>
      <c r="M256" s="401"/>
      <c r="N256" s="401"/>
      <c r="O256" s="401"/>
      <c r="P256" s="401"/>
      <c r="Q256" s="401"/>
      <c r="R256" s="401"/>
      <c r="S256" s="401"/>
      <c r="T256" s="401"/>
      <c r="U256" s="401"/>
      <c r="V256" s="401"/>
      <c r="W256" s="555"/>
      <c r="X256" s="401"/>
      <c r="Y256" s="401"/>
      <c r="Z256" s="401"/>
    </row>
    <row r="257" ht="15.75" customHeight="1">
      <c r="A257" s="401"/>
      <c r="B257" s="401"/>
      <c r="C257" s="401"/>
      <c r="D257" s="401"/>
      <c r="E257" s="401"/>
      <c r="F257" s="552"/>
      <c r="G257" s="552"/>
      <c r="H257" s="401"/>
      <c r="I257" s="556"/>
      <c r="J257" s="556"/>
      <c r="K257" s="401"/>
      <c r="L257" s="401"/>
      <c r="M257" s="401"/>
      <c r="N257" s="401"/>
      <c r="O257" s="401"/>
      <c r="P257" s="401"/>
      <c r="Q257" s="401"/>
      <c r="R257" s="401"/>
      <c r="S257" s="401"/>
      <c r="T257" s="401"/>
      <c r="U257" s="401"/>
      <c r="V257" s="401"/>
      <c r="W257" s="555"/>
      <c r="X257" s="401"/>
      <c r="Y257" s="401"/>
      <c r="Z257" s="401"/>
    </row>
    <row r="258" ht="12.75" customHeight="1">
      <c r="A258" s="401"/>
      <c r="B258" s="401"/>
      <c r="C258" s="401"/>
      <c r="D258" s="401"/>
      <c r="E258" s="401"/>
      <c r="F258" s="550"/>
      <c r="G258" s="550"/>
      <c r="H258" s="401"/>
      <c r="I258" s="401"/>
      <c r="J258" s="401"/>
      <c r="K258" s="401"/>
      <c r="L258" s="401"/>
      <c r="M258" s="401"/>
      <c r="N258" s="401"/>
      <c r="O258" s="401"/>
      <c r="P258" s="401"/>
      <c r="Q258" s="401"/>
      <c r="R258" s="401"/>
      <c r="S258" s="401"/>
      <c r="T258" s="401"/>
      <c r="U258" s="401"/>
      <c r="V258" s="401"/>
      <c r="W258" s="555"/>
      <c r="X258" s="401"/>
      <c r="Y258" s="401"/>
      <c r="Z258" s="401"/>
    </row>
    <row r="259" ht="12.75" customHeight="1">
      <c r="A259" s="401"/>
      <c r="B259" s="401"/>
      <c r="C259" s="401"/>
      <c r="D259" s="401"/>
      <c r="E259" s="401"/>
      <c r="F259" s="550"/>
      <c r="G259" s="550"/>
      <c r="H259" s="401"/>
      <c r="I259" s="401"/>
      <c r="J259" s="401"/>
      <c r="K259" s="401"/>
      <c r="L259" s="401"/>
      <c r="M259" s="401"/>
      <c r="N259" s="401"/>
      <c r="O259" s="401"/>
      <c r="P259" s="401"/>
      <c r="Q259" s="401"/>
      <c r="R259" s="401"/>
      <c r="S259" s="401"/>
      <c r="T259" s="401"/>
      <c r="U259" s="401"/>
      <c r="V259" s="401"/>
      <c r="W259" s="555"/>
      <c r="X259" s="401"/>
      <c r="Y259" s="401"/>
      <c r="Z259" s="401"/>
    </row>
    <row r="260" ht="12.75" customHeight="1">
      <c r="A260" s="401"/>
      <c r="B260" s="401"/>
      <c r="C260" s="401"/>
      <c r="D260" s="401"/>
      <c r="E260" s="401"/>
      <c r="F260" s="550"/>
      <c r="G260" s="550"/>
      <c r="H260" s="401"/>
      <c r="I260" s="401"/>
      <c r="J260" s="401"/>
      <c r="K260" s="401"/>
      <c r="L260" s="401"/>
      <c r="M260" s="401"/>
      <c r="N260" s="401"/>
      <c r="O260" s="401"/>
      <c r="P260" s="401"/>
      <c r="Q260" s="401"/>
      <c r="R260" s="401"/>
      <c r="S260" s="401"/>
      <c r="T260" s="401"/>
      <c r="U260" s="401"/>
      <c r="V260" s="401"/>
      <c r="W260" s="555"/>
      <c r="X260" s="401"/>
      <c r="Y260" s="401"/>
      <c r="Z260" s="401"/>
    </row>
    <row r="261" ht="19.5" customHeight="1">
      <c r="A261" s="561"/>
      <c r="B261" s="401"/>
      <c r="C261" s="401"/>
      <c r="D261" s="401"/>
      <c r="E261" s="401"/>
      <c r="F261" s="550"/>
      <c r="G261" s="550"/>
      <c r="H261" s="401"/>
      <c r="I261" s="401"/>
      <c r="J261" s="401"/>
      <c r="K261" s="401"/>
      <c r="L261" s="401"/>
      <c r="M261" s="401"/>
      <c r="N261" s="401"/>
      <c r="O261" s="401"/>
      <c r="P261" s="401"/>
      <c r="Q261" s="401"/>
      <c r="R261" s="401"/>
      <c r="S261" s="401"/>
      <c r="T261" s="401"/>
      <c r="U261" s="401"/>
      <c r="V261" s="401"/>
      <c r="W261" s="555"/>
      <c r="X261" s="401"/>
      <c r="Y261" s="401"/>
      <c r="Z261" s="401"/>
    </row>
    <row r="262" ht="15.75" customHeight="1">
      <c r="A262" s="562"/>
      <c r="B262" s="508"/>
      <c r="C262" s="508"/>
      <c r="D262" s="508"/>
      <c r="E262" s="508"/>
      <c r="F262" s="563"/>
      <c r="G262" s="563"/>
      <c r="H262" s="508"/>
      <c r="I262" s="562"/>
      <c r="J262" s="562"/>
      <c r="K262" s="562"/>
      <c r="L262" s="562"/>
      <c r="M262" s="562"/>
      <c r="N262" s="562"/>
      <c r="O262" s="562"/>
      <c r="P262" s="562"/>
      <c r="Q262" s="562"/>
      <c r="R262" s="562"/>
      <c r="S262" s="562"/>
      <c r="T262" s="562"/>
      <c r="U262" s="562"/>
      <c r="V262" s="562"/>
      <c r="W262" s="555"/>
      <c r="X262" s="562"/>
      <c r="Y262" s="562"/>
      <c r="Z262" s="562"/>
    </row>
    <row r="263" ht="15.75" customHeight="1">
      <c r="A263" s="527"/>
      <c r="B263" s="527"/>
      <c r="C263" s="527"/>
      <c r="D263" s="527"/>
      <c r="E263" s="527"/>
      <c r="F263" s="564"/>
      <c r="G263" s="564"/>
      <c r="H263" s="527"/>
      <c r="I263" s="401"/>
      <c r="J263" s="401"/>
      <c r="K263" s="401"/>
      <c r="L263" s="401"/>
      <c r="M263" s="401"/>
      <c r="N263" s="401"/>
      <c r="O263" s="401"/>
      <c r="P263" s="401"/>
      <c r="Q263" s="401"/>
      <c r="R263" s="401"/>
      <c r="S263" s="401"/>
      <c r="T263" s="401"/>
      <c r="U263" s="401"/>
      <c r="V263" s="401"/>
      <c r="W263" s="555"/>
      <c r="X263" s="401"/>
      <c r="Y263" s="401"/>
      <c r="Z263" s="401"/>
    </row>
    <row r="264" ht="15.75" customHeight="1">
      <c r="A264" s="527"/>
      <c r="B264" s="527"/>
      <c r="C264" s="565"/>
      <c r="D264" s="566"/>
      <c r="E264" s="566"/>
      <c r="F264" s="567"/>
      <c r="G264" s="567"/>
      <c r="H264" s="566"/>
      <c r="I264" s="401"/>
      <c r="J264" s="401"/>
      <c r="K264" s="401"/>
      <c r="L264" s="401"/>
      <c r="M264" s="401"/>
      <c r="N264" s="401"/>
      <c r="O264" s="401"/>
      <c r="P264" s="401"/>
      <c r="Q264" s="401"/>
      <c r="R264" s="401"/>
      <c r="S264" s="401"/>
      <c r="T264" s="401"/>
      <c r="U264" s="401"/>
      <c r="V264" s="401"/>
      <c r="W264" s="555"/>
      <c r="X264" s="401"/>
      <c r="Y264" s="401"/>
      <c r="Z264" s="401"/>
    </row>
    <row r="265" ht="15.75" customHeight="1">
      <c r="A265" s="527"/>
      <c r="B265" s="553"/>
      <c r="C265" s="568"/>
      <c r="D265" s="568"/>
      <c r="E265" s="568"/>
      <c r="F265" s="569"/>
      <c r="G265" s="569"/>
      <c r="H265" s="568"/>
      <c r="I265" s="401"/>
      <c r="J265" s="401"/>
      <c r="K265" s="401"/>
      <c r="L265" s="401"/>
      <c r="M265" s="401"/>
      <c r="N265" s="401"/>
      <c r="O265" s="401"/>
      <c r="P265" s="401"/>
      <c r="Q265" s="401"/>
      <c r="R265" s="401"/>
      <c r="S265" s="401"/>
      <c r="T265" s="401"/>
      <c r="U265" s="401"/>
      <c r="V265" s="401"/>
      <c r="W265" s="555"/>
      <c r="X265" s="401"/>
      <c r="Y265" s="401"/>
      <c r="Z265" s="401"/>
    </row>
    <row r="266" ht="15.75" customHeight="1">
      <c r="A266" s="401"/>
      <c r="B266" s="401"/>
      <c r="C266" s="401"/>
      <c r="D266" s="509" t="s">
        <v>50</v>
      </c>
      <c r="E266" s="509" t="s">
        <v>48</v>
      </c>
      <c r="F266" s="564">
        <f>+D263+E263+F263+H263</f>
        <v>0</v>
      </c>
      <c r="G266" s="552"/>
      <c r="H266" s="401"/>
      <c r="I266" s="401"/>
      <c r="J266" s="401"/>
      <c r="K266" s="401"/>
      <c r="L266" s="401"/>
      <c r="M266" s="401"/>
      <c r="N266" s="401"/>
      <c r="O266" s="401"/>
      <c r="P266" s="401"/>
      <c r="Q266" s="401"/>
      <c r="R266" s="401"/>
      <c r="S266" s="401"/>
      <c r="T266" s="401"/>
      <c r="U266" s="401"/>
      <c r="V266" s="401"/>
      <c r="W266" s="559"/>
      <c r="X266" s="401"/>
      <c r="Y266" s="401"/>
      <c r="Z266" s="401"/>
    </row>
    <row r="267" ht="15.75" customHeight="1">
      <c r="A267" s="401"/>
      <c r="B267" s="401"/>
      <c r="C267" s="401"/>
      <c r="D267" s="560"/>
      <c r="E267" s="509" t="s">
        <v>49</v>
      </c>
      <c r="F267" s="567" t="str">
        <f>+F266/B263</f>
        <v>#DIV/0!</v>
      </c>
      <c r="G267" s="567"/>
      <c r="H267" s="401"/>
      <c r="I267" s="401"/>
      <c r="J267" s="401"/>
      <c r="K267" s="401"/>
      <c r="L267" s="401"/>
      <c r="M267" s="401"/>
      <c r="N267" s="401"/>
      <c r="O267" s="401"/>
      <c r="P267" s="401"/>
      <c r="Q267" s="401"/>
      <c r="R267" s="401"/>
      <c r="S267" s="401"/>
      <c r="T267" s="401"/>
      <c r="U267" s="401"/>
      <c r="V267" s="401"/>
      <c r="W267" s="559"/>
      <c r="X267" s="401"/>
      <c r="Y267" s="401"/>
      <c r="Z267" s="401"/>
    </row>
    <row r="268" ht="15.75" customHeight="1">
      <c r="A268" s="562"/>
      <c r="B268" s="562"/>
      <c r="C268" s="509" t="s">
        <v>51</v>
      </c>
      <c r="D268" s="562"/>
      <c r="E268" s="562"/>
      <c r="F268" s="570"/>
      <c r="G268" s="570"/>
      <c r="H268" s="562"/>
      <c r="I268" s="401"/>
      <c r="J268" s="401"/>
      <c r="K268" s="401"/>
      <c r="L268" s="401"/>
      <c r="M268" s="401"/>
      <c r="N268" s="401"/>
      <c r="O268" s="401"/>
      <c r="P268" s="401"/>
      <c r="Q268" s="401"/>
      <c r="R268" s="401"/>
      <c r="S268" s="401"/>
      <c r="T268" s="401"/>
      <c r="U268" s="401"/>
      <c r="V268" s="401"/>
      <c r="W268" s="550"/>
      <c r="X268" s="401"/>
      <c r="Y268" s="401"/>
      <c r="Z268" s="401"/>
    </row>
    <row r="269" ht="15.75" customHeight="1">
      <c r="A269" s="562"/>
      <c r="B269" s="562"/>
      <c r="C269" s="562"/>
      <c r="D269" s="509" t="s">
        <v>52</v>
      </c>
      <c r="E269" s="562"/>
      <c r="F269" s="570">
        <f>+F268*(F266-F263)</f>
        <v>0</v>
      </c>
      <c r="G269" s="570"/>
      <c r="H269" s="562"/>
      <c r="I269" s="401"/>
      <c r="J269" s="401"/>
      <c r="K269" s="401"/>
      <c r="L269" s="401"/>
      <c r="M269" s="401"/>
      <c r="N269" s="401"/>
      <c r="O269" s="401"/>
      <c r="P269" s="401"/>
      <c r="Q269" s="401"/>
      <c r="R269" s="401"/>
      <c r="S269" s="401"/>
      <c r="T269" s="401"/>
      <c r="U269" s="401"/>
      <c r="V269" s="401"/>
      <c r="W269" s="401"/>
      <c r="X269" s="401"/>
      <c r="Y269" s="401"/>
      <c r="Z269" s="401"/>
    </row>
    <row r="270" ht="12.75" customHeight="1">
      <c r="A270" s="401"/>
      <c r="B270" s="401"/>
      <c r="C270" s="401"/>
      <c r="D270" s="401"/>
      <c r="E270" s="401"/>
      <c r="F270" s="550"/>
      <c r="G270" s="550"/>
      <c r="H270" s="401"/>
      <c r="I270" s="401"/>
      <c r="J270" s="401"/>
      <c r="K270" s="401"/>
      <c r="L270" s="401"/>
      <c r="M270" s="401"/>
      <c r="N270" s="401"/>
      <c r="O270" s="401"/>
      <c r="P270" s="401"/>
      <c r="Q270" s="401"/>
      <c r="R270" s="401"/>
      <c r="S270" s="401"/>
      <c r="T270" s="401"/>
      <c r="U270" s="401"/>
      <c r="V270" s="401"/>
      <c r="W270" s="401"/>
      <c r="X270" s="401"/>
      <c r="Y270" s="401"/>
      <c r="Z270" s="401"/>
    </row>
    <row r="271" ht="12.75" customHeight="1">
      <c r="A271" s="401"/>
      <c r="B271" s="401"/>
      <c r="C271" s="401"/>
      <c r="D271" s="401"/>
      <c r="E271" s="401"/>
      <c r="F271" s="550"/>
      <c r="G271" s="550"/>
      <c r="H271" s="401"/>
      <c r="I271" s="401"/>
      <c r="J271" s="401"/>
      <c r="K271" s="401"/>
      <c r="L271" s="401"/>
      <c r="M271" s="401"/>
      <c r="N271" s="401"/>
      <c r="O271" s="401"/>
      <c r="P271" s="401"/>
      <c r="Q271" s="401"/>
      <c r="R271" s="401"/>
      <c r="S271" s="401"/>
      <c r="T271" s="401"/>
      <c r="U271" s="401"/>
      <c r="V271" s="401"/>
      <c r="W271" s="401"/>
      <c r="X271" s="401"/>
      <c r="Y271" s="401"/>
      <c r="Z271" s="401"/>
    </row>
    <row r="272" ht="12.75" customHeight="1">
      <c r="A272" s="401"/>
      <c r="B272" s="401"/>
      <c r="C272" s="401"/>
      <c r="D272" s="401"/>
      <c r="E272" s="401"/>
      <c r="F272" s="550"/>
      <c r="G272" s="550"/>
      <c r="H272" s="401"/>
      <c r="I272" s="401"/>
      <c r="J272" s="401"/>
      <c r="K272" s="401"/>
      <c r="L272" s="401"/>
      <c r="M272" s="401"/>
      <c r="N272" s="401"/>
      <c r="O272" s="401"/>
      <c r="P272" s="401"/>
      <c r="Q272" s="401"/>
      <c r="R272" s="401"/>
      <c r="S272" s="401"/>
      <c r="T272" s="401"/>
      <c r="U272" s="401"/>
      <c r="V272" s="401"/>
      <c r="W272" s="401"/>
      <c r="X272" s="401"/>
      <c r="Y272" s="401"/>
      <c r="Z272" s="401"/>
    </row>
    <row r="273" ht="12.75" customHeight="1">
      <c r="A273" s="401"/>
      <c r="B273" s="401"/>
      <c r="C273" s="401"/>
      <c r="D273" s="401"/>
      <c r="E273" s="401"/>
      <c r="F273" s="550"/>
      <c r="G273" s="550"/>
      <c r="H273" s="401"/>
      <c r="I273" s="401"/>
      <c r="J273" s="401"/>
      <c r="K273" s="401"/>
      <c r="L273" s="401"/>
      <c r="M273" s="401"/>
      <c r="N273" s="401"/>
      <c r="O273" s="401"/>
      <c r="P273" s="401"/>
      <c r="Q273" s="401"/>
      <c r="R273" s="401"/>
      <c r="S273" s="401"/>
      <c r="T273" s="401"/>
      <c r="U273" s="401"/>
      <c r="V273" s="401"/>
      <c r="W273" s="401"/>
      <c r="X273" s="401"/>
      <c r="Y273" s="401"/>
      <c r="Z273" s="401"/>
    </row>
    <row r="274" ht="12.75" customHeight="1">
      <c r="A274" s="401"/>
      <c r="B274" s="401"/>
      <c r="C274" s="401"/>
      <c r="D274" s="401"/>
      <c r="E274" s="401"/>
      <c r="F274" s="550"/>
      <c r="G274" s="550"/>
      <c r="H274" s="401"/>
      <c r="I274" s="401"/>
      <c r="J274" s="401"/>
      <c r="K274" s="401"/>
      <c r="L274" s="401"/>
      <c r="M274" s="401"/>
      <c r="N274" s="401"/>
      <c r="O274" s="401"/>
      <c r="P274" s="401"/>
      <c r="Q274" s="401"/>
      <c r="R274" s="401"/>
      <c r="S274" s="401"/>
      <c r="T274" s="401"/>
      <c r="U274" s="401"/>
      <c r="V274" s="401"/>
      <c r="W274" s="401"/>
      <c r="X274" s="401"/>
      <c r="Y274" s="401"/>
      <c r="Z274" s="401"/>
    </row>
    <row r="275" ht="12.75" customHeight="1">
      <c r="A275" s="401"/>
      <c r="B275" s="401"/>
      <c r="C275" s="401"/>
      <c r="D275" s="401"/>
      <c r="E275" s="401"/>
      <c r="F275" s="550"/>
      <c r="G275" s="550"/>
      <c r="H275" s="401"/>
      <c r="I275" s="401"/>
      <c r="J275" s="401"/>
      <c r="K275" s="401"/>
      <c r="L275" s="401"/>
      <c r="M275" s="401"/>
      <c r="N275" s="401"/>
      <c r="O275" s="401"/>
      <c r="P275" s="401"/>
      <c r="Q275" s="401"/>
      <c r="R275" s="401"/>
      <c r="S275" s="401"/>
      <c r="T275" s="401"/>
      <c r="U275" s="401"/>
      <c r="V275" s="401"/>
      <c r="W275" s="401"/>
      <c r="X275" s="401"/>
      <c r="Y275" s="401"/>
      <c r="Z275" s="401"/>
    </row>
    <row r="276" ht="12.75" customHeight="1">
      <c r="A276" s="401"/>
      <c r="B276" s="401"/>
      <c r="C276" s="401"/>
      <c r="D276" s="401"/>
      <c r="E276" s="401"/>
      <c r="F276" s="550"/>
      <c r="G276" s="550"/>
      <c r="H276" s="401"/>
      <c r="I276" s="401"/>
      <c r="J276" s="401"/>
      <c r="K276" s="401"/>
      <c r="L276" s="401"/>
      <c r="M276" s="401"/>
      <c r="N276" s="401"/>
      <c r="O276" s="401"/>
      <c r="P276" s="401"/>
      <c r="Q276" s="401"/>
      <c r="R276" s="401"/>
      <c r="S276" s="401"/>
      <c r="T276" s="401"/>
      <c r="U276" s="401"/>
      <c r="V276" s="401"/>
      <c r="W276" s="401"/>
      <c r="X276" s="401"/>
      <c r="Y276" s="401"/>
      <c r="Z276" s="401"/>
    </row>
    <row r="277" ht="12.75" customHeight="1">
      <c r="A277" s="401"/>
      <c r="B277" s="401"/>
      <c r="C277" s="401"/>
      <c r="D277" s="401"/>
      <c r="E277" s="401"/>
      <c r="F277" s="550"/>
      <c r="G277" s="550"/>
      <c r="H277" s="401"/>
      <c r="I277" s="401"/>
      <c r="J277" s="401"/>
      <c r="K277" s="401"/>
      <c r="L277" s="401"/>
      <c r="M277" s="401"/>
      <c r="N277" s="401"/>
      <c r="O277" s="401"/>
      <c r="P277" s="401"/>
      <c r="Q277" s="401"/>
      <c r="R277" s="401"/>
      <c r="S277" s="401"/>
      <c r="T277" s="401"/>
      <c r="U277" s="401"/>
      <c r="V277" s="401"/>
      <c r="W277" s="401"/>
      <c r="X277" s="401"/>
      <c r="Y277" s="401"/>
      <c r="Z277" s="401"/>
    </row>
    <row r="278" ht="12.75" customHeight="1">
      <c r="A278" s="401"/>
      <c r="B278" s="401"/>
      <c r="C278" s="401"/>
      <c r="D278" s="401"/>
      <c r="E278" s="401"/>
      <c r="F278" s="550"/>
      <c r="G278" s="550"/>
      <c r="H278" s="401"/>
      <c r="I278" s="401"/>
      <c r="J278" s="401"/>
      <c r="K278" s="401"/>
      <c r="L278" s="401"/>
      <c r="M278" s="401"/>
      <c r="N278" s="401"/>
      <c r="O278" s="401"/>
      <c r="P278" s="401"/>
      <c r="Q278" s="401"/>
      <c r="R278" s="401"/>
      <c r="S278" s="401"/>
      <c r="T278" s="401"/>
      <c r="U278" s="401"/>
      <c r="V278" s="401"/>
      <c r="W278" s="401"/>
      <c r="X278" s="401"/>
      <c r="Y278" s="401"/>
      <c r="Z278" s="401"/>
    </row>
    <row r="279" ht="12.75" customHeight="1">
      <c r="A279" s="401"/>
      <c r="B279" s="401"/>
      <c r="C279" s="401"/>
      <c r="D279" s="401"/>
      <c r="E279" s="401"/>
      <c r="F279" s="550"/>
      <c r="G279" s="550"/>
      <c r="H279" s="401"/>
      <c r="I279" s="401"/>
      <c r="J279" s="401"/>
      <c r="K279" s="401"/>
      <c r="L279" s="401"/>
      <c r="M279" s="401"/>
      <c r="N279" s="401"/>
      <c r="O279" s="401"/>
      <c r="P279" s="401"/>
      <c r="Q279" s="401"/>
      <c r="R279" s="401"/>
      <c r="S279" s="401"/>
      <c r="T279" s="401"/>
      <c r="U279" s="401"/>
      <c r="V279" s="401"/>
      <c r="W279" s="401"/>
      <c r="X279" s="401"/>
      <c r="Y279" s="401"/>
      <c r="Z279" s="401"/>
    </row>
    <row r="280" ht="12.75" customHeight="1">
      <c r="A280" s="401"/>
      <c r="B280" s="401"/>
      <c r="C280" s="401"/>
      <c r="D280" s="401"/>
      <c r="E280" s="401"/>
      <c r="F280" s="550"/>
      <c r="G280" s="550"/>
      <c r="H280" s="401"/>
      <c r="I280" s="401"/>
      <c r="J280" s="401"/>
      <c r="K280" s="401"/>
      <c r="L280" s="401"/>
      <c r="M280" s="401"/>
      <c r="N280" s="401"/>
      <c r="O280" s="401"/>
      <c r="P280" s="401"/>
      <c r="Q280" s="401"/>
      <c r="R280" s="401"/>
      <c r="S280" s="401"/>
      <c r="T280" s="401"/>
      <c r="U280" s="401"/>
      <c r="V280" s="401"/>
      <c r="W280" s="401"/>
      <c r="X280" s="401"/>
      <c r="Y280" s="401"/>
      <c r="Z280" s="401"/>
    </row>
    <row r="281" ht="12.75" customHeight="1">
      <c r="A281" s="401"/>
      <c r="B281" s="401"/>
      <c r="C281" s="401"/>
      <c r="D281" s="401"/>
      <c r="E281" s="401"/>
      <c r="F281" s="550"/>
      <c r="G281" s="550"/>
      <c r="H281" s="401"/>
      <c r="I281" s="401"/>
      <c r="J281" s="401"/>
      <c r="K281" s="401"/>
      <c r="L281" s="401"/>
      <c r="M281" s="401"/>
      <c r="N281" s="401"/>
      <c r="O281" s="401"/>
      <c r="P281" s="401"/>
      <c r="Q281" s="401"/>
      <c r="R281" s="401"/>
      <c r="S281" s="401"/>
      <c r="T281" s="401"/>
      <c r="U281" s="401"/>
      <c r="V281" s="401"/>
      <c r="W281" s="401"/>
      <c r="X281" s="401"/>
      <c r="Y281" s="401"/>
      <c r="Z281" s="401"/>
    </row>
    <row r="282" ht="12.75" customHeight="1">
      <c r="A282" s="401"/>
      <c r="B282" s="401"/>
      <c r="C282" s="401"/>
      <c r="D282" s="401"/>
      <c r="E282" s="401"/>
      <c r="F282" s="550"/>
      <c r="G282" s="550"/>
      <c r="H282" s="401"/>
      <c r="I282" s="401"/>
      <c r="J282" s="401"/>
      <c r="K282" s="401"/>
      <c r="L282" s="401"/>
      <c r="M282" s="401"/>
      <c r="N282" s="401"/>
      <c r="O282" s="401"/>
      <c r="P282" s="401"/>
      <c r="Q282" s="401"/>
      <c r="R282" s="401"/>
      <c r="S282" s="401"/>
      <c r="T282" s="401"/>
      <c r="U282" s="401"/>
      <c r="V282" s="401"/>
      <c r="W282" s="401"/>
      <c r="X282" s="401"/>
      <c r="Y282" s="401"/>
      <c r="Z282" s="401"/>
    </row>
    <row r="283" ht="12.75" customHeight="1">
      <c r="A283" s="401"/>
      <c r="B283" s="401"/>
      <c r="C283" s="401"/>
      <c r="D283" s="401"/>
      <c r="E283" s="401"/>
      <c r="F283" s="550"/>
      <c r="G283" s="550"/>
      <c r="H283" s="401"/>
      <c r="I283" s="401"/>
      <c r="J283" s="401"/>
      <c r="K283" s="401"/>
      <c r="L283" s="401"/>
      <c r="M283" s="401"/>
      <c r="N283" s="401"/>
      <c r="O283" s="401"/>
      <c r="P283" s="401"/>
      <c r="Q283" s="401"/>
      <c r="R283" s="401"/>
      <c r="S283" s="401"/>
      <c r="T283" s="401"/>
      <c r="U283" s="401"/>
      <c r="V283" s="401"/>
      <c r="W283" s="401"/>
      <c r="X283" s="401"/>
      <c r="Y283" s="401"/>
      <c r="Z283" s="401"/>
    </row>
    <row r="284" ht="12.75" customHeight="1">
      <c r="A284" s="401"/>
      <c r="B284" s="401"/>
      <c r="C284" s="401"/>
      <c r="D284" s="401"/>
      <c r="E284" s="401"/>
      <c r="F284" s="550"/>
      <c r="G284" s="550"/>
      <c r="H284" s="401"/>
      <c r="I284" s="401"/>
      <c r="J284" s="401"/>
      <c r="K284" s="401"/>
      <c r="L284" s="401"/>
      <c r="M284" s="401"/>
      <c r="N284" s="401"/>
      <c r="O284" s="401"/>
      <c r="P284" s="401"/>
      <c r="Q284" s="401"/>
      <c r="R284" s="401"/>
      <c r="S284" s="401"/>
      <c r="T284" s="401"/>
      <c r="U284" s="401"/>
      <c r="V284" s="401"/>
      <c r="W284" s="401"/>
      <c r="X284" s="401"/>
      <c r="Y284" s="401"/>
      <c r="Z284" s="401"/>
    </row>
    <row r="285" ht="12.75" customHeight="1">
      <c r="A285" s="401"/>
      <c r="B285" s="401"/>
      <c r="C285" s="401"/>
      <c r="D285" s="401"/>
      <c r="E285" s="401"/>
      <c r="F285" s="550"/>
      <c r="G285" s="550"/>
      <c r="H285" s="401"/>
      <c r="I285" s="401"/>
      <c r="J285" s="401"/>
      <c r="K285" s="401"/>
      <c r="L285" s="401"/>
      <c r="M285" s="401"/>
      <c r="N285" s="401"/>
      <c r="O285" s="401"/>
      <c r="P285" s="401"/>
      <c r="Q285" s="401"/>
      <c r="R285" s="401"/>
      <c r="S285" s="401"/>
      <c r="T285" s="401"/>
      <c r="U285" s="401"/>
      <c r="V285" s="401"/>
      <c r="W285" s="401"/>
      <c r="X285" s="401"/>
      <c r="Y285" s="401"/>
      <c r="Z285" s="401"/>
    </row>
    <row r="286" ht="12.75" customHeight="1">
      <c r="A286" s="401"/>
      <c r="B286" s="401"/>
      <c r="C286" s="401"/>
      <c r="D286" s="401"/>
      <c r="E286" s="401"/>
      <c r="F286" s="550"/>
      <c r="G286" s="550"/>
      <c r="H286" s="401"/>
      <c r="I286" s="401"/>
      <c r="J286" s="401"/>
      <c r="K286" s="401"/>
      <c r="L286" s="401"/>
      <c r="M286" s="401"/>
      <c r="N286" s="401"/>
      <c r="O286" s="401"/>
      <c r="P286" s="401"/>
      <c r="Q286" s="401"/>
      <c r="R286" s="401"/>
      <c r="S286" s="401"/>
      <c r="T286" s="401"/>
      <c r="U286" s="401"/>
      <c r="V286" s="401"/>
      <c r="W286" s="401"/>
      <c r="X286" s="401"/>
      <c r="Y286" s="401"/>
      <c r="Z286" s="401"/>
    </row>
    <row r="287" ht="12.75" customHeight="1">
      <c r="A287" s="401"/>
      <c r="B287" s="401"/>
      <c r="C287" s="401"/>
      <c r="D287" s="401"/>
      <c r="E287" s="401"/>
      <c r="F287" s="550"/>
      <c r="G287" s="550"/>
      <c r="H287" s="401"/>
      <c r="I287" s="401"/>
      <c r="J287" s="401"/>
      <c r="K287" s="401"/>
      <c r="L287" s="401"/>
      <c r="M287" s="401"/>
      <c r="N287" s="401"/>
      <c r="O287" s="401"/>
      <c r="P287" s="401"/>
      <c r="Q287" s="401"/>
      <c r="R287" s="401"/>
      <c r="S287" s="401"/>
      <c r="T287" s="401"/>
      <c r="U287" s="401"/>
      <c r="V287" s="401"/>
      <c r="W287" s="401"/>
      <c r="X287" s="401"/>
      <c r="Y287" s="401"/>
      <c r="Z287" s="401"/>
    </row>
    <row r="288" ht="12.75" customHeight="1">
      <c r="A288" s="401"/>
      <c r="B288" s="401"/>
      <c r="C288" s="401"/>
      <c r="D288" s="401"/>
      <c r="E288" s="401"/>
      <c r="F288" s="550"/>
      <c r="G288" s="550"/>
      <c r="H288" s="401"/>
      <c r="I288" s="401"/>
      <c r="J288" s="401"/>
      <c r="K288" s="401"/>
      <c r="L288" s="401"/>
      <c r="M288" s="401"/>
      <c r="N288" s="401"/>
      <c r="O288" s="401"/>
      <c r="P288" s="401"/>
      <c r="Q288" s="401"/>
      <c r="R288" s="401"/>
      <c r="S288" s="401"/>
      <c r="T288" s="401"/>
      <c r="U288" s="401"/>
      <c r="V288" s="401"/>
      <c r="W288" s="401"/>
      <c r="X288" s="401"/>
      <c r="Y288" s="401"/>
      <c r="Z288" s="401"/>
    </row>
    <row r="289" ht="12.75" customHeight="1">
      <c r="A289" s="401"/>
      <c r="B289" s="401"/>
      <c r="C289" s="401"/>
      <c r="D289" s="401"/>
      <c r="E289" s="401"/>
      <c r="F289" s="550"/>
      <c r="G289" s="550"/>
      <c r="H289" s="401"/>
      <c r="I289" s="401"/>
      <c r="J289" s="401"/>
      <c r="K289" s="401"/>
      <c r="L289" s="401"/>
      <c r="M289" s="401"/>
      <c r="N289" s="401"/>
      <c r="O289" s="401"/>
      <c r="P289" s="401"/>
      <c r="Q289" s="401"/>
      <c r="R289" s="401"/>
      <c r="S289" s="401"/>
      <c r="T289" s="401"/>
      <c r="U289" s="401"/>
      <c r="V289" s="401"/>
      <c r="W289" s="401"/>
      <c r="X289" s="401"/>
      <c r="Y289" s="401"/>
      <c r="Z289" s="401"/>
    </row>
    <row r="290" ht="12.75" customHeight="1">
      <c r="A290" s="401"/>
      <c r="B290" s="401"/>
      <c r="C290" s="401"/>
      <c r="D290" s="401"/>
      <c r="E290" s="401"/>
      <c r="F290" s="550"/>
      <c r="G290" s="550"/>
      <c r="H290" s="401"/>
      <c r="I290" s="401"/>
      <c r="J290" s="401"/>
      <c r="K290" s="401"/>
      <c r="L290" s="401"/>
      <c r="M290" s="401"/>
      <c r="N290" s="401"/>
      <c r="O290" s="401"/>
      <c r="P290" s="401"/>
      <c r="Q290" s="401"/>
      <c r="R290" s="401"/>
      <c r="S290" s="401"/>
      <c r="T290" s="401"/>
      <c r="U290" s="401"/>
      <c r="V290" s="401"/>
      <c r="W290" s="401"/>
      <c r="X290" s="401"/>
      <c r="Y290" s="401"/>
      <c r="Z290" s="401"/>
    </row>
    <row r="291" ht="12.75" customHeight="1">
      <c r="A291" s="401"/>
      <c r="B291" s="401"/>
      <c r="C291" s="401"/>
      <c r="D291" s="401"/>
      <c r="E291" s="401"/>
      <c r="F291" s="550"/>
      <c r="G291" s="550"/>
      <c r="H291" s="401"/>
      <c r="I291" s="401"/>
      <c r="J291" s="401"/>
      <c r="K291" s="401"/>
      <c r="L291" s="401"/>
      <c r="M291" s="401"/>
      <c r="N291" s="401"/>
      <c r="O291" s="401"/>
      <c r="P291" s="401"/>
      <c r="Q291" s="401"/>
      <c r="R291" s="401"/>
      <c r="S291" s="401"/>
      <c r="T291" s="401"/>
      <c r="U291" s="401"/>
      <c r="V291" s="401"/>
      <c r="W291" s="401"/>
      <c r="X291" s="401"/>
      <c r="Y291" s="401"/>
      <c r="Z291" s="401"/>
    </row>
    <row r="292" ht="12.75" customHeight="1">
      <c r="A292" s="401"/>
      <c r="B292" s="401"/>
      <c r="C292" s="401"/>
      <c r="D292" s="401"/>
      <c r="E292" s="401"/>
      <c r="F292" s="550"/>
      <c r="G292" s="550"/>
      <c r="H292" s="401"/>
      <c r="I292" s="401"/>
      <c r="J292" s="401"/>
      <c r="K292" s="401"/>
      <c r="L292" s="401"/>
      <c r="M292" s="401"/>
      <c r="N292" s="401"/>
      <c r="O292" s="401"/>
      <c r="P292" s="401"/>
      <c r="Q292" s="401"/>
      <c r="R292" s="401"/>
      <c r="S292" s="401"/>
      <c r="T292" s="401"/>
      <c r="U292" s="401"/>
      <c r="V292" s="401"/>
      <c r="W292" s="401"/>
      <c r="X292" s="401"/>
      <c r="Y292" s="401"/>
      <c r="Z292" s="401"/>
    </row>
    <row r="293" ht="12.75" customHeight="1">
      <c r="A293" s="401"/>
      <c r="B293" s="401"/>
      <c r="C293" s="401"/>
      <c r="D293" s="401"/>
      <c r="E293" s="401"/>
      <c r="F293" s="550"/>
      <c r="G293" s="550"/>
      <c r="H293" s="401"/>
      <c r="I293" s="401"/>
      <c r="J293" s="401"/>
      <c r="K293" s="401"/>
      <c r="L293" s="401"/>
      <c r="M293" s="401"/>
      <c r="N293" s="401"/>
      <c r="O293" s="401"/>
      <c r="P293" s="401"/>
      <c r="Q293" s="401"/>
      <c r="R293" s="401"/>
      <c r="S293" s="401"/>
      <c r="T293" s="401"/>
      <c r="U293" s="401"/>
      <c r="V293" s="401"/>
      <c r="W293" s="401"/>
      <c r="X293" s="401"/>
      <c r="Y293" s="401"/>
      <c r="Z293" s="401"/>
    </row>
    <row r="294" ht="12.75" customHeight="1">
      <c r="A294" s="401"/>
      <c r="B294" s="401"/>
      <c r="C294" s="401"/>
      <c r="D294" s="401"/>
      <c r="E294" s="401"/>
      <c r="F294" s="550"/>
      <c r="G294" s="550"/>
      <c r="H294" s="401"/>
      <c r="I294" s="401"/>
      <c r="J294" s="401"/>
      <c r="K294" s="401"/>
      <c r="L294" s="401"/>
      <c r="M294" s="401"/>
      <c r="N294" s="401"/>
      <c r="O294" s="401"/>
      <c r="P294" s="401"/>
      <c r="Q294" s="401"/>
      <c r="R294" s="401"/>
      <c r="S294" s="401"/>
      <c r="T294" s="401"/>
      <c r="U294" s="401"/>
      <c r="V294" s="401"/>
      <c r="W294" s="401"/>
      <c r="X294" s="401"/>
      <c r="Y294" s="401"/>
      <c r="Z294" s="401"/>
    </row>
    <row r="295" ht="12.75" customHeight="1">
      <c r="A295" s="401"/>
      <c r="B295" s="401"/>
      <c r="C295" s="401"/>
      <c r="D295" s="401"/>
      <c r="E295" s="401"/>
      <c r="F295" s="550"/>
      <c r="G295" s="550"/>
      <c r="H295" s="401"/>
      <c r="I295" s="401"/>
      <c r="J295" s="401"/>
      <c r="K295" s="401"/>
      <c r="L295" s="401"/>
      <c r="M295" s="401"/>
      <c r="N295" s="401"/>
      <c r="O295" s="401"/>
      <c r="P295" s="401"/>
      <c r="Q295" s="401"/>
      <c r="R295" s="401"/>
      <c r="S295" s="401"/>
      <c r="T295" s="401"/>
      <c r="U295" s="401"/>
      <c r="V295" s="401"/>
      <c r="W295" s="401"/>
      <c r="X295" s="401"/>
      <c r="Y295" s="401"/>
      <c r="Z295" s="401"/>
    </row>
    <row r="296" ht="12.75" customHeight="1">
      <c r="A296" s="401"/>
      <c r="B296" s="401"/>
      <c r="C296" s="401"/>
      <c r="D296" s="401"/>
      <c r="E296" s="401"/>
      <c r="F296" s="550"/>
      <c r="G296" s="550"/>
      <c r="H296" s="401"/>
      <c r="I296" s="401"/>
      <c r="J296" s="401"/>
      <c r="K296" s="401"/>
      <c r="L296" s="401"/>
      <c r="M296" s="401"/>
      <c r="N296" s="401"/>
      <c r="O296" s="401"/>
      <c r="P296" s="401"/>
      <c r="Q296" s="401"/>
      <c r="R296" s="401"/>
      <c r="S296" s="401"/>
      <c r="T296" s="401"/>
      <c r="U296" s="401"/>
      <c r="V296" s="401"/>
      <c r="W296" s="401"/>
      <c r="X296" s="401"/>
      <c r="Y296" s="401"/>
      <c r="Z296" s="401"/>
    </row>
    <row r="297" ht="12.75" customHeight="1">
      <c r="A297" s="401"/>
      <c r="B297" s="401"/>
      <c r="C297" s="401"/>
      <c r="D297" s="401"/>
      <c r="E297" s="401"/>
      <c r="F297" s="550"/>
      <c r="G297" s="550"/>
      <c r="H297" s="401"/>
      <c r="I297" s="401"/>
      <c r="J297" s="401"/>
      <c r="K297" s="401"/>
      <c r="L297" s="401"/>
      <c r="M297" s="401"/>
      <c r="N297" s="401"/>
      <c r="O297" s="401"/>
      <c r="P297" s="401"/>
      <c r="Q297" s="401"/>
      <c r="R297" s="401"/>
      <c r="S297" s="401"/>
      <c r="T297" s="401"/>
      <c r="U297" s="401"/>
      <c r="V297" s="401"/>
      <c r="W297" s="401"/>
      <c r="X297" s="401"/>
      <c r="Y297" s="401"/>
      <c r="Z297" s="401"/>
    </row>
    <row r="298" ht="12.75" customHeight="1">
      <c r="A298" s="401"/>
      <c r="B298" s="401"/>
      <c r="C298" s="401"/>
      <c r="D298" s="401"/>
      <c r="E298" s="401"/>
      <c r="F298" s="550"/>
      <c r="G298" s="550"/>
      <c r="H298" s="401"/>
      <c r="I298" s="401"/>
      <c r="J298" s="401"/>
      <c r="K298" s="401"/>
      <c r="L298" s="401"/>
      <c r="M298" s="401"/>
      <c r="N298" s="401"/>
      <c r="O298" s="401"/>
      <c r="P298" s="401"/>
      <c r="Q298" s="401"/>
      <c r="R298" s="401"/>
      <c r="S298" s="401"/>
      <c r="T298" s="401"/>
      <c r="U298" s="401"/>
      <c r="V298" s="401"/>
      <c r="W298" s="401"/>
      <c r="X298" s="401"/>
      <c r="Y298" s="401"/>
      <c r="Z298" s="401"/>
    </row>
    <row r="299" ht="12.75" customHeight="1">
      <c r="A299" s="401"/>
      <c r="B299" s="401"/>
      <c r="C299" s="401"/>
      <c r="D299" s="401"/>
      <c r="E299" s="401"/>
      <c r="F299" s="550"/>
      <c r="G299" s="550"/>
      <c r="H299" s="401"/>
      <c r="I299" s="401"/>
      <c r="J299" s="401"/>
      <c r="K299" s="401"/>
      <c r="L299" s="401"/>
      <c r="M299" s="401"/>
      <c r="N299" s="401"/>
      <c r="O299" s="401"/>
      <c r="P299" s="401"/>
      <c r="Q299" s="401"/>
      <c r="R299" s="401"/>
      <c r="S299" s="401"/>
      <c r="T299" s="401"/>
      <c r="U299" s="401"/>
      <c r="V299" s="401"/>
      <c r="W299" s="401"/>
      <c r="X299" s="401"/>
      <c r="Y299" s="401"/>
      <c r="Z299" s="401"/>
    </row>
    <row r="300" ht="12.75" customHeight="1">
      <c r="A300" s="401"/>
      <c r="B300" s="401"/>
      <c r="C300" s="401"/>
      <c r="D300" s="401"/>
      <c r="E300" s="401"/>
      <c r="F300" s="550"/>
      <c r="G300" s="550"/>
      <c r="H300" s="401"/>
      <c r="I300" s="401"/>
      <c r="J300" s="401"/>
      <c r="K300" s="401"/>
      <c r="L300" s="401"/>
      <c r="M300" s="401"/>
      <c r="N300" s="401"/>
      <c r="O300" s="401"/>
      <c r="P300" s="401"/>
      <c r="Q300" s="401"/>
      <c r="R300" s="401"/>
      <c r="S300" s="401"/>
      <c r="T300" s="401"/>
      <c r="U300" s="401"/>
      <c r="V300" s="401"/>
      <c r="W300" s="401"/>
      <c r="X300" s="401"/>
      <c r="Y300" s="401"/>
      <c r="Z300" s="401"/>
    </row>
    <row r="301" ht="12.75" customHeight="1">
      <c r="A301" s="401"/>
      <c r="B301" s="401"/>
      <c r="C301" s="401"/>
      <c r="D301" s="401"/>
      <c r="E301" s="401"/>
      <c r="F301" s="550"/>
      <c r="G301" s="550"/>
      <c r="H301" s="401"/>
      <c r="I301" s="401"/>
      <c r="J301" s="401"/>
      <c r="K301" s="401"/>
      <c r="L301" s="401"/>
      <c r="M301" s="401"/>
      <c r="N301" s="401"/>
      <c r="O301" s="401"/>
      <c r="P301" s="401"/>
      <c r="Q301" s="401"/>
      <c r="R301" s="401"/>
      <c r="S301" s="401"/>
      <c r="T301" s="401"/>
      <c r="U301" s="401"/>
      <c r="V301" s="401"/>
      <c r="W301" s="401"/>
      <c r="X301" s="401"/>
      <c r="Y301" s="401"/>
      <c r="Z301" s="401"/>
    </row>
    <row r="302" ht="12.75" customHeight="1">
      <c r="A302" s="401"/>
      <c r="B302" s="401"/>
      <c r="C302" s="401"/>
      <c r="D302" s="401"/>
      <c r="E302" s="401"/>
      <c r="F302" s="550"/>
      <c r="G302" s="550"/>
      <c r="H302" s="401"/>
      <c r="I302" s="401"/>
      <c r="J302" s="401"/>
      <c r="K302" s="401"/>
      <c r="L302" s="401"/>
      <c r="M302" s="401"/>
      <c r="N302" s="401"/>
      <c r="O302" s="401"/>
      <c r="P302" s="401"/>
      <c r="Q302" s="401"/>
      <c r="R302" s="401"/>
      <c r="S302" s="401"/>
      <c r="T302" s="401"/>
      <c r="U302" s="401"/>
      <c r="V302" s="401"/>
      <c r="W302" s="401"/>
      <c r="X302" s="401"/>
      <c r="Y302" s="401"/>
      <c r="Z302" s="401"/>
    </row>
    <row r="303" ht="12.75" customHeight="1">
      <c r="A303" s="401"/>
      <c r="B303" s="401"/>
      <c r="C303" s="401"/>
      <c r="D303" s="401"/>
      <c r="E303" s="401"/>
      <c r="F303" s="550"/>
      <c r="G303" s="550"/>
      <c r="H303" s="401"/>
      <c r="I303" s="401"/>
      <c r="J303" s="401"/>
      <c r="K303" s="401"/>
      <c r="L303" s="401"/>
      <c r="M303" s="401"/>
      <c r="N303" s="401"/>
      <c r="O303" s="401"/>
      <c r="P303" s="401"/>
      <c r="Q303" s="401"/>
      <c r="R303" s="401"/>
      <c r="S303" s="401"/>
      <c r="T303" s="401"/>
      <c r="U303" s="401"/>
      <c r="V303" s="401"/>
      <c r="W303" s="401"/>
      <c r="X303" s="401"/>
      <c r="Y303" s="401"/>
      <c r="Z303" s="401"/>
    </row>
    <row r="304" ht="12.75" customHeight="1">
      <c r="A304" s="401"/>
      <c r="B304" s="401"/>
      <c r="C304" s="401"/>
      <c r="D304" s="401"/>
      <c r="E304" s="401"/>
      <c r="F304" s="550"/>
      <c r="G304" s="550"/>
      <c r="H304" s="401"/>
      <c r="I304" s="401"/>
      <c r="J304" s="401"/>
      <c r="K304" s="401"/>
      <c r="L304" s="401"/>
      <c r="M304" s="401"/>
      <c r="N304" s="401"/>
      <c r="O304" s="401"/>
      <c r="P304" s="401"/>
      <c r="Q304" s="401"/>
      <c r="R304" s="401"/>
      <c r="S304" s="401"/>
      <c r="T304" s="401"/>
      <c r="U304" s="401"/>
      <c r="V304" s="401"/>
      <c r="W304" s="401"/>
      <c r="X304" s="401"/>
      <c r="Y304" s="401"/>
      <c r="Z304" s="401"/>
    </row>
    <row r="305" ht="12.75" customHeight="1">
      <c r="A305" s="401"/>
      <c r="B305" s="401"/>
      <c r="C305" s="401"/>
      <c r="D305" s="401"/>
      <c r="E305" s="401"/>
      <c r="F305" s="550"/>
      <c r="G305" s="550"/>
      <c r="H305" s="401"/>
      <c r="I305" s="401"/>
      <c r="J305" s="401"/>
      <c r="K305" s="401"/>
      <c r="L305" s="401"/>
      <c r="M305" s="401"/>
      <c r="N305" s="401"/>
      <c r="O305" s="401"/>
      <c r="P305" s="401"/>
      <c r="Q305" s="401"/>
      <c r="R305" s="401"/>
      <c r="S305" s="401"/>
      <c r="T305" s="401"/>
      <c r="U305" s="401"/>
      <c r="V305" s="401"/>
      <c r="W305" s="401"/>
      <c r="X305" s="401"/>
      <c r="Y305" s="401"/>
      <c r="Z305" s="401"/>
    </row>
    <row r="306" ht="12.75" customHeight="1">
      <c r="A306" s="401"/>
      <c r="B306" s="401"/>
      <c r="C306" s="401"/>
      <c r="D306" s="401"/>
      <c r="E306" s="401"/>
      <c r="F306" s="550"/>
      <c r="G306" s="550"/>
      <c r="H306" s="401"/>
      <c r="I306" s="401"/>
      <c r="J306" s="401"/>
      <c r="K306" s="401"/>
      <c r="L306" s="401"/>
      <c r="M306" s="401"/>
      <c r="N306" s="401"/>
      <c r="O306" s="401"/>
      <c r="P306" s="401"/>
      <c r="Q306" s="401"/>
      <c r="R306" s="401"/>
      <c r="S306" s="401"/>
      <c r="T306" s="401"/>
      <c r="U306" s="401"/>
      <c r="V306" s="401"/>
      <c r="W306" s="401"/>
      <c r="X306" s="401"/>
      <c r="Y306" s="401"/>
      <c r="Z306" s="401"/>
    </row>
    <row r="307" ht="12.75" customHeight="1">
      <c r="A307" s="401"/>
      <c r="B307" s="401"/>
      <c r="C307" s="401"/>
      <c r="D307" s="401"/>
      <c r="E307" s="401"/>
      <c r="F307" s="550"/>
      <c r="G307" s="550"/>
      <c r="H307" s="401"/>
      <c r="I307" s="401"/>
      <c r="J307" s="401"/>
      <c r="K307" s="401"/>
      <c r="L307" s="401"/>
      <c r="M307" s="401"/>
      <c r="N307" s="401"/>
      <c r="O307" s="401"/>
      <c r="P307" s="401"/>
      <c r="Q307" s="401"/>
      <c r="R307" s="401"/>
      <c r="S307" s="401"/>
      <c r="T307" s="401"/>
      <c r="U307" s="401"/>
      <c r="V307" s="401"/>
      <c r="W307" s="401"/>
      <c r="X307" s="401"/>
      <c r="Y307" s="401"/>
      <c r="Z307" s="401"/>
    </row>
    <row r="308" ht="12.75" customHeight="1">
      <c r="A308" s="401"/>
      <c r="B308" s="401"/>
      <c r="C308" s="401"/>
      <c r="D308" s="401"/>
      <c r="E308" s="401"/>
      <c r="F308" s="550"/>
      <c r="G308" s="550"/>
      <c r="H308" s="401"/>
      <c r="I308" s="401"/>
      <c r="J308" s="401"/>
      <c r="K308" s="401"/>
      <c r="L308" s="401"/>
      <c r="M308" s="401"/>
      <c r="N308" s="401"/>
      <c r="O308" s="401"/>
      <c r="P308" s="401"/>
      <c r="Q308" s="401"/>
      <c r="R308" s="401"/>
      <c r="S308" s="401"/>
      <c r="T308" s="401"/>
      <c r="U308" s="401"/>
      <c r="V308" s="401"/>
      <c r="W308" s="401"/>
      <c r="X308" s="401"/>
      <c r="Y308" s="401"/>
      <c r="Z308" s="401"/>
    </row>
    <row r="309" ht="12.75" customHeight="1">
      <c r="A309" s="401"/>
      <c r="B309" s="401"/>
      <c r="C309" s="401"/>
      <c r="D309" s="401"/>
      <c r="E309" s="401"/>
      <c r="F309" s="550"/>
      <c r="G309" s="550"/>
      <c r="H309" s="401"/>
      <c r="I309" s="401"/>
      <c r="J309" s="401"/>
      <c r="K309" s="401"/>
      <c r="L309" s="401"/>
      <c r="M309" s="401"/>
      <c r="N309" s="401"/>
      <c r="O309" s="401"/>
      <c r="P309" s="401"/>
      <c r="Q309" s="401"/>
      <c r="R309" s="401"/>
      <c r="S309" s="401"/>
      <c r="T309" s="401"/>
      <c r="U309" s="401"/>
      <c r="V309" s="401"/>
      <c r="W309" s="401"/>
      <c r="X309" s="401"/>
      <c r="Y309" s="401"/>
      <c r="Z309" s="401"/>
    </row>
    <row r="310" ht="12.75" customHeight="1">
      <c r="A310" s="401"/>
      <c r="B310" s="401"/>
      <c r="C310" s="401"/>
      <c r="D310" s="401"/>
      <c r="E310" s="401"/>
      <c r="F310" s="550"/>
      <c r="G310" s="550"/>
      <c r="H310" s="401"/>
      <c r="I310" s="401"/>
      <c r="J310" s="401"/>
      <c r="K310" s="401"/>
      <c r="L310" s="401"/>
      <c r="M310" s="401"/>
      <c r="N310" s="401"/>
      <c r="O310" s="401"/>
      <c r="P310" s="401"/>
      <c r="Q310" s="401"/>
      <c r="R310" s="401"/>
      <c r="S310" s="401"/>
      <c r="T310" s="401"/>
      <c r="U310" s="401"/>
      <c r="V310" s="401"/>
      <c r="W310" s="401"/>
      <c r="X310" s="401"/>
      <c r="Y310" s="401"/>
      <c r="Z310" s="401"/>
    </row>
    <row r="311" ht="12.75" customHeight="1">
      <c r="A311" s="401"/>
      <c r="B311" s="401"/>
      <c r="C311" s="401"/>
      <c r="D311" s="401"/>
      <c r="E311" s="401"/>
      <c r="F311" s="550"/>
      <c r="G311" s="550"/>
      <c r="H311" s="401"/>
      <c r="I311" s="401"/>
      <c r="J311" s="401"/>
      <c r="K311" s="401"/>
      <c r="L311" s="401"/>
      <c r="M311" s="401"/>
      <c r="N311" s="401"/>
      <c r="O311" s="401"/>
      <c r="P311" s="401"/>
      <c r="Q311" s="401"/>
      <c r="R311" s="401"/>
      <c r="S311" s="401"/>
      <c r="T311" s="401"/>
      <c r="U311" s="401"/>
      <c r="V311" s="401"/>
      <c r="W311" s="401"/>
      <c r="X311" s="401"/>
      <c r="Y311" s="401"/>
      <c r="Z311" s="401"/>
    </row>
    <row r="312" ht="12.75" customHeight="1">
      <c r="A312" s="401"/>
      <c r="B312" s="401"/>
      <c r="C312" s="401"/>
      <c r="D312" s="401"/>
      <c r="E312" s="401"/>
      <c r="F312" s="550"/>
      <c r="G312" s="550"/>
      <c r="H312" s="401"/>
      <c r="I312" s="401"/>
      <c r="J312" s="401"/>
      <c r="K312" s="401"/>
      <c r="L312" s="401"/>
      <c r="M312" s="401"/>
      <c r="N312" s="401"/>
      <c r="O312" s="401"/>
      <c r="P312" s="401"/>
      <c r="Q312" s="401"/>
      <c r="R312" s="401"/>
      <c r="S312" s="401"/>
      <c r="T312" s="401"/>
      <c r="U312" s="401"/>
      <c r="V312" s="401"/>
      <c r="W312" s="401"/>
      <c r="X312" s="401"/>
      <c r="Y312" s="401"/>
      <c r="Z312" s="401"/>
    </row>
    <row r="313" ht="12.75" customHeight="1">
      <c r="A313" s="401"/>
      <c r="B313" s="401"/>
      <c r="C313" s="401"/>
      <c r="D313" s="401"/>
      <c r="E313" s="401"/>
      <c r="F313" s="550"/>
      <c r="G313" s="550"/>
      <c r="H313" s="401"/>
      <c r="I313" s="401"/>
      <c r="J313" s="401"/>
      <c r="K313" s="401"/>
      <c r="L313" s="401"/>
      <c r="M313" s="401"/>
      <c r="N313" s="401"/>
      <c r="O313" s="401"/>
      <c r="P313" s="401"/>
      <c r="Q313" s="401"/>
      <c r="R313" s="401"/>
      <c r="S313" s="401"/>
      <c r="T313" s="401"/>
      <c r="U313" s="401"/>
      <c r="V313" s="401"/>
      <c r="W313" s="401"/>
      <c r="X313" s="401"/>
      <c r="Y313" s="401"/>
      <c r="Z313" s="401"/>
    </row>
    <row r="314" ht="12.75" customHeight="1">
      <c r="A314" s="401"/>
      <c r="B314" s="401"/>
      <c r="C314" s="401"/>
      <c r="D314" s="401"/>
      <c r="E314" s="401"/>
      <c r="F314" s="550"/>
      <c r="G314" s="550"/>
      <c r="H314" s="401"/>
      <c r="I314" s="401"/>
      <c r="J314" s="401"/>
      <c r="K314" s="401"/>
      <c r="L314" s="401"/>
      <c r="M314" s="401"/>
      <c r="N314" s="401"/>
      <c r="O314" s="401"/>
      <c r="P314" s="401"/>
      <c r="Q314" s="401"/>
      <c r="R314" s="401"/>
      <c r="S314" s="401"/>
      <c r="T314" s="401"/>
      <c r="U314" s="401"/>
      <c r="V314" s="401"/>
      <c r="W314" s="401"/>
      <c r="X314" s="401"/>
      <c r="Y314" s="401"/>
      <c r="Z314" s="401"/>
    </row>
    <row r="315" ht="12.75" customHeight="1">
      <c r="A315" s="401"/>
      <c r="B315" s="401"/>
      <c r="C315" s="401"/>
      <c r="D315" s="401"/>
      <c r="E315" s="401"/>
      <c r="F315" s="550"/>
      <c r="G315" s="550"/>
      <c r="H315" s="401"/>
      <c r="I315" s="401"/>
      <c r="J315" s="401"/>
      <c r="K315" s="401"/>
      <c r="L315" s="401"/>
      <c r="M315" s="401"/>
      <c r="N315" s="401"/>
      <c r="O315" s="401"/>
      <c r="P315" s="401"/>
      <c r="Q315" s="401"/>
      <c r="R315" s="401"/>
      <c r="S315" s="401"/>
      <c r="T315" s="401"/>
      <c r="U315" s="401"/>
      <c r="V315" s="401"/>
      <c r="W315" s="401"/>
      <c r="X315" s="401"/>
      <c r="Y315" s="401"/>
      <c r="Z315" s="401"/>
    </row>
    <row r="316" ht="12.75" customHeight="1">
      <c r="A316" s="401"/>
      <c r="B316" s="401"/>
      <c r="C316" s="401"/>
      <c r="D316" s="401"/>
      <c r="E316" s="401"/>
      <c r="F316" s="550"/>
      <c r="G316" s="550"/>
      <c r="H316" s="401"/>
      <c r="I316" s="401"/>
      <c r="J316" s="401"/>
      <c r="K316" s="401"/>
      <c r="L316" s="401"/>
      <c r="M316" s="401"/>
      <c r="N316" s="401"/>
      <c r="O316" s="401"/>
      <c r="P316" s="401"/>
      <c r="Q316" s="401"/>
      <c r="R316" s="401"/>
      <c r="S316" s="401"/>
      <c r="T316" s="401"/>
      <c r="U316" s="401"/>
      <c r="V316" s="401"/>
      <c r="W316" s="401"/>
      <c r="X316" s="401"/>
      <c r="Y316" s="401"/>
      <c r="Z316" s="401"/>
    </row>
    <row r="317" ht="12.75" customHeight="1">
      <c r="A317" s="401"/>
      <c r="B317" s="401"/>
      <c r="C317" s="401"/>
      <c r="D317" s="401"/>
      <c r="E317" s="401"/>
      <c r="F317" s="550"/>
      <c r="G317" s="550"/>
      <c r="H317" s="401"/>
      <c r="I317" s="401"/>
      <c r="J317" s="401"/>
      <c r="K317" s="401"/>
      <c r="L317" s="401"/>
      <c r="M317" s="401"/>
      <c r="N317" s="401"/>
      <c r="O317" s="401"/>
      <c r="P317" s="401"/>
      <c r="Q317" s="401"/>
      <c r="R317" s="401"/>
      <c r="S317" s="401"/>
      <c r="T317" s="401"/>
      <c r="U317" s="401"/>
      <c r="V317" s="401"/>
      <c r="W317" s="401"/>
      <c r="X317" s="401"/>
      <c r="Y317" s="401"/>
      <c r="Z317" s="401"/>
    </row>
    <row r="318" ht="12.75" customHeight="1">
      <c r="A318" s="401"/>
      <c r="B318" s="401"/>
      <c r="C318" s="401"/>
      <c r="D318" s="401"/>
      <c r="E318" s="401"/>
      <c r="F318" s="550"/>
      <c r="G318" s="550"/>
      <c r="H318" s="401"/>
      <c r="I318" s="401"/>
      <c r="J318" s="401"/>
      <c r="K318" s="401"/>
      <c r="L318" s="401"/>
      <c r="M318" s="401"/>
      <c r="N318" s="401"/>
      <c r="O318" s="401"/>
      <c r="P318" s="401"/>
      <c r="Q318" s="401"/>
      <c r="R318" s="401"/>
      <c r="S318" s="401"/>
      <c r="T318" s="401"/>
      <c r="U318" s="401"/>
      <c r="V318" s="401"/>
      <c r="W318" s="401"/>
      <c r="X318" s="401"/>
      <c r="Y318" s="401"/>
      <c r="Z318" s="401"/>
    </row>
    <row r="319" ht="12.75" customHeight="1">
      <c r="A319" s="401"/>
      <c r="B319" s="401"/>
      <c r="C319" s="401"/>
      <c r="D319" s="401"/>
      <c r="E319" s="401"/>
      <c r="F319" s="550"/>
      <c r="G319" s="550"/>
      <c r="H319" s="401"/>
      <c r="I319" s="401"/>
      <c r="J319" s="401"/>
      <c r="K319" s="401"/>
      <c r="L319" s="401"/>
      <c r="M319" s="401"/>
      <c r="N319" s="401"/>
      <c r="O319" s="401"/>
      <c r="P319" s="401"/>
      <c r="Q319" s="401"/>
      <c r="R319" s="401"/>
      <c r="S319" s="401"/>
      <c r="T319" s="401"/>
      <c r="U319" s="401"/>
      <c r="V319" s="401"/>
      <c r="W319" s="401"/>
      <c r="X319" s="401"/>
      <c r="Y319" s="401"/>
      <c r="Z319" s="401"/>
    </row>
    <row r="320" ht="12.75" customHeight="1">
      <c r="A320" s="401"/>
      <c r="B320" s="401"/>
      <c r="C320" s="401"/>
      <c r="D320" s="401"/>
      <c r="E320" s="401"/>
      <c r="F320" s="550"/>
      <c r="G320" s="550"/>
      <c r="H320" s="401"/>
      <c r="I320" s="401"/>
      <c r="J320" s="401"/>
      <c r="K320" s="401"/>
      <c r="L320" s="401"/>
      <c r="M320" s="401"/>
      <c r="N320" s="401"/>
      <c r="O320" s="401"/>
      <c r="P320" s="401"/>
      <c r="Q320" s="401"/>
      <c r="R320" s="401"/>
      <c r="S320" s="401"/>
      <c r="T320" s="401"/>
      <c r="U320" s="401"/>
      <c r="V320" s="401"/>
      <c r="W320" s="401"/>
      <c r="X320" s="401"/>
      <c r="Y320" s="401"/>
      <c r="Z320" s="401"/>
    </row>
    <row r="321" ht="12.75" customHeight="1">
      <c r="A321" s="401"/>
      <c r="B321" s="401"/>
      <c r="C321" s="401"/>
      <c r="D321" s="401"/>
      <c r="E321" s="401"/>
      <c r="F321" s="550"/>
      <c r="G321" s="550"/>
      <c r="H321" s="401"/>
      <c r="I321" s="401"/>
      <c r="J321" s="401"/>
      <c r="K321" s="401"/>
      <c r="L321" s="401"/>
      <c r="M321" s="401"/>
      <c r="N321" s="401"/>
      <c r="O321" s="401"/>
      <c r="P321" s="401"/>
      <c r="Q321" s="401"/>
      <c r="R321" s="401"/>
      <c r="S321" s="401"/>
      <c r="T321" s="401"/>
      <c r="U321" s="401"/>
      <c r="V321" s="401"/>
      <c r="W321" s="401"/>
      <c r="X321" s="401"/>
      <c r="Y321" s="401"/>
      <c r="Z321" s="401"/>
    </row>
    <row r="322" ht="12.75" customHeight="1">
      <c r="A322" s="401"/>
      <c r="B322" s="401"/>
      <c r="C322" s="401"/>
      <c r="D322" s="401"/>
      <c r="E322" s="401"/>
      <c r="F322" s="550"/>
      <c r="G322" s="550"/>
      <c r="H322" s="401"/>
      <c r="I322" s="401"/>
      <c r="J322" s="401"/>
      <c r="K322" s="401"/>
      <c r="L322" s="401"/>
      <c r="M322" s="401"/>
      <c r="N322" s="401"/>
      <c r="O322" s="401"/>
      <c r="P322" s="401"/>
      <c r="Q322" s="401"/>
      <c r="R322" s="401"/>
      <c r="S322" s="401"/>
      <c r="T322" s="401"/>
      <c r="U322" s="401"/>
      <c r="V322" s="401"/>
      <c r="W322" s="401"/>
      <c r="X322" s="401"/>
      <c r="Y322" s="401"/>
      <c r="Z322" s="401"/>
    </row>
    <row r="323" ht="12.75" customHeight="1">
      <c r="A323" s="401"/>
      <c r="B323" s="401"/>
      <c r="C323" s="401"/>
      <c r="D323" s="401"/>
      <c r="E323" s="401"/>
      <c r="F323" s="550"/>
      <c r="G323" s="550"/>
      <c r="H323" s="401"/>
      <c r="I323" s="401"/>
      <c r="J323" s="401"/>
      <c r="K323" s="401"/>
      <c r="L323" s="401"/>
      <c r="M323" s="401"/>
      <c r="N323" s="401"/>
      <c r="O323" s="401"/>
      <c r="P323" s="401"/>
      <c r="Q323" s="401"/>
      <c r="R323" s="401"/>
      <c r="S323" s="401"/>
      <c r="T323" s="401"/>
      <c r="U323" s="401"/>
      <c r="V323" s="401"/>
      <c r="W323" s="401"/>
      <c r="X323" s="401"/>
      <c r="Y323" s="401"/>
      <c r="Z323" s="401"/>
    </row>
    <row r="324" ht="12.75" customHeight="1">
      <c r="A324" s="401"/>
      <c r="B324" s="401"/>
      <c r="C324" s="401"/>
      <c r="D324" s="401"/>
      <c r="E324" s="401"/>
      <c r="F324" s="550"/>
      <c r="G324" s="550"/>
      <c r="H324" s="401"/>
      <c r="I324" s="401"/>
      <c r="J324" s="401"/>
      <c r="K324" s="401"/>
      <c r="L324" s="401"/>
      <c r="M324" s="401"/>
      <c r="N324" s="401"/>
      <c r="O324" s="401"/>
      <c r="P324" s="401"/>
      <c r="Q324" s="401"/>
      <c r="R324" s="401"/>
      <c r="S324" s="401"/>
      <c r="T324" s="401"/>
      <c r="U324" s="401"/>
      <c r="V324" s="401"/>
      <c r="W324" s="401"/>
      <c r="X324" s="401"/>
      <c r="Y324" s="401"/>
      <c r="Z324" s="401"/>
    </row>
    <row r="325" ht="12.75" customHeight="1">
      <c r="A325" s="401"/>
      <c r="B325" s="401"/>
      <c r="C325" s="401"/>
      <c r="D325" s="401"/>
      <c r="E325" s="401"/>
      <c r="F325" s="550"/>
      <c r="G325" s="550"/>
      <c r="H325" s="401"/>
      <c r="I325" s="401"/>
      <c r="J325" s="401"/>
      <c r="K325" s="401"/>
      <c r="L325" s="401"/>
      <c r="M325" s="401"/>
      <c r="N325" s="401"/>
      <c r="O325" s="401"/>
      <c r="P325" s="401"/>
      <c r="Q325" s="401"/>
      <c r="R325" s="401"/>
      <c r="S325" s="401"/>
      <c r="T325" s="401"/>
      <c r="U325" s="401"/>
      <c r="V325" s="401"/>
      <c r="W325" s="401"/>
      <c r="X325" s="401"/>
      <c r="Y325" s="401"/>
      <c r="Z325" s="401"/>
    </row>
    <row r="326" ht="12.75" customHeight="1">
      <c r="A326" s="401"/>
      <c r="B326" s="401"/>
      <c r="C326" s="401"/>
      <c r="D326" s="401"/>
      <c r="E326" s="401"/>
      <c r="F326" s="550"/>
      <c r="G326" s="550"/>
      <c r="H326" s="401"/>
      <c r="I326" s="401"/>
      <c r="J326" s="401"/>
      <c r="K326" s="401"/>
      <c r="L326" s="401"/>
      <c r="M326" s="401"/>
      <c r="N326" s="401"/>
      <c r="O326" s="401"/>
      <c r="P326" s="401"/>
      <c r="Q326" s="401"/>
      <c r="R326" s="401"/>
      <c r="S326" s="401"/>
      <c r="T326" s="401"/>
      <c r="U326" s="401"/>
      <c r="V326" s="401"/>
      <c r="W326" s="401"/>
      <c r="X326" s="401"/>
      <c r="Y326" s="401"/>
      <c r="Z326" s="401"/>
    </row>
    <row r="327" ht="12.75" customHeight="1">
      <c r="A327" s="401"/>
      <c r="B327" s="401"/>
      <c r="C327" s="401"/>
      <c r="D327" s="401"/>
      <c r="E327" s="401"/>
      <c r="F327" s="550"/>
      <c r="G327" s="550"/>
      <c r="H327" s="401"/>
      <c r="I327" s="401"/>
      <c r="J327" s="401"/>
      <c r="K327" s="401"/>
      <c r="L327" s="401"/>
      <c r="M327" s="401"/>
      <c r="N327" s="401"/>
      <c r="O327" s="401"/>
      <c r="P327" s="401"/>
      <c r="Q327" s="401"/>
      <c r="R327" s="401"/>
      <c r="S327" s="401"/>
      <c r="T327" s="401"/>
      <c r="U327" s="401"/>
      <c r="V327" s="401"/>
      <c r="W327" s="401"/>
      <c r="X327" s="401"/>
      <c r="Y327" s="401"/>
      <c r="Z327" s="401"/>
    </row>
    <row r="328" ht="12.75" customHeight="1">
      <c r="A328" s="401"/>
      <c r="B328" s="401"/>
      <c r="C328" s="401"/>
      <c r="D328" s="401"/>
      <c r="E328" s="401"/>
      <c r="F328" s="550"/>
      <c r="G328" s="550"/>
      <c r="H328" s="401"/>
      <c r="I328" s="401"/>
      <c r="J328" s="401"/>
      <c r="K328" s="401"/>
      <c r="L328" s="401"/>
      <c r="M328" s="401"/>
      <c r="N328" s="401"/>
      <c r="O328" s="401"/>
      <c r="P328" s="401"/>
      <c r="Q328" s="401"/>
      <c r="R328" s="401"/>
      <c r="S328" s="401"/>
      <c r="T328" s="401"/>
      <c r="U328" s="401"/>
      <c r="V328" s="401"/>
      <c r="W328" s="401"/>
      <c r="X328" s="401"/>
      <c r="Y328" s="401"/>
      <c r="Z328" s="401"/>
    </row>
    <row r="329" ht="12.75" customHeight="1">
      <c r="A329" s="401"/>
      <c r="B329" s="401"/>
      <c r="C329" s="401"/>
      <c r="D329" s="401"/>
      <c r="E329" s="401"/>
      <c r="F329" s="550"/>
      <c r="G329" s="550"/>
      <c r="H329" s="401"/>
      <c r="I329" s="401"/>
      <c r="J329" s="401"/>
      <c r="K329" s="401"/>
      <c r="L329" s="401"/>
      <c r="M329" s="401"/>
      <c r="N329" s="401"/>
      <c r="O329" s="401"/>
      <c r="P329" s="401"/>
      <c r="Q329" s="401"/>
      <c r="R329" s="401"/>
      <c r="S329" s="401"/>
      <c r="T329" s="401"/>
      <c r="U329" s="401"/>
      <c r="V329" s="401"/>
      <c r="W329" s="401"/>
      <c r="X329" s="401"/>
      <c r="Y329" s="401"/>
      <c r="Z329" s="401"/>
    </row>
    <row r="330" ht="12.75" customHeight="1">
      <c r="A330" s="401"/>
      <c r="B330" s="401"/>
      <c r="C330" s="401"/>
      <c r="D330" s="401"/>
      <c r="E330" s="401"/>
      <c r="F330" s="550"/>
      <c r="G330" s="550"/>
      <c r="H330" s="401"/>
      <c r="I330" s="401"/>
      <c r="J330" s="401"/>
      <c r="K330" s="401"/>
      <c r="L330" s="401"/>
      <c r="M330" s="401"/>
      <c r="N330" s="401"/>
      <c r="O330" s="401"/>
      <c r="P330" s="401"/>
      <c r="Q330" s="401"/>
      <c r="R330" s="401"/>
      <c r="S330" s="401"/>
      <c r="T330" s="401"/>
      <c r="U330" s="401"/>
      <c r="V330" s="401"/>
      <c r="W330" s="401"/>
      <c r="X330" s="401"/>
      <c r="Y330" s="401"/>
      <c r="Z330" s="401"/>
    </row>
    <row r="331" ht="12.75" customHeight="1">
      <c r="A331" s="401"/>
      <c r="B331" s="401"/>
      <c r="C331" s="401"/>
      <c r="D331" s="401"/>
      <c r="E331" s="401"/>
      <c r="F331" s="550"/>
      <c r="G331" s="550"/>
      <c r="H331" s="401"/>
      <c r="I331" s="401"/>
      <c r="J331" s="401"/>
      <c r="K331" s="401"/>
      <c r="L331" s="401"/>
      <c r="M331" s="401"/>
      <c r="N331" s="401"/>
      <c r="O331" s="401"/>
      <c r="P331" s="401"/>
      <c r="Q331" s="401"/>
      <c r="R331" s="401"/>
      <c r="S331" s="401"/>
      <c r="T331" s="401"/>
      <c r="U331" s="401"/>
      <c r="V331" s="401"/>
      <c r="W331" s="401"/>
      <c r="X331" s="401"/>
      <c r="Y331" s="401"/>
      <c r="Z331" s="401"/>
    </row>
    <row r="332" ht="12.75" customHeight="1">
      <c r="A332" s="401"/>
      <c r="B332" s="401"/>
      <c r="C332" s="401"/>
      <c r="D332" s="401"/>
      <c r="E332" s="401"/>
      <c r="F332" s="550"/>
      <c r="G332" s="550"/>
      <c r="H332" s="401"/>
      <c r="I332" s="401"/>
      <c r="J332" s="401"/>
      <c r="K332" s="401"/>
      <c r="L332" s="401"/>
      <c r="M332" s="401"/>
      <c r="N332" s="401"/>
      <c r="O332" s="401"/>
      <c r="P332" s="401"/>
      <c r="Q332" s="401"/>
      <c r="R332" s="401"/>
      <c r="S332" s="401"/>
      <c r="T332" s="401"/>
      <c r="U332" s="401"/>
      <c r="V332" s="401"/>
      <c r="W332" s="401"/>
      <c r="X332" s="401"/>
      <c r="Y332" s="401"/>
      <c r="Z332" s="401"/>
    </row>
    <row r="333" ht="12.75" customHeight="1">
      <c r="A333" s="401"/>
      <c r="B333" s="401"/>
      <c r="C333" s="401"/>
      <c r="D333" s="401"/>
      <c r="E333" s="401"/>
      <c r="F333" s="550"/>
      <c r="G333" s="550"/>
      <c r="H333" s="401"/>
      <c r="I333" s="401"/>
      <c r="J333" s="401"/>
      <c r="K333" s="401"/>
      <c r="L333" s="401"/>
      <c r="M333" s="401"/>
      <c r="N333" s="401"/>
      <c r="O333" s="401"/>
      <c r="P333" s="401"/>
      <c r="Q333" s="401"/>
      <c r="R333" s="401"/>
      <c r="S333" s="401"/>
      <c r="T333" s="401"/>
      <c r="U333" s="401"/>
      <c r="V333" s="401"/>
      <c r="W333" s="401"/>
      <c r="X333" s="401"/>
      <c r="Y333" s="401"/>
      <c r="Z333" s="401"/>
    </row>
    <row r="334" ht="12.75" customHeight="1">
      <c r="A334" s="401"/>
      <c r="B334" s="401"/>
      <c r="C334" s="401"/>
      <c r="D334" s="401"/>
      <c r="E334" s="401"/>
      <c r="F334" s="550"/>
      <c r="G334" s="550"/>
      <c r="H334" s="401"/>
      <c r="I334" s="401"/>
      <c r="J334" s="401"/>
      <c r="K334" s="401"/>
      <c r="L334" s="401"/>
      <c r="M334" s="401"/>
      <c r="N334" s="401"/>
      <c r="O334" s="401"/>
      <c r="P334" s="401"/>
      <c r="Q334" s="401"/>
      <c r="R334" s="401"/>
      <c r="S334" s="401"/>
      <c r="T334" s="401"/>
      <c r="U334" s="401"/>
      <c r="V334" s="401"/>
      <c r="W334" s="401"/>
      <c r="X334" s="401"/>
      <c r="Y334" s="401"/>
      <c r="Z334" s="401"/>
    </row>
    <row r="335" ht="12.75" customHeight="1">
      <c r="A335" s="401"/>
      <c r="B335" s="401"/>
      <c r="C335" s="401"/>
      <c r="D335" s="401"/>
      <c r="E335" s="401"/>
      <c r="F335" s="550"/>
      <c r="G335" s="550"/>
      <c r="H335" s="401"/>
      <c r="I335" s="401"/>
      <c r="J335" s="401"/>
      <c r="K335" s="401"/>
      <c r="L335" s="401"/>
      <c r="M335" s="401"/>
      <c r="N335" s="401"/>
      <c r="O335" s="401"/>
      <c r="P335" s="401"/>
      <c r="Q335" s="401"/>
      <c r="R335" s="401"/>
      <c r="S335" s="401"/>
      <c r="T335" s="401"/>
      <c r="U335" s="401"/>
      <c r="V335" s="401"/>
      <c r="W335" s="401"/>
      <c r="X335" s="401"/>
      <c r="Y335" s="401"/>
      <c r="Z335" s="401"/>
    </row>
    <row r="336" ht="12.75" customHeight="1">
      <c r="A336" s="401"/>
      <c r="B336" s="401"/>
      <c r="C336" s="401"/>
      <c r="D336" s="401"/>
      <c r="E336" s="401"/>
      <c r="F336" s="550"/>
      <c r="G336" s="550"/>
      <c r="H336" s="401"/>
      <c r="I336" s="401"/>
      <c r="J336" s="401"/>
      <c r="K336" s="401"/>
      <c r="L336" s="401"/>
      <c r="M336" s="401"/>
      <c r="N336" s="401"/>
      <c r="O336" s="401"/>
      <c r="P336" s="401"/>
      <c r="Q336" s="401"/>
      <c r="R336" s="401"/>
      <c r="S336" s="401"/>
      <c r="T336" s="401"/>
      <c r="U336" s="401"/>
      <c r="V336" s="401"/>
      <c r="W336" s="401"/>
      <c r="X336" s="401"/>
      <c r="Y336" s="401"/>
      <c r="Z336" s="401"/>
    </row>
    <row r="337" ht="12.75" customHeight="1">
      <c r="A337" s="401"/>
      <c r="B337" s="401"/>
      <c r="C337" s="401"/>
      <c r="D337" s="401"/>
      <c r="E337" s="401"/>
      <c r="F337" s="550"/>
      <c r="G337" s="550"/>
      <c r="H337" s="401"/>
      <c r="I337" s="401"/>
      <c r="J337" s="401"/>
      <c r="K337" s="401"/>
      <c r="L337" s="401"/>
      <c r="M337" s="401"/>
      <c r="N337" s="401"/>
      <c r="O337" s="401"/>
      <c r="P337" s="401"/>
      <c r="Q337" s="401"/>
      <c r="R337" s="401"/>
      <c r="S337" s="401"/>
      <c r="T337" s="401"/>
      <c r="U337" s="401"/>
      <c r="V337" s="401"/>
      <c r="W337" s="401"/>
      <c r="X337" s="401"/>
      <c r="Y337" s="401"/>
      <c r="Z337" s="401"/>
    </row>
    <row r="338" ht="12.75" customHeight="1">
      <c r="A338" s="401"/>
      <c r="B338" s="401"/>
      <c r="C338" s="401"/>
      <c r="D338" s="401"/>
      <c r="E338" s="401"/>
      <c r="F338" s="550"/>
      <c r="G338" s="550"/>
      <c r="H338" s="401"/>
      <c r="I338" s="401"/>
      <c r="J338" s="401"/>
      <c r="K338" s="401"/>
      <c r="L338" s="401"/>
      <c r="M338" s="401"/>
      <c r="N338" s="401"/>
      <c r="O338" s="401"/>
      <c r="P338" s="401"/>
      <c r="Q338" s="401"/>
      <c r="R338" s="401"/>
      <c r="S338" s="401"/>
      <c r="T338" s="401"/>
      <c r="U338" s="401"/>
      <c r="V338" s="401"/>
      <c r="W338" s="401"/>
      <c r="X338" s="401"/>
      <c r="Y338" s="401"/>
      <c r="Z338" s="401"/>
    </row>
    <row r="339" ht="12.75" customHeight="1">
      <c r="A339" s="401"/>
      <c r="B339" s="401"/>
      <c r="C339" s="401"/>
      <c r="D339" s="401"/>
      <c r="E339" s="401"/>
      <c r="F339" s="550"/>
      <c r="G339" s="550"/>
      <c r="H339" s="401"/>
      <c r="I339" s="401"/>
      <c r="J339" s="401"/>
      <c r="K339" s="401"/>
      <c r="L339" s="401"/>
      <c r="M339" s="401"/>
      <c r="N339" s="401"/>
      <c r="O339" s="401"/>
      <c r="P339" s="401"/>
      <c r="Q339" s="401"/>
      <c r="R339" s="401"/>
      <c r="S339" s="401"/>
      <c r="T339" s="401"/>
      <c r="U339" s="401"/>
      <c r="V339" s="401"/>
      <c r="W339" s="401"/>
      <c r="X339" s="401"/>
      <c r="Y339" s="401"/>
      <c r="Z339" s="401"/>
    </row>
    <row r="340" ht="12.75" customHeight="1">
      <c r="A340" s="401"/>
      <c r="B340" s="401"/>
      <c r="C340" s="401"/>
      <c r="D340" s="401"/>
      <c r="E340" s="401"/>
      <c r="F340" s="550"/>
      <c r="G340" s="550"/>
      <c r="H340" s="401"/>
      <c r="I340" s="401"/>
      <c r="J340" s="401"/>
      <c r="K340" s="401"/>
      <c r="L340" s="401"/>
      <c r="M340" s="401"/>
      <c r="N340" s="401"/>
      <c r="O340" s="401"/>
      <c r="P340" s="401"/>
      <c r="Q340" s="401"/>
      <c r="R340" s="401"/>
      <c r="S340" s="401"/>
      <c r="T340" s="401"/>
      <c r="U340" s="401"/>
      <c r="V340" s="401"/>
      <c r="W340" s="401"/>
      <c r="X340" s="401"/>
      <c r="Y340" s="401"/>
      <c r="Z340" s="401"/>
    </row>
    <row r="341" ht="12.75" customHeight="1">
      <c r="A341" s="401"/>
      <c r="B341" s="401"/>
      <c r="C341" s="401"/>
      <c r="D341" s="401"/>
      <c r="E341" s="401"/>
      <c r="F341" s="550"/>
      <c r="G341" s="550"/>
      <c r="H341" s="401"/>
      <c r="I341" s="401"/>
      <c r="J341" s="401"/>
      <c r="K341" s="401"/>
      <c r="L341" s="401"/>
      <c r="M341" s="401"/>
      <c r="N341" s="401"/>
      <c r="O341" s="401"/>
      <c r="P341" s="401"/>
      <c r="Q341" s="401"/>
      <c r="R341" s="401"/>
      <c r="S341" s="401"/>
      <c r="T341" s="401"/>
      <c r="U341" s="401"/>
      <c r="V341" s="401"/>
      <c r="W341" s="401"/>
      <c r="X341" s="401"/>
      <c r="Y341" s="401"/>
      <c r="Z341" s="401"/>
    </row>
    <row r="342" ht="12.75" customHeight="1">
      <c r="A342" s="401"/>
      <c r="B342" s="401"/>
      <c r="C342" s="401"/>
      <c r="D342" s="401"/>
      <c r="E342" s="401"/>
      <c r="F342" s="550"/>
      <c r="G342" s="550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  <c r="R342" s="401"/>
      <c r="S342" s="401"/>
      <c r="T342" s="401"/>
      <c r="U342" s="401"/>
      <c r="V342" s="401"/>
      <c r="W342" s="401"/>
      <c r="X342" s="401"/>
      <c r="Y342" s="401"/>
      <c r="Z342" s="401"/>
    </row>
    <row r="343" ht="12.75" customHeight="1">
      <c r="A343" s="401"/>
      <c r="B343" s="401"/>
      <c r="C343" s="401"/>
      <c r="D343" s="401"/>
      <c r="E343" s="401"/>
      <c r="F343" s="550"/>
      <c r="G343" s="550"/>
      <c r="H343" s="401"/>
      <c r="I343" s="401"/>
      <c r="J343" s="401"/>
      <c r="K343" s="401"/>
      <c r="L343" s="401"/>
      <c r="M343" s="401"/>
      <c r="N343" s="401"/>
      <c r="O343" s="401"/>
      <c r="P343" s="401"/>
      <c r="Q343" s="401"/>
      <c r="R343" s="401"/>
      <c r="S343" s="401"/>
      <c r="T343" s="401"/>
      <c r="U343" s="401"/>
      <c r="V343" s="401"/>
      <c r="W343" s="401"/>
      <c r="X343" s="401"/>
      <c r="Y343" s="401"/>
      <c r="Z343" s="401"/>
    </row>
    <row r="344" ht="12.75" customHeight="1">
      <c r="A344" s="401"/>
      <c r="B344" s="401"/>
      <c r="C344" s="401"/>
      <c r="D344" s="401"/>
      <c r="E344" s="401"/>
      <c r="F344" s="550"/>
      <c r="G344" s="550"/>
      <c r="H344" s="401"/>
      <c r="I344" s="401"/>
      <c r="J344" s="401"/>
      <c r="K344" s="401"/>
      <c r="L344" s="401"/>
      <c r="M344" s="401"/>
      <c r="N344" s="401"/>
      <c r="O344" s="401"/>
      <c r="P344" s="401"/>
      <c r="Q344" s="401"/>
      <c r="R344" s="401"/>
      <c r="S344" s="401"/>
      <c r="T344" s="401"/>
      <c r="U344" s="401"/>
      <c r="V344" s="401"/>
      <c r="W344" s="401"/>
      <c r="X344" s="401"/>
      <c r="Y344" s="401"/>
      <c r="Z344" s="401"/>
    </row>
    <row r="345" ht="12.75" customHeight="1">
      <c r="A345" s="401"/>
      <c r="B345" s="401"/>
      <c r="C345" s="401"/>
      <c r="D345" s="401"/>
      <c r="E345" s="401"/>
      <c r="F345" s="550"/>
      <c r="G345" s="550"/>
      <c r="H345" s="401"/>
      <c r="I345" s="401"/>
      <c r="J345" s="401"/>
      <c r="K345" s="401"/>
      <c r="L345" s="401"/>
      <c r="M345" s="401"/>
      <c r="N345" s="401"/>
      <c r="O345" s="401"/>
      <c r="P345" s="401"/>
      <c r="Q345" s="401"/>
      <c r="R345" s="401"/>
      <c r="S345" s="401"/>
      <c r="T345" s="401"/>
      <c r="U345" s="401"/>
      <c r="V345" s="401"/>
      <c r="W345" s="401"/>
      <c r="X345" s="401"/>
      <c r="Y345" s="401"/>
      <c r="Z345" s="401"/>
    </row>
    <row r="346" ht="12.75" customHeight="1">
      <c r="A346" s="401"/>
      <c r="B346" s="401"/>
      <c r="C346" s="401"/>
      <c r="D346" s="401"/>
      <c r="E346" s="401"/>
      <c r="F346" s="550"/>
      <c r="G346" s="550"/>
      <c r="H346" s="401"/>
      <c r="I346" s="401"/>
      <c r="J346" s="401"/>
      <c r="K346" s="401"/>
      <c r="L346" s="401"/>
      <c r="M346" s="401"/>
      <c r="N346" s="401"/>
      <c r="O346" s="401"/>
      <c r="P346" s="401"/>
      <c r="Q346" s="401"/>
      <c r="R346" s="401"/>
      <c r="S346" s="401"/>
      <c r="T346" s="401"/>
      <c r="U346" s="401"/>
      <c r="V346" s="401"/>
      <c r="W346" s="401"/>
      <c r="X346" s="401"/>
      <c r="Y346" s="401"/>
      <c r="Z346" s="401"/>
    </row>
    <row r="347" ht="12.75" customHeight="1">
      <c r="A347" s="401"/>
      <c r="B347" s="401"/>
      <c r="C347" s="401"/>
      <c r="D347" s="401"/>
      <c r="E347" s="401"/>
      <c r="F347" s="550"/>
      <c r="G347" s="550"/>
      <c r="H347" s="401"/>
      <c r="I347" s="401"/>
      <c r="J347" s="401"/>
      <c r="K347" s="401"/>
      <c r="L347" s="401"/>
      <c r="M347" s="401"/>
      <c r="N347" s="401"/>
      <c r="O347" s="401"/>
      <c r="P347" s="401"/>
      <c r="Q347" s="401"/>
      <c r="R347" s="401"/>
      <c r="S347" s="401"/>
      <c r="T347" s="401"/>
      <c r="U347" s="401"/>
      <c r="V347" s="401"/>
      <c r="W347" s="401"/>
      <c r="X347" s="401"/>
      <c r="Y347" s="401"/>
      <c r="Z347" s="401"/>
    </row>
    <row r="348" ht="12.75" customHeight="1">
      <c r="A348" s="401"/>
      <c r="B348" s="401"/>
      <c r="C348" s="401"/>
      <c r="D348" s="401"/>
      <c r="E348" s="401"/>
      <c r="F348" s="550"/>
      <c r="G348" s="550"/>
      <c r="H348" s="401"/>
      <c r="I348" s="401"/>
      <c r="J348" s="401"/>
      <c r="K348" s="401"/>
      <c r="L348" s="401"/>
      <c r="M348" s="401"/>
      <c r="N348" s="401"/>
      <c r="O348" s="401"/>
      <c r="P348" s="401"/>
      <c r="Q348" s="401"/>
      <c r="R348" s="401"/>
      <c r="S348" s="401"/>
      <c r="T348" s="401"/>
      <c r="U348" s="401"/>
      <c r="V348" s="401"/>
      <c r="W348" s="401"/>
      <c r="X348" s="401"/>
      <c r="Y348" s="401"/>
      <c r="Z348" s="401"/>
    </row>
    <row r="349" ht="12.75" customHeight="1">
      <c r="A349" s="401"/>
      <c r="B349" s="401"/>
      <c r="C349" s="401"/>
      <c r="D349" s="401"/>
      <c r="E349" s="401"/>
      <c r="F349" s="550"/>
      <c r="G349" s="550"/>
      <c r="H349" s="401"/>
      <c r="I349" s="401"/>
      <c r="J349" s="401"/>
      <c r="K349" s="401"/>
      <c r="L349" s="401"/>
      <c r="M349" s="401"/>
      <c r="N349" s="401"/>
      <c r="O349" s="401"/>
      <c r="P349" s="401"/>
      <c r="Q349" s="401"/>
      <c r="R349" s="401"/>
      <c r="S349" s="401"/>
      <c r="T349" s="401"/>
      <c r="U349" s="401"/>
      <c r="V349" s="401"/>
      <c r="W349" s="401"/>
      <c r="X349" s="401"/>
      <c r="Y349" s="401"/>
      <c r="Z349" s="401"/>
    </row>
    <row r="350" ht="12.75" customHeight="1">
      <c r="A350" s="401"/>
      <c r="B350" s="401"/>
      <c r="C350" s="401"/>
      <c r="D350" s="401"/>
      <c r="E350" s="401"/>
      <c r="F350" s="550"/>
      <c r="G350" s="550"/>
      <c r="H350" s="401"/>
      <c r="I350" s="401"/>
      <c r="J350" s="401"/>
      <c r="K350" s="401"/>
      <c r="L350" s="401"/>
      <c r="M350" s="401"/>
      <c r="N350" s="401"/>
      <c r="O350" s="401"/>
      <c r="P350" s="401"/>
      <c r="Q350" s="401"/>
      <c r="R350" s="401"/>
      <c r="S350" s="401"/>
      <c r="T350" s="401"/>
      <c r="U350" s="401"/>
      <c r="V350" s="401"/>
      <c r="W350" s="401"/>
      <c r="X350" s="401"/>
      <c r="Y350" s="401"/>
      <c r="Z350" s="401"/>
    </row>
    <row r="351" ht="12.75" customHeight="1">
      <c r="A351" s="401"/>
      <c r="B351" s="401"/>
      <c r="C351" s="401"/>
      <c r="D351" s="401"/>
      <c r="E351" s="401"/>
      <c r="F351" s="550"/>
      <c r="G351" s="550"/>
      <c r="H351" s="401"/>
      <c r="I351" s="401"/>
      <c r="J351" s="401"/>
      <c r="K351" s="401"/>
      <c r="L351" s="401"/>
      <c r="M351" s="401"/>
      <c r="N351" s="401"/>
      <c r="O351" s="401"/>
      <c r="P351" s="401"/>
      <c r="Q351" s="401"/>
      <c r="R351" s="401"/>
      <c r="S351" s="401"/>
      <c r="T351" s="401"/>
      <c r="U351" s="401"/>
      <c r="V351" s="401"/>
      <c r="W351" s="401"/>
      <c r="X351" s="401"/>
      <c r="Y351" s="401"/>
      <c r="Z351" s="401"/>
    </row>
    <row r="352" ht="12.75" customHeight="1">
      <c r="A352" s="401"/>
      <c r="B352" s="401"/>
      <c r="C352" s="401"/>
      <c r="D352" s="401"/>
      <c r="E352" s="401"/>
      <c r="F352" s="550"/>
      <c r="G352" s="550"/>
      <c r="H352" s="401"/>
      <c r="I352" s="401"/>
      <c r="J352" s="401"/>
      <c r="K352" s="401"/>
      <c r="L352" s="401"/>
      <c r="M352" s="401"/>
      <c r="N352" s="401"/>
      <c r="O352" s="401"/>
      <c r="P352" s="401"/>
      <c r="Q352" s="401"/>
      <c r="R352" s="401"/>
      <c r="S352" s="401"/>
      <c r="T352" s="401"/>
      <c r="U352" s="401"/>
      <c r="V352" s="401"/>
      <c r="W352" s="401"/>
      <c r="X352" s="401"/>
      <c r="Y352" s="401"/>
      <c r="Z352" s="401"/>
    </row>
    <row r="353" ht="12.75" customHeight="1">
      <c r="A353" s="401"/>
      <c r="B353" s="401"/>
      <c r="C353" s="401"/>
      <c r="D353" s="401"/>
      <c r="E353" s="401"/>
      <c r="F353" s="550"/>
      <c r="G353" s="550"/>
      <c r="H353" s="401"/>
      <c r="I353" s="401"/>
      <c r="J353" s="401"/>
      <c r="K353" s="401"/>
      <c r="L353" s="401"/>
      <c r="M353" s="401"/>
      <c r="N353" s="401"/>
      <c r="O353" s="401"/>
      <c r="P353" s="401"/>
      <c r="Q353" s="401"/>
      <c r="R353" s="401"/>
      <c r="S353" s="401"/>
      <c r="T353" s="401"/>
      <c r="U353" s="401"/>
      <c r="V353" s="401"/>
      <c r="W353" s="401"/>
      <c r="X353" s="401"/>
      <c r="Y353" s="401"/>
      <c r="Z353" s="401"/>
    </row>
    <row r="354" ht="12.75" customHeight="1">
      <c r="A354" s="401"/>
      <c r="B354" s="401"/>
      <c r="C354" s="401"/>
      <c r="D354" s="401"/>
      <c r="E354" s="401"/>
      <c r="F354" s="550"/>
      <c r="G354" s="550"/>
      <c r="H354" s="401"/>
      <c r="I354" s="401"/>
      <c r="J354" s="401"/>
      <c r="K354" s="401"/>
      <c r="L354" s="401"/>
      <c r="M354" s="401"/>
      <c r="N354" s="401"/>
      <c r="O354" s="401"/>
      <c r="P354" s="401"/>
      <c r="Q354" s="401"/>
      <c r="R354" s="401"/>
      <c r="S354" s="401"/>
      <c r="T354" s="401"/>
      <c r="U354" s="401"/>
      <c r="V354" s="401"/>
      <c r="W354" s="401"/>
      <c r="X354" s="401"/>
      <c r="Y354" s="401"/>
      <c r="Z354" s="401"/>
    </row>
    <row r="355" ht="12.75" customHeight="1">
      <c r="A355" s="401"/>
      <c r="B355" s="401"/>
      <c r="C355" s="401"/>
      <c r="D355" s="401"/>
      <c r="E355" s="401"/>
      <c r="F355" s="550"/>
      <c r="G355" s="550"/>
      <c r="H355" s="401"/>
      <c r="I355" s="401"/>
      <c r="J355" s="401"/>
      <c r="K355" s="401"/>
      <c r="L355" s="401"/>
      <c r="M355" s="401"/>
      <c r="N355" s="401"/>
      <c r="O355" s="401"/>
      <c r="P355" s="401"/>
      <c r="Q355" s="401"/>
      <c r="R355" s="401"/>
      <c r="S355" s="401"/>
      <c r="T355" s="401"/>
      <c r="U355" s="401"/>
      <c r="V355" s="401"/>
      <c r="W355" s="401"/>
      <c r="X355" s="401"/>
      <c r="Y355" s="401"/>
      <c r="Z355" s="401"/>
    </row>
    <row r="356" ht="12.75" customHeight="1">
      <c r="A356" s="401"/>
      <c r="B356" s="401"/>
      <c r="C356" s="401"/>
      <c r="D356" s="401"/>
      <c r="E356" s="401"/>
      <c r="F356" s="550"/>
      <c r="G356" s="550"/>
      <c r="H356" s="401"/>
      <c r="I356" s="401"/>
      <c r="J356" s="401"/>
      <c r="K356" s="401"/>
      <c r="L356" s="401"/>
      <c r="M356" s="401"/>
      <c r="N356" s="401"/>
      <c r="O356" s="401"/>
      <c r="P356" s="401"/>
      <c r="Q356" s="401"/>
      <c r="R356" s="401"/>
      <c r="S356" s="401"/>
      <c r="T356" s="401"/>
      <c r="U356" s="401"/>
      <c r="V356" s="401"/>
      <c r="W356" s="401"/>
      <c r="X356" s="401"/>
      <c r="Y356" s="401"/>
      <c r="Z356" s="401"/>
    </row>
    <row r="357" ht="12.75" customHeight="1">
      <c r="A357" s="401"/>
      <c r="B357" s="401"/>
      <c r="C357" s="401"/>
      <c r="D357" s="401"/>
      <c r="E357" s="401"/>
      <c r="F357" s="550"/>
      <c r="G357" s="550"/>
      <c r="H357" s="401"/>
      <c r="I357" s="401"/>
      <c r="J357" s="401"/>
      <c r="K357" s="401"/>
      <c r="L357" s="401"/>
      <c r="M357" s="401"/>
      <c r="N357" s="401"/>
      <c r="O357" s="401"/>
      <c r="P357" s="401"/>
      <c r="Q357" s="401"/>
      <c r="R357" s="401"/>
      <c r="S357" s="401"/>
      <c r="T357" s="401"/>
      <c r="U357" s="401"/>
      <c r="V357" s="401"/>
      <c r="W357" s="401"/>
      <c r="X357" s="401"/>
      <c r="Y357" s="401"/>
      <c r="Z357" s="401"/>
    </row>
    <row r="358" ht="12.75" customHeight="1">
      <c r="A358" s="401"/>
      <c r="B358" s="401"/>
      <c r="C358" s="401"/>
      <c r="D358" s="401"/>
      <c r="E358" s="401"/>
      <c r="F358" s="550"/>
      <c r="G358" s="550"/>
      <c r="H358" s="401"/>
      <c r="I358" s="401"/>
      <c r="J358" s="401"/>
      <c r="K358" s="401"/>
      <c r="L358" s="401"/>
      <c r="M358" s="401"/>
      <c r="N358" s="401"/>
      <c r="O358" s="401"/>
      <c r="P358" s="401"/>
      <c r="Q358" s="401"/>
      <c r="R358" s="401"/>
      <c r="S358" s="401"/>
      <c r="T358" s="401"/>
      <c r="U358" s="401"/>
      <c r="V358" s="401"/>
      <c r="W358" s="401"/>
      <c r="X358" s="401"/>
      <c r="Y358" s="401"/>
      <c r="Z358" s="401"/>
    </row>
    <row r="359" ht="12.75" customHeight="1">
      <c r="A359" s="401"/>
      <c r="B359" s="401"/>
      <c r="C359" s="401"/>
      <c r="D359" s="401"/>
      <c r="E359" s="401"/>
      <c r="F359" s="550"/>
      <c r="G359" s="550"/>
      <c r="H359" s="401"/>
      <c r="I359" s="401"/>
      <c r="J359" s="401"/>
      <c r="K359" s="401"/>
      <c r="L359" s="401"/>
      <c r="M359" s="401"/>
      <c r="N359" s="401"/>
      <c r="O359" s="401"/>
      <c r="P359" s="401"/>
      <c r="Q359" s="401"/>
      <c r="R359" s="401"/>
      <c r="S359" s="401"/>
      <c r="T359" s="401"/>
      <c r="U359" s="401"/>
      <c r="V359" s="401"/>
      <c r="W359" s="401"/>
      <c r="X359" s="401"/>
      <c r="Y359" s="401"/>
      <c r="Z359" s="401"/>
    </row>
    <row r="360" ht="12.75" customHeight="1">
      <c r="A360" s="401"/>
      <c r="B360" s="401"/>
      <c r="C360" s="401"/>
      <c r="D360" s="401"/>
      <c r="E360" s="401"/>
      <c r="F360" s="550"/>
      <c r="G360" s="550"/>
      <c r="H360" s="401"/>
      <c r="I360" s="401"/>
      <c r="J360" s="401"/>
      <c r="K360" s="401"/>
      <c r="L360" s="401"/>
      <c r="M360" s="401"/>
      <c r="N360" s="401"/>
      <c r="O360" s="401"/>
      <c r="P360" s="401"/>
      <c r="Q360" s="401"/>
      <c r="R360" s="401"/>
      <c r="S360" s="401"/>
      <c r="T360" s="401"/>
      <c r="U360" s="401"/>
      <c r="V360" s="401"/>
      <c r="W360" s="401"/>
      <c r="X360" s="401"/>
      <c r="Y360" s="401"/>
      <c r="Z360" s="401"/>
    </row>
    <row r="361" ht="12.75" customHeight="1">
      <c r="A361" s="401"/>
      <c r="B361" s="401"/>
      <c r="C361" s="401"/>
      <c r="D361" s="401"/>
      <c r="E361" s="401"/>
      <c r="F361" s="550"/>
      <c r="G361" s="550"/>
      <c r="H361" s="401"/>
      <c r="I361" s="401"/>
      <c r="J361" s="401"/>
      <c r="K361" s="401"/>
      <c r="L361" s="401"/>
      <c r="M361" s="401"/>
      <c r="N361" s="401"/>
      <c r="O361" s="401"/>
      <c r="P361" s="401"/>
      <c r="Q361" s="401"/>
      <c r="R361" s="401"/>
      <c r="S361" s="401"/>
      <c r="T361" s="401"/>
      <c r="U361" s="401"/>
      <c r="V361" s="401"/>
      <c r="W361" s="401"/>
      <c r="X361" s="401"/>
      <c r="Y361" s="401"/>
      <c r="Z361" s="401"/>
    </row>
    <row r="362" ht="12.75" customHeight="1">
      <c r="A362" s="401"/>
      <c r="B362" s="401"/>
      <c r="C362" s="401"/>
      <c r="D362" s="401"/>
      <c r="E362" s="401"/>
      <c r="F362" s="550"/>
      <c r="G362" s="550"/>
      <c r="H362" s="401"/>
      <c r="I362" s="401"/>
      <c r="J362" s="401"/>
      <c r="K362" s="401"/>
      <c r="L362" s="401"/>
      <c r="M362" s="401"/>
      <c r="N362" s="401"/>
      <c r="O362" s="401"/>
      <c r="P362" s="401"/>
      <c r="Q362" s="401"/>
      <c r="R362" s="401"/>
      <c r="S362" s="401"/>
      <c r="T362" s="401"/>
      <c r="U362" s="401"/>
      <c r="V362" s="401"/>
      <c r="W362" s="401"/>
      <c r="X362" s="401"/>
      <c r="Y362" s="401"/>
      <c r="Z362" s="401"/>
    </row>
    <row r="363" ht="12.75" customHeight="1">
      <c r="A363" s="401"/>
      <c r="B363" s="401"/>
      <c r="C363" s="401"/>
      <c r="D363" s="401"/>
      <c r="E363" s="401"/>
      <c r="F363" s="550"/>
      <c r="G363" s="550"/>
      <c r="H363" s="401"/>
      <c r="I363" s="401"/>
      <c r="J363" s="401"/>
      <c r="K363" s="401"/>
      <c r="L363" s="401"/>
      <c r="M363" s="401"/>
      <c r="N363" s="401"/>
      <c r="O363" s="401"/>
      <c r="P363" s="401"/>
      <c r="Q363" s="401"/>
      <c r="R363" s="401"/>
      <c r="S363" s="401"/>
      <c r="T363" s="401"/>
      <c r="U363" s="401"/>
      <c r="V363" s="401"/>
      <c r="W363" s="401"/>
      <c r="X363" s="401"/>
      <c r="Y363" s="401"/>
      <c r="Z363" s="401"/>
    </row>
    <row r="364" ht="12.75" customHeight="1">
      <c r="A364" s="401"/>
      <c r="B364" s="401"/>
      <c r="C364" s="401"/>
      <c r="D364" s="401"/>
      <c r="E364" s="401"/>
      <c r="F364" s="550"/>
      <c r="G364" s="550"/>
      <c r="H364" s="401"/>
      <c r="I364" s="401"/>
      <c r="J364" s="401"/>
      <c r="K364" s="401"/>
      <c r="L364" s="401"/>
      <c r="M364" s="401"/>
      <c r="N364" s="401"/>
      <c r="O364" s="401"/>
      <c r="P364" s="401"/>
      <c r="Q364" s="401"/>
      <c r="R364" s="401"/>
      <c r="S364" s="401"/>
      <c r="T364" s="401"/>
      <c r="U364" s="401"/>
      <c r="V364" s="401"/>
      <c r="W364" s="401"/>
      <c r="X364" s="401"/>
      <c r="Y364" s="401"/>
      <c r="Z364" s="401"/>
    </row>
    <row r="365" ht="12.75" customHeight="1">
      <c r="A365" s="401"/>
      <c r="B365" s="401"/>
      <c r="C365" s="401"/>
      <c r="D365" s="401"/>
      <c r="E365" s="401"/>
      <c r="F365" s="550"/>
      <c r="G365" s="550"/>
      <c r="H365" s="401"/>
      <c r="I365" s="401"/>
      <c r="J365" s="401"/>
      <c r="K365" s="401"/>
      <c r="L365" s="401"/>
      <c r="M365" s="401"/>
      <c r="N365" s="401"/>
      <c r="O365" s="401"/>
      <c r="P365" s="401"/>
      <c r="Q365" s="401"/>
      <c r="R365" s="401"/>
      <c r="S365" s="401"/>
      <c r="T365" s="401"/>
      <c r="U365" s="401"/>
      <c r="V365" s="401"/>
      <c r="W365" s="401"/>
      <c r="X365" s="401"/>
      <c r="Y365" s="401"/>
      <c r="Z365" s="401"/>
    </row>
    <row r="366" ht="12.75" customHeight="1">
      <c r="A366" s="401"/>
      <c r="B366" s="401"/>
      <c r="C366" s="401"/>
      <c r="D366" s="401"/>
      <c r="E366" s="401"/>
      <c r="F366" s="550"/>
      <c r="G366" s="550"/>
      <c r="H366" s="401"/>
      <c r="I366" s="401"/>
      <c r="J366" s="401"/>
      <c r="K366" s="401"/>
      <c r="L366" s="401"/>
      <c r="M366" s="401"/>
      <c r="N366" s="401"/>
      <c r="O366" s="401"/>
      <c r="P366" s="401"/>
      <c r="Q366" s="401"/>
      <c r="R366" s="401"/>
      <c r="S366" s="401"/>
      <c r="T366" s="401"/>
      <c r="U366" s="401"/>
      <c r="V366" s="401"/>
      <c r="W366" s="401"/>
      <c r="X366" s="401"/>
      <c r="Y366" s="401"/>
      <c r="Z366" s="401"/>
    </row>
    <row r="367" ht="12.75" customHeight="1">
      <c r="A367" s="401"/>
      <c r="B367" s="401"/>
      <c r="C367" s="401"/>
      <c r="D367" s="401"/>
      <c r="E367" s="401"/>
      <c r="F367" s="550"/>
      <c r="G367" s="550"/>
      <c r="H367" s="401"/>
      <c r="I367" s="401"/>
      <c r="J367" s="401"/>
      <c r="K367" s="401"/>
      <c r="L367" s="401"/>
      <c r="M367" s="401"/>
      <c r="N367" s="401"/>
      <c r="O367" s="401"/>
      <c r="P367" s="401"/>
      <c r="Q367" s="401"/>
      <c r="R367" s="401"/>
      <c r="S367" s="401"/>
      <c r="T367" s="401"/>
      <c r="U367" s="401"/>
      <c r="V367" s="401"/>
      <c r="W367" s="401"/>
      <c r="X367" s="401"/>
      <c r="Y367" s="401"/>
      <c r="Z367" s="401"/>
    </row>
    <row r="368" ht="12.75" customHeight="1">
      <c r="A368" s="401"/>
      <c r="B368" s="401"/>
      <c r="C368" s="401"/>
      <c r="D368" s="401"/>
      <c r="E368" s="401"/>
      <c r="F368" s="550"/>
      <c r="G368" s="550"/>
      <c r="H368" s="401"/>
      <c r="I368" s="401"/>
      <c r="J368" s="401"/>
      <c r="K368" s="401"/>
      <c r="L368" s="401"/>
      <c r="M368" s="401"/>
      <c r="N368" s="401"/>
      <c r="O368" s="401"/>
      <c r="P368" s="401"/>
      <c r="Q368" s="401"/>
      <c r="R368" s="401"/>
      <c r="S368" s="401"/>
      <c r="T368" s="401"/>
      <c r="U368" s="401"/>
      <c r="V368" s="401"/>
      <c r="W368" s="401"/>
      <c r="X368" s="401"/>
      <c r="Y368" s="401"/>
      <c r="Z368" s="401"/>
    </row>
    <row r="369" ht="12.75" customHeight="1">
      <c r="A369" s="401"/>
      <c r="B369" s="401"/>
      <c r="C369" s="401"/>
      <c r="D369" s="401"/>
      <c r="E369" s="401"/>
      <c r="F369" s="550"/>
      <c r="G369" s="550"/>
      <c r="H369" s="401"/>
      <c r="I369" s="401"/>
      <c r="J369" s="401"/>
      <c r="K369" s="401"/>
      <c r="L369" s="401"/>
      <c r="M369" s="401"/>
      <c r="N369" s="401"/>
      <c r="O369" s="401"/>
      <c r="P369" s="401"/>
      <c r="Q369" s="401"/>
      <c r="R369" s="401"/>
      <c r="S369" s="401"/>
      <c r="T369" s="401"/>
      <c r="U369" s="401"/>
      <c r="V369" s="401"/>
      <c r="W369" s="401"/>
      <c r="X369" s="401"/>
      <c r="Y369" s="401"/>
      <c r="Z369" s="401"/>
    </row>
    <row r="370" ht="12.75" customHeight="1">
      <c r="A370" s="401"/>
      <c r="B370" s="401"/>
      <c r="C370" s="401"/>
      <c r="D370" s="401"/>
      <c r="E370" s="401"/>
      <c r="F370" s="550"/>
      <c r="G370" s="550"/>
      <c r="H370" s="401"/>
      <c r="I370" s="401"/>
      <c r="J370" s="401"/>
      <c r="K370" s="401"/>
      <c r="L370" s="401"/>
      <c r="M370" s="401"/>
      <c r="N370" s="401"/>
      <c r="O370" s="401"/>
      <c r="P370" s="401"/>
      <c r="Q370" s="401"/>
      <c r="R370" s="401"/>
      <c r="S370" s="401"/>
      <c r="T370" s="401"/>
      <c r="U370" s="401"/>
      <c r="V370" s="401"/>
      <c r="W370" s="401"/>
      <c r="X370" s="401"/>
      <c r="Y370" s="401"/>
      <c r="Z370" s="401"/>
    </row>
    <row r="371" ht="12.75" customHeight="1">
      <c r="A371" s="401"/>
      <c r="B371" s="401"/>
      <c r="C371" s="401"/>
      <c r="D371" s="401"/>
      <c r="E371" s="401"/>
      <c r="F371" s="550"/>
      <c r="G371" s="550"/>
      <c r="H371" s="401"/>
      <c r="I371" s="401"/>
      <c r="J371" s="401"/>
      <c r="K371" s="401"/>
      <c r="L371" s="401"/>
      <c r="M371" s="401"/>
      <c r="N371" s="401"/>
      <c r="O371" s="401"/>
      <c r="P371" s="401"/>
      <c r="Q371" s="401"/>
      <c r="R371" s="401"/>
      <c r="S371" s="401"/>
      <c r="T371" s="401"/>
      <c r="U371" s="401"/>
      <c r="V371" s="401"/>
      <c r="W371" s="401"/>
      <c r="X371" s="401"/>
      <c r="Y371" s="401"/>
      <c r="Z371" s="401"/>
    </row>
    <row r="372" ht="12.75" customHeight="1">
      <c r="A372" s="401"/>
      <c r="B372" s="401"/>
      <c r="C372" s="401"/>
      <c r="D372" s="401"/>
      <c r="E372" s="401"/>
      <c r="F372" s="550"/>
      <c r="G372" s="550"/>
      <c r="H372" s="401"/>
      <c r="I372" s="401"/>
      <c r="J372" s="401"/>
      <c r="K372" s="401"/>
      <c r="L372" s="401"/>
      <c r="M372" s="401"/>
      <c r="N372" s="401"/>
      <c r="O372" s="401"/>
      <c r="P372" s="401"/>
      <c r="Q372" s="401"/>
      <c r="R372" s="401"/>
      <c r="S372" s="401"/>
      <c r="T372" s="401"/>
      <c r="U372" s="401"/>
      <c r="V372" s="401"/>
      <c r="W372" s="401"/>
      <c r="X372" s="401"/>
      <c r="Y372" s="401"/>
      <c r="Z372" s="401"/>
    </row>
    <row r="373" ht="12.75" customHeight="1">
      <c r="A373" s="401"/>
      <c r="B373" s="401"/>
      <c r="C373" s="401"/>
      <c r="D373" s="401"/>
      <c r="E373" s="401"/>
      <c r="F373" s="550"/>
      <c r="G373" s="550"/>
      <c r="H373" s="401"/>
      <c r="I373" s="401"/>
      <c r="J373" s="401"/>
      <c r="K373" s="401"/>
      <c r="L373" s="401"/>
      <c r="M373" s="401"/>
      <c r="N373" s="401"/>
      <c r="O373" s="401"/>
      <c r="P373" s="401"/>
      <c r="Q373" s="401"/>
      <c r="R373" s="401"/>
      <c r="S373" s="401"/>
      <c r="T373" s="401"/>
      <c r="U373" s="401"/>
      <c r="V373" s="401"/>
      <c r="W373" s="401"/>
      <c r="X373" s="401"/>
      <c r="Y373" s="401"/>
      <c r="Z373" s="401"/>
    </row>
    <row r="374" ht="12.75" customHeight="1">
      <c r="A374" s="401"/>
      <c r="B374" s="401"/>
      <c r="C374" s="401"/>
      <c r="D374" s="401"/>
      <c r="E374" s="401"/>
      <c r="F374" s="550"/>
      <c r="G374" s="550"/>
      <c r="H374" s="401"/>
      <c r="I374" s="401"/>
      <c r="J374" s="401"/>
      <c r="K374" s="401"/>
      <c r="L374" s="401"/>
      <c r="M374" s="401"/>
      <c r="N374" s="401"/>
      <c r="O374" s="401"/>
      <c r="P374" s="401"/>
      <c r="Q374" s="401"/>
      <c r="R374" s="401"/>
      <c r="S374" s="401"/>
      <c r="T374" s="401"/>
      <c r="U374" s="401"/>
      <c r="V374" s="401"/>
      <c r="W374" s="401"/>
      <c r="X374" s="401"/>
      <c r="Y374" s="401"/>
      <c r="Z374" s="401"/>
    </row>
    <row r="375" ht="12.75" customHeight="1">
      <c r="A375" s="401"/>
      <c r="B375" s="401"/>
      <c r="C375" s="401"/>
      <c r="D375" s="401"/>
      <c r="E375" s="401"/>
      <c r="F375" s="550"/>
      <c r="G375" s="550"/>
      <c r="H375" s="401"/>
      <c r="I375" s="401"/>
      <c r="J375" s="401"/>
      <c r="K375" s="401"/>
      <c r="L375" s="401"/>
      <c r="M375" s="401"/>
      <c r="N375" s="401"/>
      <c r="O375" s="401"/>
      <c r="P375" s="401"/>
      <c r="Q375" s="401"/>
      <c r="R375" s="401"/>
      <c r="S375" s="401"/>
      <c r="T375" s="401"/>
      <c r="U375" s="401"/>
      <c r="V375" s="401"/>
      <c r="W375" s="401"/>
      <c r="X375" s="401"/>
      <c r="Y375" s="401"/>
      <c r="Z375" s="401"/>
    </row>
    <row r="376" ht="12.75" customHeight="1">
      <c r="A376" s="401"/>
      <c r="B376" s="401"/>
      <c r="C376" s="401"/>
      <c r="D376" s="401"/>
      <c r="E376" s="401"/>
      <c r="F376" s="550"/>
      <c r="G376" s="550"/>
      <c r="H376" s="401"/>
      <c r="I376" s="401"/>
      <c r="J376" s="401"/>
      <c r="K376" s="401"/>
      <c r="L376" s="401"/>
      <c r="M376" s="401"/>
      <c r="N376" s="401"/>
      <c r="O376" s="401"/>
      <c r="P376" s="401"/>
      <c r="Q376" s="401"/>
      <c r="R376" s="401"/>
      <c r="S376" s="401"/>
      <c r="T376" s="401"/>
      <c r="U376" s="401"/>
      <c r="V376" s="401"/>
      <c r="W376" s="401"/>
      <c r="X376" s="401"/>
      <c r="Y376" s="401"/>
      <c r="Z376" s="401"/>
    </row>
    <row r="377" ht="12.75" customHeight="1">
      <c r="A377" s="401"/>
      <c r="B377" s="401"/>
      <c r="C377" s="401"/>
      <c r="D377" s="401"/>
      <c r="E377" s="401"/>
      <c r="F377" s="550"/>
      <c r="G377" s="550"/>
      <c r="H377" s="401"/>
      <c r="I377" s="401"/>
      <c r="J377" s="401"/>
      <c r="K377" s="401"/>
      <c r="L377" s="401"/>
      <c r="M377" s="401"/>
      <c r="N377" s="401"/>
      <c r="O377" s="401"/>
      <c r="P377" s="401"/>
      <c r="Q377" s="401"/>
      <c r="R377" s="401"/>
      <c r="S377" s="401"/>
      <c r="T377" s="401"/>
      <c r="U377" s="401"/>
      <c r="V377" s="401"/>
      <c r="W377" s="401"/>
      <c r="X377" s="401"/>
      <c r="Y377" s="401"/>
      <c r="Z377" s="401"/>
    </row>
    <row r="378" ht="12.75" customHeight="1">
      <c r="A378" s="401"/>
      <c r="B378" s="401"/>
      <c r="C378" s="401"/>
      <c r="D378" s="401"/>
      <c r="E378" s="401"/>
      <c r="F378" s="550"/>
      <c r="G378" s="550"/>
      <c r="H378" s="401"/>
      <c r="I378" s="401"/>
      <c r="J378" s="401"/>
      <c r="K378" s="401"/>
      <c r="L378" s="401"/>
      <c r="M378" s="401"/>
      <c r="N378" s="401"/>
      <c r="O378" s="401"/>
      <c r="P378" s="401"/>
      <c r="Q378" s="401"/>
      <c r="R378" s="401"/>
      <c r="S378" s="401"/>
      <c r="T378" s="401"/>
      <c r="U378" s="401"/>
      <c r="V378" s="401"/>
      <c r="W378" s="401"/>
      <c r="X378" s="401"/>
      <c r="Y378" s="401"/>
      <c r="Z378" s="401"/>
    </row>
    <row r="379" ht="12.75" customHeight="1">
      <c r="A379" s="401"/>
      <c r="B379" s="401"/>
      <c r="C379" s="401"/>
      <c r="D379" s="401"/>
      <c r="E379" s="401"/>
      <c r="F379" s="550"/>
      <c r="G379" s="550"/>
      <c r="H379" s="401"/>
      <c r="I379" s="401"/>
      <c r="J379" s="401"/>
      <c r="K379" s="401"/>
      <c r="L379" s="401"/>
      <c r="M379" s="401"/>
      <c r="N379" s="401"/>
      <c r="O379" s="401"/>
      <c r="P379" s="401"/>
      <c r="Q379" s="401"/>
      <c r="R379" s="401"/>
      <c r="S379" s="401"/>
      <c r="T379" s="401"/>
      <c r="U379" s="401"/>
      <c r="V379" s="401"/>
      <c r="W379" s="401"/>
      <c r="X379" s="401"/>
      <c r="Y379" s="401"/>
      <c r="Z379" s="401"/>
    </row>
    <row r="380" ht="12.75" customHeight="1">
      <c r="A380" s="401"/>
      <c r="B380" s="401"/>
      <c r="C380" s="401"/>
      <c r="D380" s="401"/>
      <c r="E380" s="401"/>
      <c r="F380" s="550"/>
      <c r="G380" s="550"/>
      <c r="H380" s="401"/>
      <c r="I380" s="401"/>
      <c r="J380" s="401"/>
      <c r="K380" s="401"/>
      <c r="L380" s="401"/>
      <c r="M380" s="401"/>
      <c r="N380" s="401"/>
      <c r="O380" s="401"/>
      <c r="P380" s="401"/>
      <c r="Q380" s="401"/>
      <c r="R380" s="401"/>
      <c r="S380" s="401"/>
      <c r="T380" s="401"/>
      <c r="U380" s="401"/>
      <c r="V380" s="401"/>
      <c r="W380" s="401"/>
      <c r="X380" s="401"/>
      <c r="Y380" s="401"/>
      <c r="Z380" s="401"/>
    </row>
    <row r="381" ht="12.75" customHeight="1">
      <c r="A381" s="401"/>
      <c r="B381" s="401"/>
      <c r="C381" s="401"/>
      <c r="D381" s="401"/>
      <c r="E381" s="401"/>
      <c r="F381" s="550"/>
      <c r="G381" s="550"/>
      <c r="H381" s="401"/>
      <c r="I381" s="401"/>
      <c r="J381" s="401"/>
      <c r="K381" s="401"/>
      <c r="L381" s="401"/>
      <c r="M381" s="401"/>
      <c r="N381" s="401"/>
      <c r="O381" s="401"/>
      <c r="P381" s="401"/>
      <c r="Q381" s="401"/>
      <c r="R381" s="401"/>
      <c r="S381" s="401"/>
      <c r="T381" s="401"/>
      <c r="U381" s="401"/>
      <c r="V381" s="401"/>
      <c r="W381" s="401"/>
      <c r="X381" s="401"/>
      <c r="Y381" s="401"/>
      <c r="Z381" s="401"/>
    </row>
    <row r="382" ht="12.75" customHeight="1">
      <c r="A382" s="401"/>
      <c r="B382" s="401"/>
      <c r="C382" s="401"/>
      <c r="D382" s="401"/>
      <c r="E382" s="401"/>
      <c r="F382" s="550"/>
      <c r="G382" s="550"/>
      <c r="H382" s="401"/>
      <c r="I382" s="401"/>
      <c r="J382" s="401"/>
      <c r="K382" s="401"/>
      <c r="L382" s="401"/>
      <c r="M382" s="401"/>
      <c r="N382" s="401"/>
      <c r="O382" s="401"/>
      <c r="P382" s="401"/>
      <c r="Q382" s="401"/>
      <c r="R382" s="401"/>
      <c r="S382" s="401"/>
      <c r="T382" s="401"/>
      <c r="U382" s="401"/>
      <c r="V382" s="401"/>
      <c r="W382" s="401"/>
      <c r="X382" s="401"/>
      <c r="Y382" s="401"/>
      <c r="Z382" s="401"/>
    </row>
    <row r="383" ht="12.75" customHeight="1">
      <c r="A383" s="401"/>
      <c r="B383" s="401"/>
      <c r="C383" s="401"/>
      <c r="D383" s="401"/>
      <c r="E383" s="401"/>
      <c r="F383" s="550"/>
      <c r="G383" s="550"/>
      <c r="H383" s="401"/>
      <c r="I383" s="401"/>
      <c r="J383" s="401"/>
      <c r="K383" s="401"/>
      <c r="L383" s="401"/>
      <c r="M383" s="401"/>
      <c r="N383" s="401"/>
      <c r="O383" s="401"/>
      <c r="P383" s="401"/>
      <c r="Q383" s="401"/>
      <c r="R383" s="401"/>
      <c r="S383" s="401"/>
      <c r="T383" s="401"/>
      <c r="U383" s="401"/>
      <c r="V383" s="401"/>
      <c r="W383" s="401"/>
      <c r="X383" s="401"/>
      <c r="Y383" s="401"/>
      <c r="Z383" s="401"/>
    </row>
    <row r="384" ht="12.75" customHeight="1">
      <c r="A384" s="401"/>
      <c r="B384" s="401"/>
      <c r="C384" s="401"/>
      <c r="D384" s="401"/>
      <c r="E384" s="401"/>
      <c r="F384" s="550"/>
      <c r="G384" s="550"/>
      <c r="H384" s="401"/>
      <c r="I384" s="401"/>
      <c r="J384" s="401"/>
      <c r="K384" s="401"/>
      <c r="L384" s="401"/>
      <c r="M384" s="401"/>
      <c r="N384" s="401"/>
      <c r="O384" s="401"/>
      <c r="P384" s="401"/>
      <c r="Q384" s="401"/>
      <c r="R384" s="401"/>
      <c r="S384" s="401"/>
      <c r="T384" s="401"/>
      <c r="U384" s="401"/>
      <c r="V384" s="401"/>
      <c r="W384" s="401"/>
      <c r="X384" s="401"/>
      <c r="Y384" s="401"/>
      <c r="Z384" s="401"/>
    </row>
    <row r="385" ht="12.75" customHeight="1">
      <c r="A385" s="401"/>
      <c r="B385" s="401"/>
      <c r="C385" s="401"/>
      <c r="D385" s="401"/>
      <c r="E385" s="401"/>
      <c r="F385" s="550"/>
      <c r="G385" s="550"/>
      <c r="H385" s="401"/>
      <c r="I385" s="401"/>
      <c r="J385" s="401"/>
      <c r="K385" s="401"/>
      <c r="L385" s="401"/>
      <c r="M385" s="401"/>
      <c r="N385" s="401"/>
      <c r="O385" s="401"/>
      <c r="P385" s="401"/>
      <c r="Q385" s="401"/>
      <c r="R385" s="401"/>
      <c r="S385" s="401"/>
      <c r="T385" s="401"/>
      <c r="U385" s="401"/>
      <c r="V385" s="401"/>
      <c r="W385" s="401"/>
      <c r="X385" s="401"/>
      <c r="Y385" s="401"/>
      <c r="Z385" s="401"/>
    </row>
    <row r="386" ht="12.75" customHeight="1">
      <c r="A386" s="401"/>
      <c r="B386" s="401"/>
      <c r="C386" s="401"/>
      <c r="D386" s="401"/>
      <c r="E386" s="401"/>
      <c r="F386" s="550"/>
      <c r="G386" s="550"/>
      <c r="H386" s="401"/>
      <c r="I386" s="401"/>
      <c r="J386" s="401"/>
      <c r="K386" s="401"/>
      <c r="L386" s="401"/>
      <c r="M386" s="401"/>
      <c r="N386" s="401"/>
      <c r="O386" s="401"/>
      <c r="P386" s="401"/>
      <c r="Q386" s="401"/>
      <c r="R386" s="401"/>
      <c r="S386" s="401"/>
      <c r="T386" s="401"/>
      <c r="U386" s="401"/>
      <c r="V386" s="401"/>
      <c r="W386" s="401"/>
      <c r="X386" s="401"/>
      <c r="Y386" s="401"/>
      <c r="Z386" s="401"/>
    </row>
    <row r="387" ht="12.75" customHeight="1">
      <c r="A387" s="401"/>
      <c r="B387" s="401"/>
      <c r="C387" s="401"/>
      <c r="D387" s="401"/>
      <c r="E387" s="401"/>
      <c r="F387" s="550"/>
      <c r="G387" s="550"/>
      <c r="H387" s="401"/>
      <c r="I387" s="401"/>
      <c r="J387" s="401"/>
      <c r="K387" s="401"/>
      <c r="L387" s="401"/>
      <c r="M387" s="401"/>
      <c r="N387" s="401"/>
      <c r="O387" s="401"/>
      <c r="P387" s="401"/>
      <c r="Q387" s="401"/>
      <c r="R387" s="401"/>
      <c r="S387" s="401"/>
      <c r="T387" s="401"/>
      <c r="U387" s="401"/>
      <c r="V387" s="401"/>
      <c r="W387" s="401"/>
      <c r="X387" s="401"/>
      <c r="Y387" s="401"/>
      <c r="Z387" s="401"/>
    </row>
    <row r="388" ht="12.75" customHeight="1">
      <c r="A388" s="401"/>
      <c r="B388" s="401"/>
      <c r="C388" s="401"/>
      <c r="D388" s="401"/>
      <c r="E388" s="401"/>
      <c r="F388" s="550"/>
      <c r="G388" s="550"/>
      <c r="H388" s="401"/>
      <c r="I388" s="401"/>
      <c r="J388" s="401"/>
      <c r="K388" s="401"/>
      <c r="L388" s="401"/>
      <c r="M388" s="401"/>
      <c r="N388" s="401"/>
      <c r="O388" s="401"/>
      <c r="P388" s="401"/>
      <c r="Q388" s="401"/>
      <c r="R388" s="401"/>
      <c r="S388" s="401"/>
      <c r="T388" s="401"/>
      <c r="U388" s="401"/>
      <c r="V388" s="401"/>
      <c r="W388" s="401"/>
      <c r="X388" s="401"/>
      <c r="Y388" s="401"/>
      <c r="Z388" s="401"/>
    </row>
    <row r="389" ht="12.75" customHeight="1">
      <c r="A389" s="401"/>
      <c r="B389" s="401"/>
      <c r="C389" s="401"/>
      <c r="D389" s="401"/>
      <c r="E389" s="401"/>
      <c r="F389" s="550"/>
      <c r="G389" s="550"/>
      <c r="H389" s="401"/>
      <c r="I389" s="401"/>
      <c r="J389" s="401"/>
      <c r="K389" s="401"/>
      <c r="L389" s="401"/>
      <c r="M389" s="401"/>
      <c r="N389" s="401"/>
      <c r="O389" s="401"/>
      <c r="P389" s="401"/>
      <c r="Q389" s="401"/>
      <c r="R389" s="401"/>
      <c r="S389" s="401"/>
      <c r="T389" s="401"/>
      <c r="U389" s="401"/>
      <c r="V389" s="401"/>
      <c r="W389" s="401"/>
      <c r="X389" s="401"/>
      <c r="Y389" s="401"/>
      <c r="Z389" s="401"/>
    </row>
    <row r="390" ht="12.75" customHeight="1">
      <c r="A390" s="401"/>
      <c r="B390" s="401"/>
      <c r="C390" s="401"/>
      <c r="D390" s="401"/>
      <c r="E390" s="401"/>
      <c r="F390" s="550"/>
      <c r="G390" s="550"/>
      <c r="H390" s="401"/>
      <c r="I390" s="401"/>
      <c r="J390" s="401"/>
      <c r="K390" s="401"/>
      <c r="L390" s="401"/>
      <c r="M390" s="401"/>
      <c r="N390" s="401"/>
      <c r="O390" s="401"/>
      <c r="P390" s="401"/>
      <c r="Q390" s="401"/>
      <c r="R390" s="401"/>
      <c r="S390" s="401"/>
      <c r="T390" s="401"/>
      <c r="U390" s="401"/>
      <c r="V390" s="401"/>
      <c r="W390" s="401"/>
      <c r="X390" s="401"/>
      <c r="Y390" s="401"/>
      <c r="Z390" s="401"/>
    </row>
    <row r="391" ht="12.75" customHeight="1">
      <c r="A391" s="401"/>
      <c r="B391" s="401"/>
      <c r="C391" s="401"/>
      <c r="D391" s="401"/>
      <c r="E391" s="401"/>
      <c r="F391" s="550"/>
      <c r="G391" s="550"/>
      <c r="H391" s="401"/>
      <c r="I391" s="401"/>
      <c r="J391" s="401"/>
      <c r="K391" s="401"/>
      <c r="L391" s="401"/>
      <c r="M391" s="401"/>
      <c r="N391" s="401"/>
      <c r="O391" s="401"/>
      <c r="P391" s="401"/>
      <c r="Q391" s="401"/>
      <c r="R391" s="401"/>
      <c r="S391" s="401"/>
      <c r="T391" s="401"/>
      <c r="U391" s="401"/>
      <c r="V391" s="401"/>
      <c r="W391" s="401"/>
      <c r="X391" s="401"/>
      <c r="Y391" s="401"/>
      <c r="Z391" s="401"/>
    </row>
    <row r="392" ht="12.75" customHeight="1">
      <c r="A392" s="401"/>
      <c r="B392" s="401"/>
      <c r="C392" s="401"/>
      <c r="D392" s="401"/>
      <c r="E392" s="401"/>
      <c r="F392" s="550"/>
      <c r="G392" s="550"/>
      <c r="H392" s="401"/>
      <c r="I392" s="401"/>
      <c r="J392" s="401"/>
      <c r="K392" s="401"/>
      <c r="L392" s="401"/>
      <c r="M392" s="401"/>
      <c r="N392" s="401"/>
      <c r="O392" s="401"/>
      <c r="P392" s="401"/>
      <c r="Q392" s="401"/>
      <c r="R392" s="401"/>
      <c r="S392" s="401"/>
      <c r="T392" s="401"/>
      <c r="U392" s="401"/>
      <c r="V392" s="401"/>
      <c r="W392" s="401"/>
      <c r="X392" s="401"/>
      <c r="Y392" s="401"/>
      <c r="Z392" s="401"/>
    </row>
    <row r="393" ht="12.75" customHeight="1">
      <c r="A393" s="401"/>
      <c r="B393" s="401"/>
      <c r="C393" s="401"/>
      <c r="D393" s="401"/>
      <c r="E393" s="401"/>
      <c r="F393" s="550"/>
      <c r="G393" s="550"/>
      <c r="H393" s="401"/>
      <c r="I393" s="401"/>
      <c r="J393" s="401"/>
      <c r="K393" s="401"/>
      <c r="L393" s="401"/>
      <c r="M393" s="401"/>
      <c r="N393" s="401"/>
      <c r="O393" s="401"/>
      <c r="P393" s="401"/>
      <c r="Q393" s="401"/>
      <c r="R393" s="401"/>
      <c r="S393" s="401"/>
      <c r="T393" s="401"/>
      <c r="U393" s="401"/>
      <c r="V393" s="401"/>
      <c r="W393" s="401"/>
      <c r="X393" s="401"/>
      <c r="Y393" s="401"/>
      <c r="Z393" s="401"/>
    </row>
    <row r="394" ht="12.75" customHeight="1">
      <c r="A394" s="401"/>
      <c r="B394" s="401"/>
      <c r="C394" s="401"/>
      <c r="D394" s="401"/>
      <c r="E394" s="401"/>
      <c r="F394" s="550"/>
      <c r="G394" s="550"/>
      <c r="H394" s="401"/>
      <c r="I394" s="401"/>
      <c r="J394" s="401"/>
      <c r="K394" s="401"/>
      <c r="L394" s="401"/>
      <c r="M394" s="401"/>
      <c r="N394" s="401"/>
      <c r="O394" s="401"/>
      <c r="P394" s="401"/>
      <c r="Q394" s="401"/>
      <c r="R394" s="401"/>
      <c r="S394" s="401"/>
      <c r="T394" s="401"/>
      <c r="U394" s="401"/>
      <c r="V394" s="401"/>
      <c r="W394" s="401"/>
      <c r="X394" s="401"/>
      <c r="Y394" s="401"/>
      <c r="Z394" s="401"/>
    </row>
    <row r="395" ht="12.75" customHeight="1">
      <c r="A395" s="401"/>
      <c r="B395" s="401"/>
      <c r="C395" s="401"/>
      <c r="D395" s="401"/>
      <c r="E395" s="401"/>
      <c r="F395" s="550"/>
      <c r="G395" s="550"/>
      <c r="H395" s="401"/>
      <c r="I395" s="401"/>
      <c r="J395" s="401"/>
      <c r="K395" s="401"/>
      <c r="L395" s="401"/>
      <c r="M395" s="401"/>
      <c r="N395" s="401"/>
      <c r="O395" s="401"/>
      <c r="P395" s="401"/>
      <c r="Q395" s="401"/>
      <c r="R395" s="401"/>
      <c r="S395" s="401"/>
      <c r="T395" s="401"/>
      <c r="U395" s="401"/>
      <c r="V395" s="401"/>
      <c r="W395" s="401"/>
      <c r="X395" s="401"/>
      <c r="Y395" s="401"/>
      <c r="Z395" s="401"/>
    </row>
    <row r="396" ht="12.75" customHeight="1">
      <c r="A396" s="401"/>
      <c r="B396" s="401"/>
      <c r="C396" s="401"/>
      <c r="D396" s="401"/>
      <c r="E396" s="401"/>
      <c r="F396" s="550"/>
      <c r="G396" s="550"/>
      <c r="H396" s="401"/>
      <c r="I396" s="401"/>
      <c r="J396" s="401"/>
      <c r="K396" s="401"/>
      <c r="L396" s="401"/>
      <c r="M396" s="401"/>
      <c r="N396" s="401"/>
      <c r="O396" s="401"/>
      <c r="P396" s="401"/>
      <c r="Q396" s="401"/>
      <c r="R396" s="401"/>
      <c r="S396" s="401"/>
      <c r="T396" s="401"/>
      <c r="U396" s="401"/>
      <c r="V396" s="401"/>
      <c r="W396" s="401"/>
      <c r="X396" s="401"/>
      <c r="Y396" s="401"/>
      <c r="Z396" s="401"/>
    </row>
    <row r="397" ht="12.75" customHeight="1">
      <c r="A397" s="401"/>
      <c r="B397" s="401"/>
      <c r="C397" s="401"/>
      <c r="D397" s="401"/>
      <c r="E397" s="401"/>
      <c r="F397" s="550"/>
      <c r="G397" s="550"/>
      <c r="H397" s="401"/>
      <c r="I397" s="401"/>
      <c r="J397" s="401"/>
      <c r="K397" s="401"/>
      <c r="L397" s="401"/>
      <c r="M397" s="401"/>
      <c r="N397" s="401"/>
      <c r="O397" s="401"/>
      <c r="P397" s="401"/>
      <c r="Q397" s="401"/>
      <c r="R397" s="401"/>
      <c r="S397" s="401"/>
      <c r="T397" s="401"/>
      <c r="U397" s="401"/>
      <c r="V397" s="401"/>
      <c r="W397" s="401"/>
      <c r="X397" s="401"/>
      <c r="Y397" s="401"/>
      <c r="Z397" s="401"/>
    </row>
    <row r="398" ht="12.75" customHeight="1">
      <c r="A398" s="401"/>
      <c r="B398" s="401"/>
      <c r="C398" s="401"/>
      <c r="D398" s="401"/>
      <c r="E398" s="401"/>
      <c r="F398" s="550"/>
      <c r="G398" s="550"/>
      <c r="H398" s="401"/>
      <c r="I398" s="401"/>
      <c r="J398" s="401"/>
      <c r="K398" s="401"/>
      <c r="L398" s="401"/>
      <c r="M398" s="401"/>
      <c r="N398" s="401"/>
      <c r="O398" s="401"/>
      <c r="P398" s="401"/>
      <c r="Q398" s="401"/>
      <c r="R398" s="401"/>
      <c r="S398" s="401"/>
      <c r="T398" s="401"/>
      <c r="U398" s="401"/>
      <c r="V398" s="401"/>
      <c r="W398" s="401"/>
      <c r="X398" s="401"/>
      <c r="Y398" s="401"/>
      <c r="Z398" s="401"/>
    </row>
    <row r="399" ht="12.75" customHeight="1">
      <c r="A399" s="401"/>
      <c r="B399" s="401"/>
      <c r="C399" s="401"/>
      <c r="D399" s="401"/>
      <c r="E399" s="401"/>
      <c r="F399" s="550"/>
      <c r="G399" s="550"/>
      <c r="H399" s="401"/>
      <c r="I399" s="401"/>
      <c r="J399" s="401"/>
      <c r="K399" s="401"/>
      <c r="L399" s="401"/>
      <c r="M399" s="401"/>
      <c r="N399" s="401"/>
      <c r="O399" s="401"/>
      <c r="P399" s="401"/>
      <c r="Q399" s="401"/>
      <c r="R399" s="401"/>
      <c r="S399" s="401"/>
      <c r="T399" s="401"/>
      <c r="U399" s="401"/>
      <c r="V399" s="401"/>
      <c r="W399" s="401"/>
      <c r="X399" s="401"/>
      <c r="Y399" s="401"/>
      <c r="Z399" s="401"/>
    </row>
    <row r="400" ht="12.75" customHeight="1">
      <c r="A400" s="401"/>
      <c r="B400" s="401"/>
      <c r="C400" s="401"/>
      <c r="D400" s="401"/>
      <c r="E400" s="401"/>
      <c r="F400" s="550"/>
      <c r="G400" s="550"/>
      <c r="H400" s="401"/>
      <c r="I400" s="401"/>
      <c r="J400" s="401"/>
      <c r="K400" s="401"/>
      <c r="L400" s="401"/>
      <c r="M400" s="401"/>
      <c r="N400" s="401"/>
      <c r="O400" s="401"/>
      <c r="P400" s="401"/>
      <c r="Q400" s="401"/>
      <c r="R400" s="401"/>
      <c r="S400" s="401"/>
      <c r="T400" s="401"/>
      <c r="U400" s="401"/>
      <c r="V400" s="401"/>
      <c r="W400" s="401"/>
      <c r="X400" s="401"/>
      <c r="Y400" s="401"/>
      <c r="Z400" s="401"/>
    </row>
    <row r="401" ht="12.75" customHeight="1">
      <c r="A401" s="401"/>
      <c r="B401" s="401"/>
      <c r="C401" s="401"/>
      <c r="D401" s="401"/>
      <c r="E401" s="401"/>
      <c r="F401" s="550"/>
      <c r="G401" s="550"/>
      <c r="H401" s="401"/>
      <c r="I401" s="401"/>
      <c r="J401" s="401"/>
      <c r="K401" s="401"/>
      <c r="L401" s="401"/>
      <c r="M401" s="401"/>
      <c r="N401" s="401"/>
      <c r="O401" s="401"/>
      <c r="P401" s="401"/>
      <c r="Q401" s="401"/>
      <c r="R401" s="401"/>
      <c r="S401" s="401"/>
      <c r="T401" s="401"/>
      <c r="U401" s="401"/>
      <c r="V401" s="401"/>
      <c r="W401" s="401"/>
      <c r="X401" s="401"/>
      <c r="Y401" s="401"/>
      <c r="Z401" s="401"/>
    </row>
    <row r="402" ht="12.75" customHeight="1">
      <c r="A402" s="401"/>
      <c r="B402" s="401"/>
      <c r="C402" s="401"/>
      <c r="D402" s="401"/>
      <c r="E402" s="401"/>
      <c r="F402" s="550"/>
      <c r="G402" s="550"/>
      <c r="H402" s="401"/>
      <c r="I402" s="401"/>
      <c r="J402" s="401"/>
      <c r="K402" s="401"/>
      <c r="L402" s="401"/>
      <c r="M402" s="401"/>
      <c r="N402" s="401"/>
      <c r="O402" s="401"/>
      <c r="P402" s="401"/>
      <c r="Q402" s="401"/>
      <c r="R402" s="401"/>
      <c r="S402" s="401"/>
      <c r="T402" s="401"/>
      <c r="U402" s="401"/>
      <c r="V402" s="401"/>
      <c r="W402" s="401"/>
      <c r="X402" s="401"/>
      <c r="Y402" s="401"/>
      <c r="Z402" s="401"/>
    </row>
    <row r="403" ht="12.75" customHeight="1">
      <c r="A403" s="401"/>
      <c r="B403" s="401"/>
      <c r="C403" s="401"/>
      <c r="D403" s="401"/>
      <c r="E403" s="401"/>
      <c r="F403" s="550"/>
      <c r="G403" s="550"/>
      <c r="H403" s="401"/>
      <c r="I403" s="401"/>
      <c r="J403" s="401"/>
      <c r="K403" s="401"/>
      <c r="L403" s="401"/>
      <c r="M403" s="401"/>
      <c r="N403" s="401"/>
      <c r="O403" s="401"/>
      <c r="P403" s="401"/>
      <c r="Q403" s="401"/>
      <c r="R403" s="401"/>
      <c r="S403" s="401"/>
      <c r="T403" s="401"/>
      <c r="U403" s="401"/>
      <c r="V403" s="401"/>
      <c r="W403" s="401"/>
      <c r="X403" s="401"/>
      <c r="Y403" s="401"/>
      <c r="Z403" s="401"/>
    </row>
    <row r="404" ht="12.75" customHeight="1">
      <c r="A404" s="401"/>
      <c r="B404" s="401"/>
      <c r="C404" s="401"/>
      <c r="D404" s="401"/>
      <c r="E404" s="401"/>
      <c r="F404" s="550"/>
      <c r="G404" s="550"/>
      <c r="H404" s="401"/>
      <c r="I404" s="401"/>
      <c r="J404" s="401"/>
      <c r="K404" s="401"/>
      <c r="L404" s="401"/>
      <c r="M404" s="401"/>
      <c r="N404" s="401"/>
      <c r="O404" s="401"/>
      <c r="P404" s="401"/>
      <c r="Q404" s="401"/>
      <c r="R404" s="401"/>
      <c r="S404" s="401"/>
      <c r="T404" s="401"/>
      <c r="U404" s="401"/>
      <c r="V404" s="401"/>
      <c r="W404" s="401"/>
      <c r="X404" s="401"/>
      <c r="Y404" s="401"/>
      <c r="Z404" s="401"/>
    </row>
    <row r="405" ht="12.75" customHeight="1">
      <c r="A405" s="401"/>
      <c r="B405" s="401"/>
      <c r="C405" s="401"/>
      <c r="D405" s="401"/>
      <c r="E405" s="401"/>
      <c r="F405" s="550"/>
      <c r="G405" s="550"/>
      <c r="H405" s="401"/>
      <c r="I405" s="401"/>
      <c r="J405" s="401"/>
      <c r="K405" s="401"/>
      <c r="L405" s="401"/>
      <c r="M405" s="401"/>
      <c r="N405" s="401"/>
      <c r="O405" s="401"/>
      <c r="P405" s="401"/>
      <c r="Q405" s="401"/>
      <c r="R405" s="401"/>
      <c r="S405" s="401"/>
      <c r="T405" s="401"/>
      <c r="U405" s="401"/>
      <c r="V405" s="401"/>
      <c r="W405" s="401"/>
      <c r="X405" s="401"/>
      <c r="Y405" s="401"/>
      <c r="Z405" s="401"/>
    </row>
    <row r="406" ht="12.75" customHeight="1">
      <c r="A406" s="401"/>
      <c r="B406" s="401"/>
      <c r="C406" s="401"/>
      <c r="D406" s="401"/>
      <c r="E406" s="401"/>
      <c r="F406" s="550"/>
      <c r="G406" s="550"/>
      <c r="H406" s="401"/>
      <c r="I406" s="401"/>
      <c r="J406" s="401"/>
      <c r="K406" s="401"/>
      <c r="L406" s="401"/>
      <c r="M406" s="401"/>
      <c r="N406" s="401"/>
      <c r="O406" s="401"/>
      <c r="P406" s="401"/>
      <c r="Q406" s="401"/>
      <c r="R406" s="401"/>
      <c r="S406" s="401"/>
      <c r="T406" s="401"/>
      <c r="U406" s="401"/>
      <c r="V406" s="401"/>
      <c r="W406" s="401"/>
      <c r="X406" s="401"/>
      <c r="Y406" s="401"/>
      <c r="Z406" s="401"/>
    </row>
    <row r="407" ht="12.75" customHeight="1">
      <c r="A407" s="401"/>
      <c r="B407" s="401"/>
      <c r="C407" s="401"/>
      <c r="D407" s="401"/>
      <c r="E407" s="401"/>
      <c r="F407" s="550"/>
      <c r="G407" s="550"/>
      <c r="H407" s="401"/>
      <c r="I407" s="401"/>
      <c r="J407" s="401"/>
      <c r="K407" s="401"/>
      <c r="L407" s="401"/>
      <c r="M407" s="401"/>
      <c r="N407" s="401"/>
      <c r="O407" s="401"/>
      <c r="P407" s="401"/>
      <c r="Q407" s="401"/>
      <c r="R407" s="401"/>
      <c r="S407" s="401"/>
      <c r="T407" s="401"/>
      <c r="U407" s="401"/>
      <c r="V407" s="401"/>
      <c r="W407" s="401"/>
      <c r="X407" s="401"/>
      <c r="Y407" s="401"/>
      <c r="Z407" s="401"/>
    </row>
    <row r="408" ht="12.75" customHeight="1">
      <c r="A408" s="401"/>
      <c r="B408" s="401"/>
      <c r="C408" s="401"/>
      <c r="D408" s="401"/>
      <c r="E408" s="401"/>
      <c r="F408" s="550"/>
      <c r="G408" s="550"/>
      <c r="H408" s="401"/>
      <c r="I408" s="401"/>
      <c r="J408" s="401"/>
      <c r="K408" s="401"/>
      <c r="L408" s="401"/>
      <c r="M408" s="401"/>
      <c r="N408" s="401"/>
      <c r="O408" s="401"/>
      <c r="P408" s="401"/>
      <c r="Q408" s="401"/>
      <c r="R408" s="401"/>
      <c r="S408" s="401"/>
      <c r="T408" s="401"/>
      <c r="U408" s="401"/>
      <c r="V408" s="401"/>
      <c r="W408" s="401"/>
      <c r="X408" s="401"/>
      <c r="Y408" s="401"/>
      <c r="Z408" s="401"/>
    </row>
    <row r="409" ht="12.75" customHeight="1">
      <c r="A409" s="401"/>
      <c r="B409" s="401"/>
      <c r="C409" s="401"/>
      <c r="D409" s="401"/>
      <c r="E409" s="401"/>
      <c r="F409" s="550"/>
      <c r="G409" s="550"/>
      <c r="H409" s="401"/>
      <c r="I409" s="401"/>
      <c r="J409" s="401"/>
      <c r="K409" s="401"/>
      <c r="L409" s="401"/>
      <c r="M409" s="401"/>
      <c r="N409" s="401"/>
      <c r="O409" s="401"/>
      <c r="P409" s="401"/>
      <c r="Q409" s="401"/>
      <c r="R409" s="401"/>
      <c r="S409" s="401"/>
      <c r="T409" s="401"/>
      <c r="U409" s="401"/>
      <c r="V409" s="401"/>
      <c r="W409" s="401"/>
      <c r="X409" s="401"/>
      <c r="Y409" s="401"/>
      <c r="Z409" s="401"/>
    </row>
    <row r="410" ht="12.75" customHeight="1">
      <c r="A410" s="401"/>
      <c r="B410" s="401"/>
      <c r="C410" s="401"/>
      <c r="D410" s="401"/>
      <c r="E410" s="401"/>
      <c r="F410" s="550"/>
      <c r="G410" s="550"/>
      <c r="H410" s="401"/>
      <c r="I410" s="401"/>
      <c r="J410" s="401"/>
      <c r="K410" s="401"/>
      <c r="L410" s="401"/>
      <c r="M410" s="401"/>
      <c r="N410" s="401"/>
      <c r="O410" s="401"/>
      <c r="P410" s="401"/>
      <c r="Q410" s="401"/>
      <c r="R410" s="401"/>
      <c r="S410" s="401"/>
      <c r="T410" s="401"/>
      <c r="U410" s="401"/>
      <c r="V410" s="401"/>
      <c r="W410" s="401"/>
      <c r="X410" s="401"/>
      <c r="Y410" s="401"/>
      <c r="Z410" s="401"/>
    </row>
    <row r="411" ht="12.75" customHeight="1">
      <c r="A411" s="401"/>
      <c r="B411" s="401"/>
      <c r="C411" s="401"/>
      <c r="D411" s="401"/>
      <c r="E411" s="401"/>
      <c r="F411" s="550"/>
      <c r="G411" s="550"/>
      <c r="H411" s="401"/>
      <c r="I411" s="401"/>
      <c r="J411" s="401"/>
      <c r="K411" s="401"/>
      <c r="L411" s="401"/>
      <c r="M411" s="401"/>
      <c r="N411" s="401"/>
      <c r="O411" s="401"/>
      <c r="P411" s="401"/>
      <c r="Q411" s="401"/>
      <c r="R411" s="401"/>
      <c r="S411" s="401"/>
      <c r="T411" s="401"/>
      <c r="U411" s="401"/>
      <c r="V411" s="401"/>
      <c r="W411" s="401"/>
      <c r="X411" s="401"/>
      <c r="Y411" s="401"/>
      <c r="Z411" s="401"/>
    </row>
    <row r="412" ht="12.75" customHeight="1">
      <c r="A412" s="401"/>
      <c r="B412" s="401"/>
      <c r="C412" s="401"/>
      <c r="D412" s="401"/>
      <c r="E412" s="401"/>
      <c r="F412" s="550"/>
      <c r="G412" s="550"/>
      <c r="H412" s="401"/>
      <c r="I412" s="401"/>
      <c r="J412" s="401"/>
      <c r="K412" s="401"/>
      <c r="L412" s="401"/>
      <c r="M412" s="401"/>
      <c r="N412" s="401"/>
      <c r="O412" s="401"/>
      <c r="P412" s="401"/>
      <c r="Q412" s="401"/>
      <c r="R412" s="401"/>
      <c r="S412" s="401"/>
      <c r="T412" s="401"/>
      <c r="U412" s="401"/>
      <c r="V412" s="401"/>
      <c r="W412" s="401"/>
      <c r="X412" s="401"/>
      <c r="Y412" s="401"/>
      <c r="Z412" s="401"/>
    </row>
    <row r="413" ht="12.75" customHeight="1">
      <c r="A413" s="401"/>
      <c r="B413" s="401"/>
      <c r="C413" s="401"/>
      <c r="D413" s="401"/>
      <c r="E413" s="401"/>
      <c r="F413" s="550"/>
      <c r="G413" s="550"/>
      <c r="H413" s="401"/>
      <c r="I413" s="401"/>
      <c r="J413" s="401"/>
      <c r="K413" s="401"/>
      <c r="L413" s="401"/>
      <c r="M413" s="401"/>
      <c r="N413" s="401"/>
      <c r="O413" s="401"/>
      <c r="P413" s="401"/>
      <c r="Q413" s="401"/>
      <c r="R413" s="401"/>
      <c r="S413" s="401"/>
      <c r="T413" s="401"/>
      <c r="U413" s="401"/>
      <c r="V413" s="401"/>
      <c r="W413" s="401"/>
      <c r="X413" s="401"/>
      <c r="Y413" s="401"/>
      <c r="Z413" s="401"/>
    </row>
    <row r="414" ht="12.75" customHeight="1">
      <c r="A414" s="401"/>
      <c r="B414" s="401"/>
      <c r="C414" s="401"/>
      <c r="D414" s="401"/>
      <c r="E414" s="401"/>
      <c r="F414" s="550"/>
      <c r="G414" s="550"/>
      <c r="H414" s="401"/>
      <c r="I414" s="401"/>
      <c r="J414" s="401"/>
      <c r="K414" s="401"/>
      <c r="L414" s="401"/>
      <c r="M414" s="401"/>
      <c r="N414" s="401"/>
      <c r="O414" s="401"/>
      <c r="P414" s="401"/>
      <c r="Q414" s="401"/>
      <c r="R414" s="401"/>
      <c r="S414" s="401"/>
      <c r="T414" s="401"/>
      <c r="U414" s="401"/>
      <c r="V414" s="401"/>
      <c r="W414" s="401"/>
      <c r="X414" s="401"/>
      <c r="Y414" s="401"/>
      <c r="Z414" s="401"/>
    </row>
    <row r="415" ht="12.75" customHeight="1">
      <c r="A415" s="401"/>
      <c r="B415" s="401"/>
      <c r="C415" s="401"/>
      <c r="D415" s="401"/>
      <c r="E415" s="401"/>
      <c r="F415" s="550"/>
      <c r="G415" s="550"/>
      <c r="H415" s="401"/>
      <c r="I415" s="401"/>
      <c r="J415" s="401"/>
      <c r="K415" s="401"/>
      <c r="L415" s="401"/>
      <c r="M415" s="401"/>
      <c r="N415" s="401"/>
      <c r="O415" s="401"/>
      <c r="P415" s="401"/>
      <c r="Q415" s="401"/>
      <c r="R415" s="401"/>
      <c r="S415" s="401"/>
      <c r="T415" s="401"/>
      <c r="U415" s="401"/>
      <c r="V415" s="401"/>
      <c r="W415" s="401"/>
      <c r="X415" s="401"/>
      <c r="Y415" s="401"/>
      <c r="Z415" s="401"/>
    </row>
    <row r="416" ht="12.75" customHeight="1">
      <c r="A416" s="401"/>
      <c r="B416" s="401"/>
      <c r="C416" s="401"/>
      <c r="D416" s="401"/>
      <c r="E416" s="401"/>
      <c r="F416" s="550"/>
      <c r="G416" s="550"/>
      <c r="H416" s="401"/>
      <c r="I416" s="401"/>
      <c r="J416" s="401"/>
      <c r="K416" s="401"/>
      <c r="L416" s="401"/>
      <c r="M416" s="401"/>
      <c r="N416" s="401"/>
      <c r="O416" s="401"/>
      <c r="P416" s="401"/>
      <c r="Q416" s="401"/>
      <c r="R416" s="401"/>
      <c r="S416" s="401"/>
      <c r="T416" s="401"/>
      <c r="U416" s="401"/>
      <c r="V416" s="401"/>
      <c r="W416" s="401"/>
      <c r="X416" s="401"/>
      <c r="Y416" s="401"/>
      <c r="Z416" s="401"/>
    </row>
    <row r="417" ht="12.75" customHeight="1">
      <c r="A417" s="401"/>
      <c r="B417" s="401"/>
      <c r="C417" s="401"/>
      <c r="D417" s="401"/>
      <c r="E417" s="401"/>
      <c r="F417" s="550"/>
      <c r="G417" s="550"/>
      <c r="H417" s="401"/>
      <c r="I417" s="401"/>
      <c r="J417" s="401"/>
      <c r="K417" s="401"/>
      <c r="L417" s="401"/>
      <c r="M417" s="401"/>
      <c r="N417" s="401"/>
      <c r="O417" s="401"/>
      <c r="P417" s="401"/>
      <c r="Q417" s="401"/>
      <c r="R417" s="401"/>
      <c r="S417" s="401"/>
      <c r="T417" s="401"/>
      <c r="U417" s="401"/>
      <c r="V417" s="401"/>
      <c r="W417" s="401"/>
      <c r="X417" s="401"/>
      <c r="Y417" s="401"/>
      <c r="Z417" s="401"/>
    </row>
    <row r="418" ht="12.75" customHeight="1">
      <c r="A418" s="401"/>
      <c r="B418" s="401"/>
      <c r="C418" s="401"/>
      <c r="D418" s="401"/>
      <c r="E418" s="401"/>
      <c r="F418" s="550"/>
      <c r="G418" s="550"/>
      <c r="H418" s="401"/>
      <c r="I418" s="401"/>
      <c r="J418" s="401"/>
      <c r="K418" s="401"/>
      <c r="L418" s="401"/>
      <c r="M418" s="401"/>
      <c r="N418" s="401"/>
      <c r="O418" s="401"/>
      <c r="P418" s="401"/>
      <c r="Q418" s="401"/>
      <c r="R418" s="401"/>
      <c r="S418" s="401"/>
      <c r="T418" s="401"/>
      <c r="U418" s="401"/>
      <c r="V418" s="401"/>
      <c r="W418" s="401"/>
      <c r="X418" s="401"/>
      <c r="Y418" s="401"/>
      <c r="Z418" s="401"/>
    </row>
    <row r="419" ht="12.75" customHeight="1">
      <c r="A419" s="401"/>
      <c r="B419" s="401"/>
      <c r="C419" s="401"/>
      <c r="D419" s="401"/>
      <c r="E419" s="401"/>
      <c r="F419" s="550"/>
      <c r="G419" s="550"/>
      <c r="H419" s="401"/>
      <c r="I419" s="401"/>
      <c r="J419" s="401"/>
      <c r="K419" s="401"/>
      <c r="L419" s="401"/>
      <c r="M419" s="401"/>
      <c r="N419" s="401"/>
      <c r="O419" s="401"/>
      <c r="P419" s="401"/>
      <c r="Q419" s="401"/>
      <c r="R419" s="401"/>
      <c r="S419" s="401"/>
      <c r="T419" s="401"/>
      <c r="U419" s="401"/>
      <c r="V419" s="401"/>
      <c r="W419" s="401"/>
      <c r="X419" s="401"/>
      <c r="Y419" s="401"/>
      <c r="Z419" s="401"/>
    </row>
    <row r="420" ht="12.75" customHeight="1">
      <c r="A420" s="401"/>
      <c r="B420" s="401"/>
      <c r="C420" s="401"/>
      <c r="D420" s="401"/>
      <c r="E420" s="401"/>
      <c r="F420" s="550"/>
      <c r="G420" s="550"/>
      <c r="H420" s="401"/>
      <c r="I420" s="401"/>
      <c r="J420" s="401"/>
      <c r="K420" s="401"/>
      <c r="L420" s="401"/>
      <c r="M420" s="401"/>
      <c r="N420" s="401"/>
      <c r="O420" s="401"/>
      <c r="P420" s="401"/>
      <c r="Q420" s="401"/>
      <c r="R420" s="401"/>
      <c r="S420" s="401"/>
      <c r="T420" s="401"/>
      <c r="U420" s="401"/>
      <c r="V420" s="401"/>
      <c r="W420" s="401"/>
      <c r="X420" s="401"/>
      <c r="Y420" s="401"/>
      <c r="Z420" s="401"/>
    </row>
    <row r="421" ht="12.75" customHeight="1">
      <c r="A421" s="401"/>
      <c r="B421" s="401"/>
      <c r="C421" s="401"/>
      <c r="D421" s="401"/>
      <c r="E421" s="401"/>
      <c r="F421" s="550"/>
      <c r="G421" s="550"/>
      <c r="H421" s="401"/>
      <c r="I421" s="401"/>
      <c r="J421" s="401"/>
      <c r="K421" s="401"/>
      <c r="L421" s="401"/>
      <c r="M421" s="401"/>
      <c r="N421" s="401"/>
      <c r="O421" s="401"/>
      <c r="P421" s="401"/>
      <c r="Q421" s="401"/>
      <c r="R421" s="401"/>
      <c r="S421" s="401"/>
      <c r="T421" s="401"/>
      <c r="U421" s="401"/>
      <c r="V421" s="401"/>
      <c r="W421" s="401"/>
      <c r="X421" s="401"/>
      <c r="Y421" s="401"/>
      <c r="Z421" s="401"/>
    </row>
    <row r="422" ht="12.75" customHeight="1">
      <c r="A422" s="401"/>
      <c r="B422" s="401"/>
      <c r="C422" s="401"/>
      <c r="D422" s="401"/>
      <c r="E422" s="401"/>
      <c r="F422" s="550"/>
      <c r="G422" s="550"/>
      <c r="H422" s="401"/>
      <c r="I422" s="401"/>
      <c r="J422" s="401"/>
      <c r="K422" s="401"/>
      <c r="L422" s="401"/>
      <c r="M422" s="401"/>
      <c r="N422" s="401"/>
      <c r="O422" s="401"/>
      <c r="P422" s="401"/>
      <c r="Q422" s="401"/>
      <c r="R422" s="401"/>
      <c r="S422" s="401"/>
      <c r="T422" s="401"/>
      <c r="U422" s="401"/>
      <c r="V422" s="401"/>
      <c r="W422" s="401"/>
      <c r="X422" s="401"/>
      <c r="Y422" s="401"/>
      <c r="Z422" s="401"/>
    </row>
    <row r="423" ht="12.75" customHeight="1">
      <c r="A423" s="401"/>
      <c r="B423" s="401"/>
      <c r="C423" s="401"/>
      <c r="D423" s="401"/>
      <c r="E423" s="401"/>
      <c r="F423" s="550"/>
      <c r="G423" s="550"/>
      <c r="H423" s="401"/>
      <c r="I423" s="401"/>
      <c r="J423" s="401"/>
      <c r="K423" s="401"/>
      <c r="L423" s="401"/>
      <c r="M423" s="401"/>
      <c r="N423" s="401"/>
      <c r="O423" s="401"/>
      <c r="P423" s="401"/>
      <c r="Q423" s="401"/>
      <c r="R423" s="401"/>
      <c r="S423" s="401"/>
      <c r="T423" s="401"/>
      <c r="U423" s="401"/>
      <c r="V423" s="401"/>
      <c r="W423" s="401"/>
      <c r="X423" s="401"/>
      <c r="Y423" s="401"/>
      <c r="Z423" s="401"/>
    </row>
    <row r="424" ht="12.75" customHeight="1">
      <c r="A424" s="401"/>
      <c r="B424" s="401"/>
      <c r="C424" s="401"/>
      <c r="D424" s="401"/>
      <c r="E424" s="401"/>
      <c r="F424" s="550"/>
      <c r="G424" s="550"/>
      <c r="H424" s="401"/>
      <c r="I424" s="401"/>
      <c r="J424" s="401"/>
      <c r="K424" s="401"/>
      <c r="L424" s="401"/>
      <c r="M424" s="401"/>
      <c r="N424" s="401"/>
      <c r="O424" s="401"/>
      <c r="P424" s="401"/>
      <c r="Q424" s="401"/>
      <c r="R424" s="401"/>
      <c r="S424" s="401"/>
      <c r="T424" s="401"/>
      <c r="U424" s="401"/>
      <c r="V424" s="401"/>
      <c r="W424" s="401"/>
      <c r="X424" s="401"/>
      <c r="Y424" s="401"/>
      <c r="Z424" s="401"/>
    </row>
    <row r="425" ht="12.75" customHeight="1">
      <c r="A425" s="401"/>
      <c r="B425" s="401"/>
      <c r="C425" s="401"/>
      <c r="D425" s="401"/>
      <c r="E425" s="401"/>
      <c r="F425" s="550"/>
      <c r="G425" s="550"/>
      <c r="H425" s="401"/>
      <c r="I425" s="401"/>
      <c r="J425" s="401"/>
      <c r="K425" s="401"/>
      <c r="L425" s="401"/>
      <c r="M425" s="401"/>
      <c r="N425" s="401"/>
      <c r="O425" s="401"/>
      <c r="P425" s="401"/>
      <c r="Q425" s="401"/>
      <c r="R425" s="401"/>
      <c r="S425" s="401"/>
      <c r="T425" s="401"/>
      <c r="U425" s="401"/>
      <c r="V425" s="401"/>
      <c r="W425" s="401"/>
      <c r="X425" s="401"/>
      <c r="Y425" s="401"/>
      <c r="Z425" s="401"/>
    </row>
    <row r="426" ht="12.75" customHeight="1">
      <c r="A426" s="401"/>
      <c r="B426" s="401"/>
      <c r="C426" s="401"/>
      <c r="D426" s="401"/>
      <c r="E426" s="401"/>
      <c r="F426" s="550"/>
      <c r="G426" s="550"/>
      <c r="H426" s="401"/>
      <c r="I426" s="401"/>
      <c r="J426" s="401"/>
      <c r="K426" s="401"/>
      <c r="L426" s="401"/>
      <c r="M426" s="401"/>
      <c r="N426" s="401"/>
      <c r="O426" s="401"/>
      <c r="P426" s="401"/>
      <c r="Q426" s="401"/>
      <c r="R426" s="401"/>
      <c r="S426" s="401"/>
      <c r="T426" s="401"/>
      <c r="U426" s="401"/>
      <c r="V426" s="401"/>
      <c r="W426" s="401"/>
      <c r="X426" s="401"/>
      <c r="Y426" s="401"/>
      <c r="Z426" s="401"/>
    </row>
    <row r="427" ht="12.75" customHeight="1">
      <c r="A427" s="401"/>
      <c r="B427" s="401"/>
      <c r="C427" s="401"/>
      <c r="D427" s="401"/>
      <c r="E427" s="401"/>
      <c r="F427" s="550"/>
      <c r="G427" s="550"/>
      <c r="H427" s="401"/>
      <c r="I427" s="401"/>
      <c r="J427" s="401"/>
      <c r="K427" s="401"/>
      <c r="L427" s="401"/>
      <c r="M427" s="401"/>
      <c r="N427" s="401"/>
      <c r="O427" s="401"/>
      <c r="P427" s="401"/>
      <c r="Q427" s="401"/>
      <c r="R427" s="401"/>
      <c r="S427" s="401"/>
      <c r="T427" s="401"/>
      <c r="U427" s="401"/>
      <c r="V427" s="401"/>
      <c r="W427" s="401"/>
      <c r="X427" s="401"/>
      <c r="Y427" s="401"/>
      <c r="Z427" s="401"/>
    </row>
    <row r="428" ht="12.75" customHeight="1">
      <c r="A428" s="401"/>
      <c r="B428" s="401"/>
      <c r="C428" s="401"/>
      <c r="D428" s="401"/>
      <c r="E428" s="401"/>
      <c r="F428" s="550"/>
      <c r="G428" s="550"/>
      <c r="H428" s="401"/>
      <c r="I428" s="401"/>
      <c r="J428" s="401"/>
      <c r="K428" s="401"/>
      <c r="L428" s="401"/>
      <c r="M428" s="401"/>
      <c r="N428" s="401"/>
      <c r="O428" s="401"/>
      <c r="P428" s="401"/>
      <c r="Q428" s="401"/>
      <c r="R428" s="401"/>
      <c r="S428" s="401"/>
      <c r="T428" s="401"/>
      <c r="U428" s="401"/>
      <c r="V428" s="401"/>
      <c r="W428" s="401"/>
      <c r="X428" s="401"/>
      <c r="Y428" s="401"/>
      <c r="Z428" s="401"/>
    </row>
    <row r="429" ht="12.75" customHeight="1">
      <c r="A429" s="401"/>
      <c r="B429" s="401"/>
      <c r="C429" s="401"/>
      <c r="D429" s="401"/>
      <c r="E429" s="401"/>
      <c r="F429" s="550"/>
      <c r="G429" s="550"/>
      <c r="H429" s="401"/>
      <c r="I429" s="401"/>
      <c r="J429" s="401"/>
      <c r="K429" s="401"/>
      <c r="L429" s="401"/>
      <c r="M429" s="401"/>
      <c r="N429" s="401"/>
      <c r="O429" s="401"/>
      <c r="P429" s="401"/>
      <c r="Q429" s="401"/>
      <c r="R429" s="401"/>
      <c r="S429" s="401"/>
      <c r="T429" s="401"/>
      <c r="U429" s="401"/>
      <c r="V429" s="401"/>
      <c r="W429" s="401"/>
      <c r="X429" s="401"/>
      <c r="Y429" s="401"/>
      <c r="Z429" s="401"/>
    </row>
    <row r="430" ht="12.75" customHeight="1">
      <c r="A430" s="401"/>
      <c r="B430" s="401"/>
      <c r="C430" s="401"/>
      <c r="D430" s="401"/>
      <c r="E430" s="401"/>
      <c r="F430" s="550"/>
      <c r="G430" s="550"/>
      <c r="H430" s="401"/>
      <c r="I430" s="401"/>
      <c r="J430" s="401"/>
      <c r="K430" s="401"/>
      <c r="L430" s="401"/>
      <c r="M430" s="401"/>
      <c r="N430" s="401"/>
      <c r="O430" s="401"/>
      <c r="P430" s="401"/>
      <c r="Q430" s="401"/>
      <c r="R430" s="401"/>
      <c r="S430" s="401"/>
      <c r="T430" s="401"/>
      <c r="U430" s="401"/>
      <c r="V430" s="401"/>
      <c r="W430" s="401"/>
      <c r="X430" s="401"/>
      <c r="Y430" s="401"/>
      <c r="Z430" s="401"/>
    </row>
    <row r="431" ht="12.75" customHeight="1">
      <c r="A431" s="401"/>
      <c r="B431" s="401"/>
      <c r="C431" s="401"/>
      <c r="D431" s="401"/>
      <c r="E431" s="401"/>
      <c r="F431" s="550"/>
      <c r="G431" s="550"/>
      <c r="H431" s="401"/>
      <c r="I431" s="401"/>
      <c r="J431" s="401"/>
      <c r="K431" s="401"/>
      <c r="L431" s="401"/>
      <c r="M431" s="401"/>
      <c r="N431" s="401"/>
      <c r="O431" s="401"/>
      <c r="P431" s="401"/>
      <c r="Q431" s="401"/>
      <c r="R431" s="401"/>
      <c r="S431" s="401"/>
      <c r="T431" s="401"/>
      <c r="U431" s="401"/>
      <c r="V431" s="401"/>
      <c r="W431" s="401"/>
      <c r="X431" s="401"/>
      <c r="Y431" s="401"/>
      <c r="Z431" s="401"/>
    </row>
    <row r="432" ht="12.75" customHeight="1">
      <c r="A432" s="401"/>
      <c r="B432" s="401"/>
      <c r="C432" s="401"/>
      <c r="D432" s="401"/>
      <c r="E432" s="401"/>
      <c r="F432" s="550"/>
      <c r="G432" s="550"/>
      <c r="H432" s="401"/>
      <c r="I432" s="401"/>
      <c r="J432" s="401"/>
      <c r="K432" s="401"/>
      <c r="L432" s="401"/>
      <c r="M432" s="401"/>
      <c r="N432" s="401"/>
      <c r="O432" s="401"/>
      <c r="P432" s="401"/>
      <c r="Q432" s="401"/>
      <c r="R432" s="401"/>
      <c r="S432" s="401"/>
      <c r="T432" s="401"/>
      <c r="U432" s="401"/>
      <c r="V432" s="401"/>
      <c r="W432" s="401"/>
      <c r="X432" s="401"/>
      <c r="Y432" s="401"/>
      <c r="Z432" s="401"/>
    </row>
    <row r="433" ht="12.75" customHeight="1">
      <c r="A433" s="401"/>
      <c r="B433" s="401"/>
      <c r="C433" s="401"/>
      <c r="D433" s="401"/>
      <c r="E433" s="401"/>
      <c r="F433" s="550"/>
      <c r="G433" s="550"/>
      <c r="H433" s="401"/>
      <c r="I433" s="401"/>
      <c r="J433" s="401"/>
      <c r="K433" s="401"/>
      <c r="L433" s="401"/>
      <c r="M433" s="401"/>
      <c r="N433" s="401"/>
      <c r="O433" s="401"/>
      <c r="P433" s="401"/>
      <c r="Q433" s="401"/>
      <c r="R433" s="401"/>
      <c r="S433" s="401"/>
      <c r="T433" s="401"/>
      <c r="U433" s="401"/>
      <c r="V433" s="401"/>
      <c r="W433" s="401"/>
      <c r="X433" s="401"/>
      <c r="Y433" s="401"/>
      <c r="Z433" s="401"/>
    </row>
    <row r="434" ht="12.75" customHeight="1">
      <c r="A434" s="401"/>
      <c r="B434" s="401"/>
      <c r="C434" s="401"/>
      <c r="D434" s="401"/>
      <c r="E434" s="401"/>
      <c r="F434" s="550"/>
      <c r="G434" s="550"/>
      <c r="H434" s="401"/>
      <c r="I434" s="401"/>
      <c r="J434" s="401"/>
      <c r="K434" s="401"/>
      <c r="L434" s="401"/>
      <c r="M434" s="401"/>
      <c r="N434" s="401"/>
      <c r="O434" s="401"/>
      <c r="P434" s="401"/>
      <c r="Q434" s="401"/>
      <c r="R434" s="401"/>
      <c r="S434" s="401"/>
      <c r="T434" s="401"/>
      <c r="U434" s="401"/>
      <c r="V434" s="401"/>
      <c r="W434" s="401"/>
      <c r="X434" s="401"/>
      <c r="Y434" s="401"/>
      <c r="Z434" s="401"/>
    </row>
    <row r="435" ht="12.75" customHeight="1">
      <c r="A435" s="401"/>
      <c r="B435" s="401"/>
      <c r="C435" s="401"/>
      <c r="D435" s="401"/>
      <c r="E435" s="401"/>
      <c r="F435" s="550"/>
      <c r="G435" s="550"/>
      <c r="H435" s="401"/>
      <c r="I435" s="401"/>
      <c r="J435" s="401"/>
      <c r="K435" s="401"/>
      <c r="L435" s="401"/>
      <c r="M435" s="401"/>
      <c r="N435" s="401"/>
      <c r="O435" s="401"/>
      <c r="P435" s="401"/>
      <c r="Q435" s="401"/>
      <c r="R435" s="401"/>
      <c r="S435" s="401"/>
      <c r="T435" s="401"/>
      <c r="U435" s="401"/>
      <c r="V435" s="401"/>
      <c r="W435" s="401"/>
      <c r="X435" s="401"/>
      <c r="Y435" s="401"/>
      <c r="Z435" s="401"/>
    </row>
    <row r="436" ht="12.75" customHeight="1">
      <c r="A436" s="401"/>
      <c r="B436" s="401"/>
      <c r="C436" s="401"/>
      <c r="D436" s="401"/>
      <c r="E436" s="401"/>
      <c r="F436" s="550"/>
      <c r="G436" s="550"/>
      <c r="H436" s="401"/>
      <c r="I436" s="401"/>
      <c r="J436" s="401"/>
      <c r="K436" s="401"/>
      <c r="L436" s="401"/>
      <c r="M436" s="401"/>
      <c r="N436" s="401"/>
      <c r="O436" s="401"/>
      <c r="P436" s="401"/>
      <c r="Q436" s="401"/>
      <c r="R436" s="401"/>
      <c r="S436" s="401"/>
      <c r="T436" s="401"/>
      <c r="U436" s="401"/>
      <c r="V436" s="401"/>
      <c r="W436" s="401"/>
      <c r="X436" s="401"/>
      <c r="Y436" s="401"/>
      <c r="Z436" s="401"/>
    </row>
    <row r="437" ht="12.75" customHeight="1">
      <c r="A437" s="401"/>
      <c r="B437" s="401"/>
      <c r="C437" s="401"/>
      <c r="D437" s="401"/>
      <c r="E437" s="401"/>
      <c r="F437" s="550"/>
      <c r="G437" s="550"/>
      <c r="H437" s="401"/>
      <c r="I437" s="401"/>
      <c r="J437" s="401"/>
      <c r="K437" s="401"/>
      <c r="L437" s="401"/>
      <c r="M437" s="401"/>
      <c r="N437" s="401"/>
      <c r="O437" s="401"/>
      <c r="P437" s="401"/>
      <c r="Q437" s="401"/>
      <c r="R437" s="401"/>
      <c r="S437" s="401"/>
      <c r="T437" s="401"/>
      <c r="U437" s="401"/>
      <c r="V437" s="401"/>
      <c r="W437" s="401"/>
      <c r="X437" s="401"/>
      <c r="Y437" s="401"/>
      <c r="Z437" s="401"/>
    </row>
    <row r="438" ht="12.75" customHeight="1">
      <c r="A438" s="401"/>
      <c r="B438" s="401"/>
      <c r="C438" s="401"/>
      <c r="D438" s="401"/>
      <c r="E438" s="401"/>
      <c r="F438" s="550"/>
      <c r="G438" s="550"/>
      <c r="H438" s="401"/>
      <c r="I438" s="401"/>
      <c r="J438" s="401"/>
      <c r="K438" s="401"/>
      <c r="L438" s="401"/>
      <c r="M438" s="401"/>
      <c r="N438" s="401"/>
      <c r="O438" s="401"/>
      <c r="P438" s="401"/>
      <c r="Q438" s="401"/>
      <c r="R438" s="401"/>
      <c r="S438" s="401"/>
      <c r="T438" s="401"/>
      <c r="U438" s="401"/>
      <c r="V438" s="401"/>
      <c r="W438" s="401"/>
      <c r="X438" s="401"/>
      <c r="Y438" s="401"/>
      <c r="Z438" s="401"/>
    </row>
    <row r="439" ht="12.75" customHeight="1">
      <c r="A439" s="401"/>
      <c r="B439" s="401"/>
      <c r="C439" s="401"/>
      <c r="D439" s="401"/>
      <c r="E439" s="401"/>
      <c r="F439" s="550"/>
      <c r="G439" s="550"/>
      <c r="H439" s="401"/>
      <c r="I439" s="401"/>
      <c r="J439" s="401"/>
      <c r="K439" s="401"/>
      <c r="L439" s="401"/>
      <c r="M439" s="401"/>
      <c r="N439" s="401"/>
      <c r="O439" s="401"/>
      <c r="P439" s="401"/>
      <c r="Q439" s="401"/>
      <c r="R439" s="401"/>
      <c r="S439" s="401"/>
      <c r="T439" s="401"/>
      <c r="U439" s="401"/>
      <c r="V439" s="401"/>
      <c r="W439" s="401"/>
      <c r="X439" s="401"/>
      <c r="Y439" s="401"/>
      <c r="Z439" s="401"/>
    </row>
    <row r="440" ht="12.75" customHeight="1">
      <c r="A440" s="401"/>
      <c r="B440" s="401"/>
      <c r="C440" s="401"/>
      <c r="D440" s="401"/>
      <c r="E440" s="401"/>
      <c r="F440" s="550"/>
      <c r="G440" s="550"/>
      <c r="H440" s="401"/>
      <c r="I440" s="401"/>
      <c r="J440" s="401"/>
      <c r="K440" s="401"/>
      <c r="L440" s="401"/>
      <c r="M440" s="401"/>
      <c r="N440" s="401"/>
      <c r="O440" s="401"/>
      <c r="P440" s="401"/>
      <c r="Q440" s="401"/>
      <c r="R440" s="401"/>
      <c r="S440" s="401"/>
      <c r="T440" s="401"/>
      <c r="U440" s="401"/>
      <c r="V440" s="401"/>
      <c r="W440" s="401"/>
      <c r="X440" s="401"/>
      <c r="Y440" s="401"/>
      <c r="Z440" s="401"/>
    </row>
    <row r="441" ht="12.75" customHeight="1">
      <c r="A441" s="401"/>
      <c r="B441" s="401"/>
      <c r="C441" s="401"/>
      <c r="D441" s="401"/>
      <c r="E441" s="401"/>
      <c r="F441" s="550"/>
      <c r="G441" s="550"/>
      <c r="H441" s="401"/>
      <c r="I441" s="401"/>
      <c r="J441" s="401"/>
      <c r="K441" s="401"/>
      <c r="L441" s="401"/>
      <c r="M441" s="401"/>
      <c r="N441" s="401"/>
      <c r="O441" s="401"/>
      <c r="P441" s="401"/>
      <c r="Q441" s="401"/>
      <c r="R441" s="401"/>
      <c r="S441" s="401"/>
      <c r="T441" s="401"/>
      <c r="U441" s="401"/>
      <c r="V441" s="401"/>
      <c r="W441" s="401"/>
      <c r="X441" s="401"/>
      <c r="Y441" s="401"/>
      <c r="Z441" s="401"/>
    </row>
    <row r="442" ht="12.75" customHeight="1">
      <c r="A442" s="401"/>
      <c r="B442" s="401"/>
      <c r="C442" s="401"/>
      <c r="D442" s="401"/>
      <c r="E442" s="401"/>
      <c r="F442" s="550"/>
      <c r="G442" s="550"/>
      <c r="H442" s="401"/>
      <c r="I442" s="401"/>
      <c r="J442" s="401"/>
      <c r="K442" s="401"/>
      <c r="L442" s="401"/>
      <c r="M442" s="401"/>
      <c r="N442" s="401"/>
      <c r="O442" s="401"/>
      <c r="P442" s="401"/>
      <c r="Q442" s="401"/>
      <c r="R442" s="401"/>
      <c r="S442" s="401"/>
      <c r="T442" s="401"/>
      <c r="U442" s="401"/>
      <c r="V442" s="401"/>
      <c r="W442" s="401"/>
      <c r="X442" s="401"/>
      <c r="Y442" s="401"/>
      <c r="Z442" s="401"/>
    </row>
    <row r="443" ht="12.75" customHeight="1">
      <c r="A443" s="401"/>
      <c r="B443" s="401"/>
      <c r="C443" s="401"/>
      <c r="D443" s="401"/>
      <c r="E443" s="401"/>
      <c r="F443" s="550"/>
      <c r="G443" s="550"/>
      <c r="H443" s="401"/>
      <c r="I443" s="401"/>
      <c r="J443" s="401"/>
      <c r="K443" s="401"/>
      <c r="L443" s="401"/>
      <c r="M443" s="401"/>
      <c r="N443" s="401"/>
      <c r="O443" s="401"/>
      <c r="P443" s="401"/>
      <c r="Q443" s="401"/>
      <c r="R443" s="401"/>
      <c r="S443" s="401"/>
      <c r="T443" s="401"/>
      <c r="U443" s="401"/>
      <c r="V443" s="401"/>
      <c r="W443" s="401"/>
      <c r="X443" s="401"/>
      <c r="Y443" s="401"/>
      <c r="Z443" s="401"/>
    </row>
    <row r="444" ht="12.75" customHeight="1">
      <c r="A444" s="401"/>
      <c r="B444" s="401"/>
      <c r="C444" s="401"/>
      <c r="D444" s="401"/>
      <c r="E444" s="401"/>
      <c r="F444" s="550"/>
      <c r="G444" s="550"/>
      <c r="H444" s="401"/>
      <c r="I444" s="401"/>
      <c r="J444" s="401"/>
      <c r="K444" s="401"/>
      <c r="L444" s="401"/>
      <c r="M444" s="401"/>
      <c r="N444" s="401"/>
      <c r="O444" s="401"/>
      <c r="P444" s="401"/>
      <c r="Q444" s="401"/>
      <c r="R444" s="401"/>
      <c r="S444" s="401"/>
      <c r="T444" s="401"/>
      <c r="U444" s="401"/>
      <c r="V444" s="401"/>
      <c r="W444" s="401"/>
      <c r="X444" s="401"/>
      <c r="Y444" s="401"/>
      <c r="Z444" s="401"/>
    </row>
    <row r="445" ht="12.75" customHeight="1">
      <c r="A445" s="401"/>
      <c r="B445" s="401"/>
      <c r="C445" s="401"/>
      <c r="D445" s="401"/>
      <c r="E445" s="401"/>
      <c r="F445" s="550"/>
      <c r="G445" s="550"/>
      <c r="H445" s="401"/>
      <c r="I445" s="401"/>
      <c r="J445" s="401"/>
      <c r="K445" s="401"/>
      <c r="L445" s="401"/>
      <c r="M445" s="401"/>
      <c r="N445" s="401"/>
      <c r="O445" s="401"/>
      <c r="P445" s="401"/>
      <c r="Q445" s="401"/>
      <c r="R445" s="401"/>
      <c r="S445" s="401"/>
      <c r="T445" s="401"/>
      <c r="U445" s="401"/>
      <c r="V445" s="401"/>
      <c r="W445" s="401"/>
      <c r="X445" s="401"/>
      <c r="Y445" s="401"/>
      <c r="Z445" s="401"/>
    </row>
    <row r="446" ht="12.75" customHeight="1">
      <c r="A446" s="401"/>
      <c r="B446" s="401"/>
      <c r="C446" s="401"/>
      <c r="D446" s="401"/>
      <c r="E446" s="401"/>
      <c r="F446" s="550"/>
      <c r="G446" s="550"/>
      <c r="H446" s="401"/>
      <c r="I446" s="401"/>
      <c r="J446" s="401"/>
      <c r="K446" s="401"/>
      <c r="L446" s="401"/>
      <c r="M446" s="401"/>
      <c r="N446" s="401"/>
      <c r="O446" s="401"/>
      <c r="P446" s="401"/>
      <c r="Q446" s="401"/>
      <c r="R446" s="401"/>
      <c r="S446" s="401"/>
      <c r="T446" s="401"/>
      <c r="U446" s="401"/>
      <c r="V446" s="401"/>
      <c r="W446" s="401"/>
      <c r="X446" s="401"/>
      <c r="Y446" s="401"/>
      <c r="Z446" s="401"/>
    </row>
    <row r="447" ht="12.75" customHeight="1">
      <c r="A447" s="401"/>
      <c r="B447" s="401"/>
      <c r="C447" s="401"/>
      <c r="D447" s="401"/>
      <c r="E447" s="401"/>
      <c r="F447" s="550"/>
      <c r="G447" s="550"/>
      <c r="H447" s="401"/>
      <c r="I447" s="401"/>
      <c r="J447" s="401"/>
      <c r="K447" s="401"/>
      <c r="L447" s="401"/>
      <c r="M447" s="401"/>
      <c r="N447" s="401"/>
      <c r="O447" s="401"/>
      <c r="P447" s="401"/>
      <c r="Q447" s="401"/>
      <c r="R447" s="401"/>
      <c r="S447" s="401"/>
      <c r="T447" s="401"/>
      <c r="U447" s="401"/>
      <c r="V447" s="401"/>
      <c r="W447" s="401"/>
      <c r="X447" s="401"/>
      <c r="Y447" s="401"/>
      <c r="Z447" s="401"/>
    </row>
    <row r="448" ht="12.75" customHeight="1">
      <c r="A448" s="401"/>
      <c r="B448" s="401"/>
      <c r="C448" s="401"/>
      <c r="D448" s="401"/>
      <c r="E448" s="401"/>
      <c r="F448" s="550"/>
      <c r="G448" s="550"/>
      <c r="H448" s="401"/>
      <c r="I448" s="401"/>
      <c r="J448" s="401"/>
      <c r="K448" s="401"/>
      <c r="L448" s="401"/>
      <c r="M448" s="401"/>
      <c r="N448" s="401"/>
      <c r="O448" s="401"/>
      <c r="P448" s="401"/>
      <c r="Q448" s="401"/>
      <c r="R448" s="401"/>
      <c r="S448" s="401"/>
      <c r="T448" s="401"/>
      <c r="U448" s="401"/>
      <c r="V448" s="401"/>
      <c r="W448" s="401"/>
      <c r="X448" s="401"/>
      <c r="Y448" s="401"/>
      <c r="Z448" s="401"/>
    </row>
    <row r="449" ht="12.75" customHeight="1">
      <c r="A449" s="401"/>
      <c r="B449" s="401"/>
      <c r="C449" s="401"/>
      <c r="D449" s="401"/>
      <c r="E449" s="401"/>
      <c r="F449" s="550"/>
      <c r="G449" s="550"/>
      <c r="H449" s="401"/>
      <c r="I449" s="401"/>
      <c r="J449" s="401"/>
      <c r="K449" s="401"/>
      <c r="L449" s="401"/>
      <c r="M449" s="401"/>
      <c r="N449" s="401"/>
      <c r="O449" s="401"/>
      <c r="P449" s="401"/>
      <c r="Q449" s="401"/>
      <c r="R449" s="401"/>
      <c r="S449" s="401"/>
      <c r="T449" s="401"/>
      <c r="U449" s="401"/>
      <c r="V449" s="401"/>
      <c r="W449" s="401"/>
      <c r="X449" s="401"/>
      <c r="Y449" s="401"/>
      <c r="Z449" s="401"/>
    </row>
    <row r="450" ht="12.75" customHeight="1">
      <c r="A450" s="401"/>
      <c r="B450" s="401"/>
      <c r="C450" s="401"/>
      <c r="D450" s="401"/>
      <c r="E450" s="401"/>
      <c r="F450" s="550"/>
      <c r="G450" s="550"/>
      <c r="H450" s="401"/>
      <c r="I450" s="401"/>
      <c r="J450" s="401"/>
      <c r="K450" s="401"/>
      <c r="L450" s="401"/>
      <c r="M450" s="401"/>
      <c r="N450" s="401"/>
      <c r="O450" s="401"/>
      <c r="P450" s="401"/>
      <c r="Q450" s="401"/>
      <c r="R450" s="401"/>
      <c r="S450" s="401"/>
      <c r="T450" s="401"/>
      <c r="U450" s="401"/>
      <c r="V450" s="401"/>
      <c r="W450" s="401"/>
      <c r="X450" s="401"/>
      <c r="Y450" s="401"/>
      <c r="Z450" s="401"/>
    </row>
    <row r="451" ht="12.75" customHeight="1">
      <c r="A451" s="401"/>
      <c r="B451" s="401"/>
      <c r="C451" s="401"/>
      <c r="D451" s="401"/>
      <c r="E451" s="401"/>
      <c r="F451" s="550"/>
      <c r="G451" s="550"/>
      <c r="H451" s="401"/>
      <c r="I451" s="401"/>
      <c r="J451" s="401"/>
      <c r="K451" s="401"/>
      <c r="L451" s="401"/>
      <c r="M451" s="401"/>
      <c r="N451" s="401"/>
      <c r="O451" s="401"/>
      <c r="P451" s="401"/>
      <c r="Q451" s="401"/>
      <c r="R451" s="401"/>
      <c r="S451" s="401"/>
      <c r="T451" s="401"/>
      <c r="U451" s="401"/>
      <c r="V451" s="401"/>
      <c r="W451" s="401"/>
      <c r="X451" s="401"/>
      <c r="Y451" s="401"/>
      <c r="Z451" s="401"/>
    </row>
    <row r="452" ht="12.75" customHeight="1">
      <c r="A452" s="401"/>
      <c r="B452" s="401"/>
      <c r="C452" s="401"/>
      <c r="D452" s="401"/>
      <c r="E452" s="401"/>
      <c r="F452" s="550"/>
      <c r="G452" s="550"/>
      <c r="H452" s="401"/>
      <c r="I452" s="401"/>
      <c r="J452" s="401"/>
      <c r="K452" s="401"/>
      <c r="L452" s="401"/>
      <c r="M452" s="401"/>
      <c r="N452" s="401"/>
      <c r="O452" s="401"/>
      <c r="P452" s="401"/>
      <c r="Q452" s="401"/>
      <c r="R452" s="401"/>
      <c r="S452" s="401"/>
      <c r="T452" s="401"/>
      <c r="U452" s="401"/>
      <c r="V452" s="401"/>
      <c r="W452" s="401"/>
      <c r="X452" s="401"/>
      <c r="Y452" s="401"/>
      <c r="Z452" s="401"/>
    </row>
    <row r="453" ht="12.75" customHeight="1">
      <c r="A453" s="401"/>
      <c r="B453" s="401"/>
      <c r="C453" s="401"/>
      <c r="D453" s="401"/>
      <c r="E453" s="401"/>
      <c r="F453" s="550"/>
      <c r="G453" s="550"/>
      <c r="H453" s="401"/>
      <c r="I453" s="401"/>
      <c r="J453" s="401"/>
      <c r="K453" s="401"/>
      <c r="L453" s="401"/>
      <c r="M453" s="401"/>
      <c r="N453" s="401"/>
      <c r="O453" s="401"/>
      <c r="P453" s="401"/>
      <c r="Q453" s="401"/>
      <c r="R453" s="401"/>
      <c r="S453" s="401"/>
      <c r="T453" s="401"/>
      <c r="U453" s="401"/>
      <c r="V453" s="401"/>
      <c r="W453" s="401"/>
      <c r="X453" s="401"/>
      <c r="Y453" s="401"/>
      <c r="Z453" s="401"/>
    </row>
    <row r="454" ht="12.75" customHeight="1">
      <c r="A454" s="401"/>
      <c r="B454" s="401"/>
      <c r="C454" s="401"/>
      <c r="D454" s="401"/>
      <c r="E454" s="401"/>
      <c r="F454" s="550"/>
      <c r="G454" s="550"/>
      <c r="H454" s="401"/>
      <c r="I454" s="401"/>
      <c r="J454" s="401"/>
      <c r="K454" s="401"/>
      <c r="L454" s="401"/>
      <c r="M454" s="401"/>
      <c r="N454" s="401"/>
      <c r="O454" s="401"/>
      <c r="P454" s="401"/>
      <c r="Q454" s="401"/>
      <c r="R454" s="401"/>
      <c r="S454" s="401"/>
      <c r="T454" s="401"/>
      <c r="U454" s="401"/>
      <c r="V454" s="401"/>
      <c r="W454" s="401"/>
      <c r="X454" s="401"/>
      <c r="Y454" s="401"/>
      <c r="Z454" s="401"/>
    </row>
    <row r="455" ht="12.75" customHeight="1">
      <c r="A455" s="401"/>
      <c r="B455" s="401"/>
      <c r="C455" s="401"/>
      <c r="D455" s="401"/>
      <c r="E455" s="401"/>
      <c r="F455" s="550"/>
      <c r="G455" s="550"/>
      <c r="H455" s="401"/>
      <c r="I455" s="401"/>
      <c r="J455" s="401"/>
      <c r="K455" s="401"/>
      <c r="L455" s="401"/>
      <c r="M455" s="401"/>
      <c r="N455" s="401"/>
      <c r="O455" s="401"/>
      <c r="P455" s="401"/>
      <c r="Q455" s="401"/>
      <c r="R455" s="401"/>
      <c r="S455" s="401"/>
      <c r="T455" s="401"/>
      <c r="U455" s="401"/>
      <c r="V455" s="401"/>
      <c r="W455" s="401"/>
      <c r="X455" s="401"/>
      <c r="Y455" s="401"/>
      <c r="Z455" s="401"/>
    </row>
    <row r="456" ht="12.75" customHeight="1">
      <c r="A456" s="401"/>
      <c r="B456" s="401"/>
      <c r="C456" s="401"/>
      <c r="D456" s="401"/>
      <c r="E456" s="401"/>
      <c r="F456" s="550"/>
      <c r="G456" s="550"/>
      <c r="H456" s="401"/>
      <c r="I456" s="401"/>
      <c r="J456" s="401"/>
      <c r="K456" s="401"/>
      <c r="L456" s="401"/>
      <c r="M456" s="401"/>
      <c r="N456" s="401"/>
      <c r="O456" s="401"/>
      <c r="P456" s="401"/>
      <c r="Q456" s="401"/>
      <c r="R456" s="401"/>
      <c r="S456" s="401"/>
      <c r="T456" s="401"/>
      <c r="U456" s="401"/>
      <c r="V456" s="401"/>
      <c r="W456" s="401"/>
      <c r="X456" s="401"/>
      <c r="Y456" s="401"/>
      <c r="Z456" s="401"/>
    </row>
    <row r="457" ht="12.75" customHeight="1">
      <c r="A457" s="401"/>
      <c r="B457" s="401"/>
      <c r="C457" s="401"/>
      <c r="D457" s="401"/>
      <c r="E457" s="401"/>
      <c r="F457" s="550"/>
      <c r="G457" s="550"/>
      <c r="H457" s="401"/>
      <c r="I457" s="401"/>
      <c r="J457" s="401"/>
      <c r="K457" s="401"/>
      <c r="L457" s="401"/>
      <c r="M457" s="401"/>
      <c r="N457" s="401"/>
      <c r="O457" s="401"/>
      <c r="P457" s="401"/>
      <c r="Q457" s="401"/>
      <c r="R457" s="401"/>
      <c r="S457" s="401"/>
      <c r="T457" s="401"/>
      <c r="U457" s="401"/>
      <c r="V457" s="401"/>
      <c r="W457" s="401"/>
      <c r="X457" s="401"/>
      <c r="Y457" s="401"/>
      <c r="Z457" s="401"/>
    </row>
    <row r="458" ht="12.75" customHeight="1">
      <c r="A458" s="401"/>
      <c r="B458" s="401"/>
      <c r="C458" s="401"/>
      <c r="D458" s="401"/>
      <c r="E458" s="401"/>
      <c r="F458" s="550"/>
      <c r="G458" s="550"/>
      <c r="H458" s="401"/>
      <c r="I458" s="401"/>
      <c r="J458" s="401"/>
      <c r="K458" s="401"/>
      <c r="L458" s="401"/>
      <c r="M458" s="401"/>
      <c r="N458" s="401"/>
      <c r="O458" s="401"/>
      <c r="P458" s="401"/>
      <c r="Q458" s="401"/>
      <c r="R458" s="401"/>
      <c r="S458" s="401"/>
      <c r="T458" s="401"/>
      <c r="U458" s="401"/>
      <c r="V458" s="401"/>
      <c r="W458" s="401"/>
      <c r="X458" s="401"/>
      <c r="Y458" s="401"/>
      <c r="Z458" s="401"/>
    </row>
    <row r="459" ht="12.75" customHeight="1">
      <c r="A459" s="401"/>
      <c r="B459" s="401"/>
      <c r="C459" s="401"/>
      <c r="D459" s="401"/>
      <c r="E459" s="401"/>
      <c r="F459" s="550"/>
      <c r="G459" s="550"/>
      <c r="H459" s="401"/>
      <c r="I459" s="401"/>
      <c r="J459" s="401"/>
      <c r="K459" s="401"/>
      <c r="L459" s="401"/>
      <c r="M459" s="401"/>
      <c r="N459" s="401"/>
      <c r="O459" s="401"/>
      <c r="P459" s="401"/>
      <c r="Q459" s="401"/>
      <c r="R459" s="401"/>
      <c r="S459" s="401"/>
      <c r="T459" s="401"/>
      <c r="U459" s="401"/>
      <c r="V459" s="401"/>
      <c r="W459" s="401"/>
      <c r="X459" s="401"/>
      <c r="Y459" s="401"/>
      <c r="Z459" s="401"/>
    </row>
    <row r="460" ht="12.75" customHeight="1">
      <c r="A460" s="401"/>
      <c r="B460" s="401"/>
      <c r="C460" s="401"/>
      <c r="D460" s="401"/>
      <c r="E460" s="401"/>
      <c r="F460" s="550"/>
      <c r="G460" s="550"/>
      <c r="H460" s="401"/>
      <c r="I460" s="401"/>
      <c r="J460" s="401"/>
      <c r="K460" s="401"/>
      <c r="L460" s="401"/>
      <c r="M460" s="401"/>
      <c r="N460" s="401"/>
      <c r="O460" s="401"/>
      <c r="P460" s="401"/>
      <c r="Q460" s="401"/>
      <c r="R460" s="401"/>
      <c r="S460" s="401"/>
      <c r="T460" s="401"/>
      <c r="U460" s="401"/>
      <c r="V460" s="401"/>
      <c r="W460" s="401"/>
      <c r="X460" s="401"/>
      <c r="Y460" s="401"/>
      <c r="Z460" s="401"/>
    </row>
    <row r="461" ht="12.75" customHeight="1">
      <c r="A461" s="401"/>
      <c r="B461" s="401"/>
      <c r="C461" s="401"/>
      <c r="D461" s="401"/>
      <c r="E461" s="401"/>
      <c r="F461" s="550"/>
      <c r="G461" s="550"/>
      <c r="H461" s="401"/>
      <c r="I461" s="401"/>
      <c r="J461" s="401"/>
      <c r="K461" s="401"/>
      <c r="L461" s="401"/>
      <c r="M461" s="401"/>
      <c r="N461" s="401"/>
      <c r="O461" s="401"/>
      <c r="P461" s="401"/>
      <c r="Q461" s="401"/>
      <c r="R461" s="401"/>
      <c r="S461" s="401"/>
      <c r="T461" s="401"/>
      <c r="U461" s="401"/>
      <c r="V461" s="401"/>
      <c r="W461" s="401"/>
      <c r="X461" s="401"/>
      <c r="Y461" s="401"/>
      <c r="Z461" s="401"/>
    </row>
    <row r="462" ht="12.75" customHeight="1">
      <c r="A462" s="401"/>
      <c r="B462" s="401"/>
      <c r="C462" s="401"/>
      <c r="D462" s="401"/>
      <c r="E462" s="401"/>
      <c r="F462" s="550"/>
      <c r="G462" s="550"/>
      <c r="H462" s="401"/>
      <c r="I462" s="401"/>
      <c r="J462" s="401"/>
      <c r="K462" s="401"/>
      <c r="L462" s="401"/>
      <c r="M462" s="401"/>
      <c r="N462" s="401"/>
      <c r="O462" s="401"/>
      <c r="P462" s="401"/>
      <c r="Q462" s="401"/>
      <c r="R462" s="401"/>
      <c r="S462" s="401"/>
      <c r="T462" s="401"/>
      <c r="U462" s="401"/>
      <c r="V462" s="401"/>
      <c r="W462" s="401"/>
      <c r="X462" s="401"/>
      <c r="Y462" s="401"/>
      <c r="Z462" s="401"/>
    </row>
    <row r="463" ht="12.75" customHeight="1">
      <c r="A463" s="401"/>
      <c r="B463" s="401"/>
      <c r="C463" s="401"/>
      <c r="D463" s="401"/>
      <c r="E463" s="401"/>
      <c r="F463" s="550"/>
      <c r="G463" s="550"/>
      <c r="H463" s="401"/>
      <c r="I463" s="401"/>
      <c r="J463" s="401"/>
      <c r="K463" s="401"/>
      <c r="L463" s="401"/>
      <c r="M463" s="401"/>
      <c r="N463" s="401"/>
      <c r="O463" s="401"/>
      <c r="P463" s="401"/>
      <c r="Q463" s="401"/>
      <c r="R463" s="401"/>
      <c r="S463" s="401"/>
      <c r="T463" s="401"/>
      <c r="U463" s="401"/>
      <c r="V463" s="401"/>
      <c r="W463" s="401"/>
      <c r="X463" s="401"/>
      <c r="Y463" s="401"/>
      <c r="Z463" s="401"/>
    </row>
    <row r="464" ht="12.75" customHeight="1">
      <c r="A464" s="401"/>
      <c r="B464" s="401"/>
      <c r="C464" s="401"/>
      <c r="D464" s="401"/>
      <c r="E464" s="401"/>
      <c r="F464" s="550"/>
      <c r="G464" s="550"/>
      <c r="H464" s="401"/>
      <c r="I464" s="401"/>
      <c r="J464" s="401"/>
      <c r="K464" s="401"/>
      <c r="L464" s="401"/>
      <c r="M464" s="401"/>
      <c r="N464" s="401"/>
      <c r="O464" s="401"/>
      <c r="P464" s="401"/>
      <c r="Q464" s="401"/>
      <c r="R464" s="401"/>
      <c r="S464" s="401"/>
      <c r="T464" s="401"/>
      <c r="U464" s="401"/>
      <c r="V464" s="401"/>
      <c r="W464" s="401"/>
      <c r="X464" s="401"/>
      <c r="Y464" s="401"/>
      <c r="Z464" s="401"/>
    </row>
    <row r="465" ht="12.75" customHeight="1">
      <c r="A465" s="401"/>
      <c r="B465" s="401"/>
      <c r="C465" s="401"/>
      <c r="D465" s="401"/>
      <c r="E465" s="401"/>
      <c r="F465" s="550"/>
      <c r="G465" s="550"/>
      <c r="H465" s="401"/>
      <c r="I465" s="401"/>
      <c r="J465" s="401"/>
      <c r="K465" s="401"/>
      <c r="L465" s="401"/>
      <c r="M465" s="401"/>
      <c r="N465" s="401"/>
      <c r="O465" s="401"/>
      <c r="P465" s="401"/>
      <c r="Q465" s="401"/>
      <c r="R465" s="401"/>
      <c r="S465" s="401"/>
      <c r="T465" s="401"/>
      <c r="U465" s="401"/>
      <c r="V465" s="401"/>
      <c r="W465" s="401"/>
      <c r="X465" s="401"/>
      <c r="Y465" s="401"/>
      <c r="Z465" s="401"/>
    </row>
    <row r="466" ht="12.75" customHeight="1">
      <c r="A466" s="401"/>
      <c r="B466" s="401"/>
      <c r="C466" s="401"/>
      <c r="D466" s="401"/>
      <c r="E466" s="401"/>
      <c r="F466" s="550"/>
      <c r="G466" s="550"/>
      <c r="H466" s="401"/>
      <c r="I466" s="401"/>
      <c r="J466" s="401"/>
      <c r="K466" s="401"/>
      <c r="L466" s="401"/>
      <c r="M466" s="401"/>
      <c r="N466" s="401"/>
      <c r="O466" s="401"/>
      <c r="P466" s="401"/>
      <c r="Q466" s="401"/>
      <c r="R466" s="401"/>
      <c r="S466" s="401"/>
      <c r="T466" s="401"/>
      <c r="U466" s="401"/>
      <c r="V466" s="401"/>
      <c r="W466" s="401"/>
      <c r="X466" s="401"/>
      <c r="Y466" s="401"/>
      <c r="Z466" s="401"/>
    </row>
    <row r="467" ht="12.75" customHeight="1">
      <c r="A467" s="401"/>
      <c r="B467" s="401"/>
      <c r="C467" s="401"/>
      <c r="D467" s="401"/>
      <c r="E467" s="401"/>
      <c r="F467" s="550"/>
      <c r="G467" s="550"/>
      <c r="H467" s="401"/>
      <c r="I467" s="401"/>
      <c r="J467" s="401"/>
      <c r="K467" s="401"/>
      <c r="L467" s="401"/>
      <c r="M467" s="401"/>
      <c r="N467" s="401"/>
      <c r="O467" s="401"/>
      <c r="P467" s="401"/>
      <c r="Q467" s="401"/>
      <c r="R467" s="401"/>
      <c r="S467" s="401"/>
      <c r="T467" s="401"/>
      <c r="U467" s="401"/>
      <c r="V467" s="401"/>
      <c r="W467" s="401"/>
      <c r="X467" s="401"/>
      <c r="Y467" s="401"/>
      <c r="Z467" s="401"/>
    </row>
    <row r="468" ht="12.75" customHeight="1">
      <c r="A468" s="401"/>
      <c r="B468" s="401"/>
      <c r="C468" s="401"/>
      <c r="D468" s="401"/>
      <c r="E468" s="401"/>
      <c r="F468" s="550"/>
      <c r="G468" s="550"/>
      <c r="H468" s="401"/>
      <c r="I468" s="401"/>
      <c r="J468" s="401"/>
      <c r="K468" s="401"/>
      <c r="L468" s="401"/>
      <c r="M468" s="401"/>
      <c r="N468" s="401"/>
      <c r="O468" s="401"/>
      <c r="P468" s="401"/>
      <c r="Q468" s="401"/>
      <c r="R468" s="401"/>
      <c r="S468" s="401"/>
      <c r="T468" s="401"/>
      <c r="U468" s="401"/>
      <c r="V468" s="401"/>
      <c r="W468" s="401"/>
      <c r="X468" s="401"/>
      <c r="Y468" s="401"/>
      <c r="Z468" s="401"/>
    </row>
    <row r="469" ht="12.75" customHeight="1">
      <c r="A469" s="401"/>
      <c r="B469" s="401"/>
      <c r="C469" s="401"/>
      <c r="D469" s="401"/>
      <c r="E469" s="401"/>
      <c r="F469" s="550"/>
      <c r="G469" s="550"/>
      <c r="H469" s="401"/>
      <c r="I469" s="401"/>
      <c r="J469" s="401"/>
      <c r="K469" s="401"/>
      <c r="L469" s="401"/>
      <c r="M469" s="401"/>
      <c r="N469" s="401"/>
      <c r="O469" s="401"/>
      <c r="P469" s="401"/>
      <c r="Q469" s="401"/>
      <c r="R469" s="401"/>
      <c r="S469" s="401"/>
      <c r="T469" s="401"/>
      <c r="U469" s="401"/>
      <c r="V469" s="401"/>
      <c r="W469" s="401"/>
      <c r="X469" s="401"/>
      <c r="Y469" s="401"/>
      <c r="Z469" s="401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507"/>
      <c r="B1" s="508"/>
      <c r="C1" s="509"/>
      <c r="D1" s="510"/>
      <c r="E1" s="510"/>
      <c r="F1" s="510"/>
      <c r="G1" s="510"/>
      <c r="H1" s="510"/>
      <c r="I1" s="510"/>
      <c r="J1" s="510"/>
      <c r="K1" s="512"/>
      <c r="L1" s="511"/>
      <c r="M1" s="511"/>
      <c r="N1" s="512"/>
      <c r="O1" s="511"/>
      <c r="P1" s="512"/>
      <c r="Q1" s="512"/>
      <c r="R1" s="510"/>
      <c r="S1" s="510"/>
      <c r="T1" s="510"/>
      <c r="U1" s="510"/>
      <c r="V1" s="513"/>
      <c r="W1" s="510"/>
      <c r="X1" s="507"/>
      <c r="Y1" s="507"/>
      <c r="Z1" s="507"/>
      <c r="AA1" s="507"/>
      <c r="AB1" s="510"/>
    </row>
    <row r="2" ht="18.0" customHeight="1">
      <c r="A2" s="507"/>
      <c r="B2" s="514"/>
      <c r="C2" s="510"/>
      <c r="D2" s="510"/>
      <c r="E2" s="510"/>
      <c r="F2" s="510"/>
      <c r="G2" s="510"/>
      <c r="H2" s="510"/>
      <c r="I2" s="510"/>
      <c r="J2" s="510"/>
      <c r="K2" s="512"/>
      <c r="L2" s="511"/>
      <c r="M2" s="511"/>
      <c r="N2" s="512"/>
      <c r="O2" s="515"/>
      <c r="P2" s="507"/>
      <c r="Q2" s="507"/>
      <c r="R2" s="510"/>
      <c r="S2" s="510"/>
      <c r="T2" s="510"/>
      <c r="U2" s="510"/>
      <c r="V2" s="513"/>
      <c r="W2" s="510"/>
      <c r="X2" s="507"/>
      <c r="Y2" s="507"/>
      <c r="Z2" s="507"/>
      <c r="AA2" s="507"/>
      <c r="AB2" s="510"/>
    </row>
    <row r="3" ht="18.0" customHeight="1">
      <c r="A3" s="507"/>
      <c r="B3" s="514"/>
      <c r="C3" s="510"/>
      <c r="D3" s="510"/>
      <c r="E3" s="510"/>
      <c r="F3" s="510"/>
      <c r="G3" s="510"/>
      <c r="H3" s="510"/>
      <c r="I3" s="516"/>
      <c r="J3" s="516"/>
      <c r="K3" s="519"/>
      <c r="L3" s="516"/>
      <c r="M3" s="516"/>
      <c r="N3" s="510"/>
      <c r="O3" s="507"/>
      <c r="P3" s="507"/>
      <c r="Q3" s="507"/>
      <c r="R3" s="510"/>
      <c r="S3" s="510"/>
      <c r="T3" s="510"/>
      <c r="U3" s="510"/>
      <c r="V3" s="513"/>
      <c r="W3" s="510"/>
      <c r="X3" s="507"/>
      <c r="Y3" s="507"/>
      <c r="Z3" s="507"/>
      <c r="AA3" s="507"/>
      <c r="AB3" s="510"/>
    </row>
    <row r="4" ht="18.0" customHeight="1">
      <c r="A4" s="507"/>
      <c r="B4" s="514"/>
      <c r="C4" s="510"/>
      <c r="D4" s="510"/>
      <c r="E4" s="510"/>
      <c r="F4" s="510"/>
      <c r="G4" s="510"/>
      <c r="H4" s="508"/>
      <c r="I4" s="509"/>
      <c r="J4" s="509"/>
      <c r="K4" s="511"/>
      <c r="L4" s="512"/>
      <c r="M4" s="512"/>
      <c r="N4" s="510"/>
      <c r="O4" s="507"/>
      <c r="P4" s="507"/>
      <c r="Q4" s="507"/>
      <c r="R4" s="510"/>
      <c r="S4" s="510"/>
      <c r="T4" s="510"/>
      <c r="U4" s="510"/>
      <c r="V4" s="513"/>
      <c r="W4" s="510"/>
      <c r="X4" s="507"/>
      <c r="Y4" s="507"/>
      <c r="Z4" s="507"/>
      <c r="AA4" s="507"/>
      <c r="AB4" s="510"/>
    </row>
    <row r="5" ht="18.0" customHeight="1">
      <c r="A5" s="507"/>
      <c r="B5" s="514"/>
      <c r="C5" s="517"/>
      <c r="D5" s="510"/>
      <c r="E5" s="518"/>
      <c r="F5" s="510"/>
      <c r="G5" s="510"/>
      <c r="H5" s="508"/>
      <c r="I5" s="509"/>
      <c r="J5" s="509"/>
      <c r="K5" s="519"/>
      <c r="L5" s="519"/>
      <c r="M5" s="519"/>
      <c r="N5" s="510"/>
      <c r="O5" s="507"/>
      <c r="P5" s="507"/>
      <c r="Q5" s="507"/>
      <c r="R5" s="510"/>
      <c r="S5" s="510"/>
      <c r="T5" s="510"/>
      <c r="U5" s="510"/>
      <c r="V5" s="513"/>
      <c r="W5" s="510"/>
      <c r="X5" s="507"/>
      <c r="Y5" s="507"/>
      <c r="Z5" s="507"/>
      <c r="AA5" s="507"/>
      <c r="AB5" s="510"/>
    </row>
    <row r="6" ht="18.0" customHeight="1">
      <c r="A6" s="507"/>
      <c r="B6" s="514"/>
      <c r="C6" s="510"/>
      <c r="D6" s="510"/>
      <c r="E6" s="510"/>
      <c r="F6" s="510"/>
      <c r="G6" s="510"/>
      <c r="H6" s="522"/>
      <c r="I6" s="539"/>
      <c r="J6" s="539"/>
      <c r="K6" s="520"/>
      <c r="L6" s="510"/>
      <c r="M6" s="510"/>
      <c r="N6" s="510"/>
      <c r="O6" s="507"/>
      <c r="P6" s="507"/>
      <c r="Q6" s="507"/>
      <c r="R6" s="510"/>
      <c r="S6" s="510"/>
      <c r="T6" s="510"/>
      <c r="U6" s="510"/>
      <c r="V6" s="513"/>
      <c r="W6" s="510"/>
      <c r="X6" s="507"/>
      <c r="Y6" s="507"/>
      <c r="Z6" s="507"/>
      <c r="AA6" s="507"/>
      <c r="AB6" s="510"/>
    </row>
    <row r="7" ht="18.0" customHeight="1">
      <c r="A7" s="507"/>
      <c r="B7" s="514"/>
      <c r="C7" s="510"/>
      <c r="D7" s="510"/>
      <c r="E7" s="510"/>
      <c r="F7" s="510"/>
      <c r="G7" s="510"/>
      <c r="H7" s="522"/>
      <c r="I7" s="539"/>
      <c r="J7" s="539"/>
      <c r="K7" s="520"/>
      <c r="L7" s="510"/>
      <c r="M7" s="510"/>
      <c r="N7" s="510"/>
      <c r="O7" s="507"/>
      <c r="P7" s="507"/>
      <c r="Q7" s="507"/>
      <c r="R7" s="510"/>
      <c r="S7" s="510"/>
      <c r="T7" s="510"/>
      <c r="U7" s="510"/>
      <c r="V7" s="513"/>
      <c r="W7" s="510"/>
      <c r="X7" s="507"/>
      <c r="Y7" s="507"/>
      <c r="Z7" s="507"/>
      <c r="AA7" s="507"/>
      <c r="AB7" s="510"/>
    </row>
    <row r="8" ht="18.0" customHeight="1">
      <c r="A8" s="507"/>
      <c r="B8" s="508"/>
      <c r="C8" s="510"/>
      <c r="D8" s="510"/>
      <c r="E8" s="510"/>
      <c r="F8" s="510"/>
      <c r="G8" s="510"/>
      <c r="H8" s="522"/>
      <c r="I8" s="539"/>
      <c r="J8" s="539"/>
      <c r="K8" s="520"/>
      <c r="L8" s="510"/>
      <c r="M8" s="510"/>
      <c r="N8" s="510"/>
      <c r="O8" s="507"/>
      <c r="P8" s="507"/>
      <c r="Q8" s="507"/>
      <c r="R8" s="510"/>
      <c r="S8" s="510"/>
      <c r="T8" s="510"/>
      <c r="U8" s="510"/>
      <c r="V8" s="513"/>
      <c r="W8" s="510"/>
      <c r="X8" s="507"/>
      <c r="Y8" s="507"/>
      <c r="Z8" s="507"/>
      <c r="AA8" s="507"/>
      <c r="AB8" s="510"/>
    </row>
    <row r="9" ht="18.0" customHeight="1">
      <c r="A9" s="507"/>
      <c r="B9" s="508" t="s">
        <v>266</v>
      </c>
      <c r="C9" s="510" t="s">
        <v>267</v>
      </c>
      <c r="D9" s="510" t="s">
        <v>268</v>
      </c>
      <c r="E9" s="507"/>
      <c r="F9" s="507" t="s">
        <v>12</v>
      </c>
      <c r="G9" s="507" t="s">
        <v>48</v>
      </c>
      <c r="H9" s="522" t="s">
        <v>49</v>
      </c>
      <c r="I9" s="521"/>
      <c r="J9" s="521"/>
      <c r="K9" s="522"/>
      <c r="L9" s="510"/>
      <c r="M9" s="510"/>
      <c r="N9" s="510"/>
      <c r="O9" s="507"/>
      <c r="P9" s="507"/>
      <c r="Q9" s="507"/>
      <c r="R9" s="510"/>
      <c r="S9" s="510"/>
      <c r="T9" s="510"/>
      <c r="U9" s="510"/>
      <c r="V9" s="508"/>
      <c r="W9" s="510"/>
      <c r="X9" s="510"/>
      <c r="Y9" s="510"/>
      <c r="Z9" s="507"/>
      <c r="AA9" s="507"/>
      <c r="AB9" s="510"/>
    </row>
    <row r="10" ht="18.0" customHeight="1">
      <c r="A10" s="507"/>
      <c r="B10" s="508">
        <v>1.0</v>
      </c>
      <c r="C10" s="508"/>
      <c r="D10" s="571"/>
      <c r="E10" s="507"/>
      <c r="F10" s="507"/>
      <c r="G10" s="507"/>
      <c r="H10" s="522"/>
      <c r="I10" s="521"/>
      <c r="J10" s="521"/>
      <c r="K10" s="522"/>
      <c r="L10" s="510"/>
      <c r="M10" s="510"/>
      <c r="N10" s="510"/>
      <c r="O10" s="507"/>
      <c r="P10" s="507"/>
      <c r="Q10" s="507"/>
      <c r="R10" s="510"/>
      <c r="S10" s="510"/>
      <c r="T10" s="510"/>
      <c r="U10" s="510"/>
      <c r="V10" s="508"/>
      <c r="W10" s="510"/>
      <c r="X10" s="510"/>
      <c r="Y10" s="510"/>
      <c r="Z10" s="507"/>
      <c r="AA10" s="507"/>
      <c r="AB10" s="510"/>
    </row>
    <row r="11" ht="18.0" customHeight="1">
      <c r="A11" s="507"/>
      <c r="B11" s="508">
        <v>2.0</v>
      </c>
      <c r="C11" s="508"/>
      <c r="D11" s="572"/>
      <c r="E11" s="553"/>
      <c r="F11" s="573" t="s">
        <v>270</v>
      </c>
      <c r="G11" s="533">
        <f>+D10+D12+D14+D15+D16+D17+D18+D19+D20+D21+D22+D23+D24+D25+D26+D27+D28+D29+D30+D31+D32</f>
        <v>0</v>
      </c>
      <c r="H11" s="574" t="str">
        <f>+G11/G16*100</f>
        <v>#DIV/0!</v>
      </c>
      <c r="I11" s="525"/>
      <c r="J11" s="525"/>
      <c r="K11" s="520"/>
      <c r="L11" s="510"/>
      <c r="M11" s="510"/>
      <c r="N11" s="510"/>
      <c r="O11" s="507"/>
      <c r="P11" s="507"/>
      <c r="Q11" s="507"/>
      <c r="R11" s="510"/>
      <c r="S11" s="510"/>
      <c r="T11" s="510"/>
      <c r="U11" s="510"/>
      <c r="V11" s="508"/>
      <c r="W11" s="535"/>
      <c r="X11" s="515"/>
      <c r="Y11" s="515"/>
      <c r="Z11" s="507"/>
      <c r="AA11" s="507"/>
      <c r="AB11" s="510"/>
    </row>
    <row r="12" ht="18.0" customHeight="1">
      <c r="A12" s="507"/>
      <c r="B12" s="508">
        <v>3.0</v>
      </c>
      <c r="C12" s="508"/>
      <c r="D12" s="571"/>
      <c r="E12" s="508"/>
      <c r="F12" s="515" t="s">
        <v>271</v>
      </c>
      <c r="G12" s="524">
        <f>+D11+D33</f>
        <v>0</v>
      </c>
      <c r="H12" s="574" t="str">
        <f>+G12/G16*100</f>
        <v>#DIV/0!</v>
      </c>
      <c r="I12" s="521"/>
      <c r="J12" s="521"/>
      <c r="K12" s="510"/>
      <c r="L12" s="510"/>
      <c r="M12" s="510"/>
      <c r="N12" s="510"/>
      <c r="O12" s="507"/>
      <c r="P12" s="507"/>
      <c r="Q12" s="507"/>
      <c r="R12" s="510"/>
      <c r="S12" s="510"/>
      <c r="T12" s="510"/>
      <c r="U12" s="510"/>
      <c r="V12" s="508"/>
      <c r="W12" s="527"/>
      <c r="X12" s="528"/>
      <c r="Y12" s="528"/>
      <c r="Z12" s="507"/>
      <c r="AA12" s="507"/>
      <c r="AB12" s="510"/>
    </row>
    <row r="13" ht="18.0" customHeight="1">
      <c r="A13" s="507"/>
      <c r="B13" s="508"/>
      <c r="C13" s="508"/>
      <c r="D13" s="571"/>
      <c r="E13" s="508"/>
      <c r="F13" s="515" t="s">
        <v>272</v>
      </c>
      <c r="G13" s="524"/>
      <c r="H13" s="574" t="str">
        <f>+G13/G16*100</f>
        <v>#DIV/0!</v>
      </c>
      <c r="I13" s="521"/>
      <c r="J13" s="521"/>
      <c r="K13" s="510"/>
      <c r="L13" s="510"/>
      <c r="M13" s="510"/>
      <c r="N13" s="510"/>
      <c r="O13" s="507"/>
      <c r="P13" s="507"/>
      <c r="Q13" s="507"/>
      <c r="R13" s="510"/>
      <c r="S13" s="510"/>
      <c r="T13" s="510"/>
      <c r="U13" s="510"/>
      <c r="V13" s="508"/>
      <c r="W13" s="527"/>
      <c r="X13" s="528"/>
      <c r="Y13" s="528"/>
      <c r="Z13" s="507"/>
      <c r="AA13" s="507"/>
      <c r="AB13" s="510"/>
    </row>
    <row r="14" ht="18.0" customHeight="1">
      <c r="A14" s="507"/>
      <c r="B14" s="508">
        <v>4.0</v>
      </c>
      <c r="C14" s="508"/>
      <c r="D14" s="571"/>
      <c r="E14" s="508"/>
      <c r="F14" s="515" t="s">
        <v>273</v>
      </c>
      <c r="G14" s="524">
        <v>0.0</v>
      </c>
      <c r="H14" s="574" t="str">
        <f>+G14/G16*100</f>
        <v>#DIV/0!</v>
      </c>
      <c r="I14" s="521"/>
      <c r="J14" s="521"/>
      <c r="K14" s="510"/>
      <c r="L14" s="510"/>
      <c r="M14" s="510"/>
      <c r="N14" s="510"/>
      <c r="O14" s="507"/>
      <c r="P14" s="507"/>
      <c r="Q14" s="507"/>
      <c r="R14" s="510"/>
      <c r="S14" s="510"/>
      <c r="T14" s="510"/>
      <c r="U14" s="510"/>
      <c r="V14" s="508"/>
      <c r="W14" s="527"/>
      <c r="X14" s="528"/>
      <c r="Y14" s="528"/>
      <c r="Z14" s="507"/>
      <c r="AA14" s="507"/>
      <c r="AB14" s="510"/>
    </row>
    <row r="15" ht="18.0" customHeight="1">
      <c r="A15" s="507"/>
      <c r="B15" s="508">
        <v>5.0</v>
      </c>
      <c r="C15" s="508"/>
      <c r="D15" s="571"/>
      <c r="E15" s="508"/>
      <c r="F15" s="515" t="s">
        <v>274</v>
      </c>
      <c r="G15" s="524">
        <f>+D39+D42</f>
        <v>0</v>
      </c>
      <c r="H15" s="574" t="str">
        <f>+G15/G16*100</f>
        <v>#DIV/0!</v>
      </c>
      <c r="I15" s="521"/>
      <c r="J15" s="521"/>
      <c r="K15" s="510"/>
      <c r="L15" s="510"/>
      <c r="M15" s="510"/>
      <c r="N15" s="510"/>
      <c r="O15" s="507"/>
      <c r="P15" s="507"/>
      <c r="Q15" s="507"/>
      <c r="R15" s="510"/>
      <c r="S15" s="510"/>
      <c r="T15" s="510"/>
      <c r="U15" s="510"/>
      <c r="V15" s="508"/>
      <c r="W15" s="508"/>
      <c r="X15" s="528"/>
      <c r="Y15" s="528"/>
      <c r="Z15" s="507"/>
      <c r="AA15" s="507"/>
      <c r="AB15" s="510"/>
    </row>
    <row r="16" ht="18.0" customHeight="1">
      <c r="A16" s="507"/>
      <c r="B16" s="508">
        <v>6.0</v>
      </c>
      <c r="C16" s="508"/>
      <c r="D16" s="571"/>
      <c r="E16" s="553"/>
      <c r="F16" s="515"/>
      <c r="G16" s="537">
        <f t="shared" ref="G16:H16" si="1">SUM(G11:G15)</f>
        <v>0</v>
      </c>
      <c r="H16" s="575" t="str">
        <f t="shared" si="1"/>
        <v>#DIV/0!</v>
      </c>
      <c r="I16" s="521"/>
      <c r="J16" s="521"/>
      <c r="K16" s="510"/>
      <c r="L16" s="510"/>
      <c r="M16" s="510"/>
      <c r="N16" s="510"/>
      <c r="O16" s="507"/>
      <c r="P16" s="507"/>
      <c r="Q16" s="507"/>
      <c r="R16" s="510"/>
      <c r="S16" s="510"/>
      <c r="T16" s="510"/>
      <c r="U16" s="510"/>
      <c r="V16" s="508"/>
      <c r="W16" s="508"/>
      <c r="X16" s="509"/>
      <c r="Y16" s="509"/>
      <c r="Z16" s="507"/>
      <c r="AA16" s="507"/>
      <c r="AB16" s="510"/>
    </row>
    <row r="17" ht="18.0" customHeight="1">
      <c r="A17" s="507"/>
      <c r="B17" s="508">
        <v>7.0</v>
      </c>
      <c r="C17" s="508"/>
      <c r="D17" s="576"/>
      <c r="E17" s="508"/>
      <c r="F17" s="515"/>
      <c r="G17" s="577"/>
      <c r="H17" s="524"/>
      <c r="I17" s="521"/>
      <c r="J17" s="521"/>
      <c r="K17" s="510"/>
      <c r="L17" s="510"/>
      <c r="M17" s="510"/>
      <c r="N17" s="510"/>
      <c r="O17" s="507"/>
      <c r="P17" s="507"/>
      <c r="Q17" s="507"/>
      <c r="R17" s="510"/>
      <c r="S17" s="510"/>
      <c r="T17" s="510"/>
      <c r="U17" s="510"/>
      <c r="V17" s="508"/>
      <c r="W17" s="508"/>
      <c r="X17" s="528"/>
      <c r="Y17" s="528"/>
      <c r="Z17" s="507"/>
      <c r="AA17" s="507"/>
      <c r="AB17" s="510"/>
    </row>
    <row r="18" ht="18.0" customHeight="1">
      <c r="A18" s="507"/>
      <c r="B18" s="508">
        <v>8.0</v>
      </c>
      <c r="C18" s="508"/>
      <c r="D18" s="571"/>
      <c r="E18" s="508"/>
      <c r="F18" s="515"/>
      <c r="G18" s="515"/>
      <c r="H18" s="508"/>
      <c r="I18" s="521"/>
      <c r="J18" s="521"/>
      <c r="K18" s="510"/>
      <c r="L18" s="510"/>
      <c r="M18" s="510"/>
      <c r="N18" s="510"/>
      <c r="O18" s="507"/>
      <c r="P18" s="507"/>
      <c r="Q18" s="507"/>
      <c r="R18" s="510"/>
      <c r="S18" s="510"/>
      <c r="T18" s="510"/>
      <c r="U18" s="510"/>
      <c r="V18" s="508"/>
      <c r="W18" s="508"/>
      <c r="X18" s="528"/>
      <c r="Y18" s="528"/>
      <c r="Z18" s="507"/>
      <c r="AA18" s="507"/>
      <c r="AB18" s="510"/>
    </row>
    <row r="19" ht="18.0" customHeight="1">
      <c r="A19" s="507"/>
      <c r="B19" s="508">
        <v>9.0</v>
      </c>
      <c r="C19" s="508"/>
      <c r="D19" s="571"/>
      <c r="E19" s="508"/>
      <c r="F19" s="515"/>
      <c r="G19" s="515"/>
      <c r="H19" s="508"/>
      <c r="I19" s="521"/>
      <c r="J19" s="521"/>
      <c r="K19" s="510"/>
      <c r="L19" s="510"/>
      <c r="M19" s="510"/>
      <c r="N19" s="510"/>
      <c r="O19" s="507"/>
      <c r="P19" s="507"/>
      <c r="Q19" s="507"/>
      <c r="R19" s="510"/>
      <c r="S19" s="510"/>
      <c r="T19" s="510"/>
      <c r="U19" s="510"/>
      <c r="V19" s="508"/>
      <c r="W19" s="508"/>
      <c r="X19" s="515"/>
      <c r="Y19" s="515"/>
      <c r="Z19" s="507"/>
      <c r="AA19" s="507"/>
      <c r="AB19" s="510"/>
    </row>
    <row r="20" ht="18.0" customHeight="1">
      <c r="A20" s="507"/>
      <c r="B20" s="508">
        <v>10.0</v>
      </c>
      <c r="C20" s="508"/>
      <c r="D20" s="571"/>
      <c r="E20" s="508"/>
      <c r="F20" s="515"/>
      <c r="G20" s="515"/>
      <c r="H20" s="508"/>
      <c r="I20" s="521"/>
      <c r="J20" s="521"/>
      <c r="K20" s="510"/>
      <c r="L20" s="510"/>
      <c r="M20" s="510"/>
      <c r="N20" s="510"/>
      <c r="O20" s="507"/>
      <c r="P20" s="507"/>
      <c r="Q20" s="507"/>
      <c r="R20" s="510"/>
      <c r="S20" s="510"/>
      <c r="T20" s="510"/>
      <c r="U20" s="510"/>
      <c r="V20" s="508"/>
      <c r="W20" s="508"/>
      <c r="X20" s="515"/>
      <c r="Y20" s="515"/>
      <c r="Z20" s="507"/>
      <c r="AA20" s="507"/>
      <c r="AB20" s="510"/>
    </row>
    <row r="21" ht="18.0" customHeight="1">
      <c r="A21" s="507"/>
      <c r="B21" s="508">
        <v>11.0</v>
      </c>
      <c r="C21" s="508"/>
      <c r="D21" s="571"/>
      <c r="E21" s="508"/>
      <c r="F21" s="515"/>
      <c r="G21" s="515"/>
      <c r="H21" s="508"/>
      <c r="I21" s="521"/>
      <c r="J21" s="521"/>
      <c r="K21" s="510"/>
      <c r="L21" s="510"/>
      <c r="M21" s="510"/>
      <c r="N21" s="510"/>
      <c r="O21" s="507"/>
      <c r="P21" s="507"/>
      <c r="Q21" s="507"/>
      <c r="R21" s="510"/>
      <c r="S21" s="510"/>
      <c r="T21" s="510"/>
      <c r="U21" s="510"/>
      <c r="V21" s="508"/>
      <c r="W21" s="508"/>
      <c r="X21" s="515"/>
      <c r="Y21" s="515"/>
      <c r="Z21" s="507"/>
      <c r="AA21" s="507"/>
      <c r="AB21" s="510"/>
    </row>
    <row r="22" ht="18.0" customHeight="1">
      <c r="A22" s="507"/>
      <c r="B22" s="508">
        <v>12.0</v>
      </c>
      <c r="C22" s="508"/>
      <c r="D22" s="571"/>
      <c r="E22" s="508"/>
      <c r="F22" s="515"/>
      <c r="G22" s="515"/>
      <c r="H22" s="508"/>
      <c r="I22" s="521"/>
      <c r="J22" s="521"/>
      <c r="K22" s="510"/>
      <c r="L22" s="510"/>
      <c r="M22" s="510"/>
      <c r="N22" s="510"/>
      <c r="O22" s="507"/>
      <c r="P22" s="507"/>
      <c r="Q22" s="507"/>
      <c r="R22" s="510"/>
      <c r="S22" s="510"/>
      <c r="T22" s="510"/>
      <c r="U22" s="510"/>
      <c r="V22" s="508"/>
      <c r="W22" s="508"/>
      <c r="X22" s="515"/>
      <c r="Y22" s="515"/>
      <c r="Z22" s="507"/>
      <c r="AA22" s="507"/>
      <c r="AB22" s="510"/>
    </row>
    <row r="23" ht="18.0" customHeight="1">
      <c r="A23" s="507"/>
      <c r="B23" s="508">
        <v>13.0</v>
      </c>
      <c r="C23" s="508"/>
      <c r="D23" s="571"/>
      <c r="E23" s="508"/>
      <c r="F23" s="515"/>
      <c r="G23" s="515"/>
      <c r="H23" s="508"/>
      <c r="I23" s="521"/>
      <c r="J23" s="521"/>
      <c r="K23" s="510"/>
      <c r="L23" s="510"/>
      <c r="M23" s="510"/>
      <c r="N23" s="510"/>
      <c r="O23" s="507"/>
      <c r="P23" s="507"/>
      <c r="Q23" s="507"/>
      <c r="R23" s="510"/>
      <c r="S23" s="510"/>
      <c r="T23" s="510"/>
      <c r="U23" s="510"/>
      <c r="V23" s="508"/>
      <c r="W23" s="527"/>
      <c r="X23" s="515"/>
      <c r="Y23" s="515"/>
      <c r="Z23" s="507"/>
      <c r="AA23" s="507"/>
      <c r="AB23" s="510"/>
    </row>
    <row r="24" ht="18.0" customHeight="1">
      <c r="A24" s="507"/>
      <c r="B24" s="508">
        <v>14.0</v>
      </c>
      <c r="C24" s="508"/>
      <c r="D24" s="571"/>
      <c r="E24" s="508"/>
      <c r="F24" s="515"/>
      <c r="G24" s="515"/>
      <c r="H24" s="508"/>
      <c r="I24" s="521"/>
      <c r="J24" s="521"/>
      <c r="K24" s="510"/>
      <c r="L24" s="510"/>
      <c r="M24" s="510"/>
      <c r="N24" s="510"/>
      <c r="O24" s="507"/>
      <c r="P24" s="507"/>
      <c r="Q24" s="507"/>
      <c r="R24" s="510"/>
      <c r="S24" s="510"/>
      <c r="T24" s="510"/>
      <c r="U24" s="510"/>
      <c r="V24" s="508"/>
      <c r="W24" s="515"/>
      <c r="X24" s="515"/>
      <c r="Y24" s="515"/>
      <c r="Z24" s="507"/>
      <c r="AA24" s="507"/>
      <c r="AB24" s="510"/>
    </row>
    <row r="25" ht="18.0" customHeight="1">
      <c r="A25" s="507"/>
      <c r="B25" s="508">
        <v>15.0</v>
      </c>
      <c r="C25" s="508"/>
      <c r="D25" s="571"/>
      <c r="E25" s="508"/>
      <c r="F25" s="515"/>
      <c r="G25" s="515"/>
      <c r="H25" s="508"/>
      <c r="I25" s="521"/>
      <c r="J25" s="521"/>
      <c r="K25" s="510"/>
      <c r="L25" s="510"/>
      <c r="M25" s="510"/>
      <c r="N25" s="510"/>
      <c r="O25" s="507"/>
      <c r="P25" s="507"/>
      <c r="Q25" s="507"/>
      <c r="R25" s="510"/>
      <c r="S25" s="510"/>
      <c r="T25" s="510"/>
      <c r="U25" s="510"/>
      <c r="V25" s="508"/>
      <c r="W25" s="508"/>
      <c r="X25" s="515"/>
      <c r="Y25" s="515"/>
      <c r="Z25" s="507"/>
      <c r="AA25" s="507"/>
      <c r="AB25" s="510"/>
    </row>
    <row r="26" ht="18.0" customHeight="1">
      <c r="A26" s="507"/>
      <c r="B26" s="508">
        <v>16.0</v>
      </c>
      <c r="C26" s="508"/>
      <c r="D26" s="576"/>
      <c r="E26" s="508"/>
      <c r="F26" s="515"/>
      <c r="G26" s="515"/>
      <c r="H26" s="508"/>
      <c r="I26" s="521"/>
      <c r="J26" s="521"/>
      <c r="K26" s="510"/>
      <c r="L26" s="510"/>
      <c r="M26" s="510"/>
      <c r="N26" s="510"/>
      <c r="O26" s="507"/>
      <c r="P26" s="507"/>
      <c r="Q26" s="507"/>
      <c r="R26" s="510"/>
      <c r="S26" s="510"/>
      <c r="T26" s="510"/>
      <c r="U26" s="510"/>
      <c r="V26" s="508"/>
      <c r="W26" s="508"/>
      <c r="X26" s="515"/>
      <c r="Y26" s="515"/>
      <c r="Z26" s="507"/>
      <c r="AA26" s="507"/>
      <c r="AB26" s="510"/>
    </row>
    <row r="27" ht="18.0" customHeight="1">
      <c r="A27" s="507"/>
      <c r="B27" s="508">
        <v>17.0</v>
      </c>
      <c r="C27" s="508"/>
      <c r="D27" s="571"/>
      <c r="E27" s="508"/>
      <c r="F27" s="515"/>
      <c r="G27" s="515"/>
      <c r="H27" s="508"/>
      <c r="I27" s="521"/>
      <c r="J27" s="521"/>
      <c r="K27" s="510"/>
      <c r="L27" s="510"/>
      <c r="M27" s="510"/>
      <c r="N27" s="510"/>
      <c r="O27" s="507"/>
      <c r="P27" s="507"/>
      <c r="Q27" s="507"/>
      <c r="R27" s="510"/>
      <c r="S27" s="510"/>
      <c r="T27" s="510"/>
      <c r="U27" s="510"/>
      <c r="V27" s="508"/>
      <c r="W27" s="508"/>
      <c r="X27" s="515"/>
      <c r="Y27" s="515"/>
      <c r="Z27" s="507"/>
      <c r="AA27" s="507"/>
      <c r="AB27" s="510"/>
    </row>
    <row r="28" ht="18.0" customHeight="1">
      <c r="A28" s="507"/>
      <c r="B28" s="508">
        <v>18.0</v>
      </c>
      <c r="C28" s="508"/>
      <c r="D28" s="571"/>
      <c r="E28" s="508"/>
      <c r="F28" s="515"/>
      <c r="G28" s="515"/>
      <c r="H28" s="508"/>
      <c r="I28" s="521"/>
      <c r="J28" s="521"/>
      <c r="K28" s="510"/>
      <c r="L28" s="510"/>
      <c r="M28" s="510"/>
      <c r="N28" s="510"/>
      <c r="O28" s="507"/>
      <c r="P28" s="507"/>
      <c r="Q28" s="507"/>
      <c r="R28" s="510"/>
      <c r="S28" s="510"/>
      <c r="T28" s="510"/>
      <c r="U28" s="510"/>
      <c r="V28" s="508"/>
      <c r="W28" s="527"/>
      <c r="X28" s="515"/>
      <c r="Y28" s="515"/>
      <c r="Z28" s="507"/>
      <c r="AA28" s="507"/>
      <c r="AB28" s="510"/>
    </row>
    <row r="29" ht="18.0" customHeight="1">
      <c r="A29" s="507"/>
      <c r="B29" s="508">
        <v>19.0</v>
      </c>
      <c r="C29" s="508"/>
      <c r="D29" s="571"/>
      <c r="E29" s="508"/>
      <c r="F29" s="515"/>
      <c r="G29" s="515"/>
      <c r="H29" s="508"/>
      <c r="I29" s="521"/>
      <c r="J29" s="521"/>
      <c r="K29" s="510"/>
      <c r="L29" s="510"/>
      <c r="M29" s="510"/>
      <c r="N29" s="510"/>
      <c r="O29" s="507"/>
      <c r="P29" s="507"/>
      <c r="Q29" s="507"/>
      <c r="R29" s="510"/>
      <c r="S29" s="510"/>
      <c r="T29" s="510"/>
      <c r="U29" s="510"/>
      <c r="V29" s="508"/>
      <c r="W29" s="515"/>
      <c r="X29" s="515"/>
      <c r="Y29" s="515"/>
      <c r="Z29" s="507"/>
      <c r="AA29" s="507"/>
      <c r="AB29" s="510"/>
    </row>
    <row r="30" ht="18.0" customHeight="1">
      <c r="A30" s="507"/>
      <c r="B30" s="508">
        <v>20.0</v>
      </c>
      <c r="C30" s="508"/>
      <c r="D30" s="571"/>
      <c r="E30" s="508"/>
      <c r="F30" s="515"/>
      <c r="G30" s="515"/>
      <c r="H30" s="508"/>
      <c r="I30" s="521"/>
      <c r="J30" s="521"/>
      <c r="K30" s="510"/>
      <c r="L30" s="510"/>
      <c r="M30" s="510"/>
      <c r="N30" s="510"/>
      <c r="O30" s="507"/>
      <c r="P30" s="507"/>
      <c r="Q30" s="507"/>
      <c r="R30" s="510"/>
      <c r="S30" s="510"/>
      <c r="T30" s="510"/>
      <c r="U30" s="510"/>
      <c r="V30" s="508"/>
      <c r="W30" s="527"/>
      <c r="X30" s="515"/>
      <c r="Y30" s="515"/>
      <c r="Z30" s="507"/>
      <c r="AA30" s="507"/>
      <c r="AB30" s="510"/>
    </row>
    <row r="31" ht="18.0" customHeight="1">
      <c r="A31" s="507"/>
      <c r="B31" s="508">
        <v>21.0</v>
      </c>
      <c r="C31" s="508"/>
      <c r="D31" s="576"/>
      <c r="E31" s="508"/>
      <c r="F31" s="515"/>
      <c r="G31" s="515"/>
      <c r="H31" s="508"/>
      <c r="I31" s="521"/>
      <c r="J31" s="521"/>
      <c r="K31" s="510"/>
      <c r="L31" s="510"/>
      <c r="M31" s="510"/>
      <c r="N31" s="510"/>
      <c r="O31" s="507"/>
      <c r="P31" s="507"/>
      <c r="Q31" s="507"/>
      <c r="R31" s="510"/>
      <c r="S31" s="510"/>
      <c r="T31" s="510"/>
      <c r="U31" s="510"/>
      <c r="V31" s="508"/>
      <c r="W31" s="515"/>
      <c r="X31" s="515"/>
      <c r="Y31" s="515"/>
      <c r="Z31" s="507"/>
      <c r="AA31" s="507"/>
      <c r="AB31" s="510"/>
    </row>
    <row r="32" ht="18.0" customHeight="1">
      <c r="A32" s="507"/>
      <c r="B32" s="508">
        <v>22.0</v>
      </c>
      <c r="C32" s="508"/>
      <c r="D32" s="578"/>
      <c r="E32" s="508"/>
      <c r="F32" s="515"/>
      <c r="G32" s="515"/>
      <c r="H32" s="508"/>
      <c r="I32" s="521"/>
      <c r="J32" s="521"/>
      <c r="K32" s="510"/>
      <c r="L32" s="510"/>
      <c r="M32" s="510"/>
      <c r="N32" s="510"/>
      <c r="O32" s="507"/>
      <c r="P32" s="507"/>
      <c r="Q32" s="507"/>
      <c r="R32" s="510"/>
      <c r="S32" s="510"/>
      <c r="T32" s="510"/>
      <c r="U32" s="510"/>
      <c r="V32" s="508"/>
      <c r="W32" s="535"/>
      <c r="X32" s="515"/>
      <c r="Y32" s="515"/>
      <c r="Z32" s="507"/>
      <c r="AA32" s="507"/>
      <c r="AB32" s="510"/>
    </row>
    <row r="33" ht="18.0" customHeight="1">
      <c r="A33" s="507"/>
      <c r="B33" s="508">
        <v>23.0</v>
      </c>
      <c r="C33" s="508"/>
      <c r="D33" s="571"/>
      <c r="E33" s="508"/>
      <c r="F33" s="515"/>
      <c r="G33" s="515"/>
      <c r="H33" s="508"/>
      <c r="I33" s="521"/>
      <c r="J33" s="521"/>
      <c r="K33" s="510"/>
      <c r="L33" s="510"/>
      <c r="M33" s="510"/>
      <c r="N33" s="510"/>
      <c r="O33" s="507"/>
      <c r="P33" s="507"/>
      <c r="Q33" s="507"/>
      <c r="R33" s="510"/>
      <c r="S33" s="510"/>
      <c r="T33" s="510"/>
      <c r="U33" s="510"/>
      <c r="V33" s="508"/>
      <c r="W33" s="535"/>
      <c r="X33" s="515"/>
      <c r="Y33" s="515"/>
      <c r="Z33" s="507"/>
      <c r="AA33" s="507"/>
      <c r="AB33" s="510"/>
    </row>
    <row r="34" ht="18.0" customHeight="1">
      <c r="A34" s="507"/>
      <c r="B34" s="508" t="s">
        <v>250</v>
      </c>
      <c r="C34" s="508"/>
      <c r="D34" s="579">
        <f>SUM(D10:D33)</f>
        <v>0</v>
      </c>
      <c r="E34" s="508"/>
      <c r="F34" s="515"/>
      <c r="G34" s="515"/>
      <c r="H34" s="508"/>
      <c r="I34" s="521"/>
      <c r="J34" s="521"/>
      <c r="K34" s="510"/>
      <c r="L34" s="510"/>
      <c r="M34" s="510"/>
      <c r="N34" s="510"/>
      <c r="O34" s="507"/>
      <c r="P34" s="507"/>
      <c r="Q34" s="507"/>
      <c r="R34" s="510"/>
      <c r="S34" s="510"/>
      <c r="T34" s="510"/>
      <c r="U34" s="510"/>
      <c r="V34" s="508"/>
      <c r="W34" s="508"/>
      <c r="X34" s="515"/>
      <c r="Y34" s="515"/>
      <c r="Z34" s="507"/>
      <c r="AA34" s="507"/>
      <c r="AB34" s="510"/>
    </row>
    <row r="35" ht="18.0" customHeight="1">
      <c r="A35" s="507"/>
      <c r="B35" s="508"/>
      <c r="C35" s="508"/>
      <c r="D35" s="576"/>
      <c r="E35" s="508"/>
      <c r="F35" s="515"/>
      <c r="G35" s="515"/>
      <c r="H35" s="508"/>
      <c r="I35" s="521"/>
      <c r="J35" s="521"/>
      <c r="K35" s="510"/>
      <c r="L35" s="510"/>
      <c r="M35" s="510"/>
      <c r="N35" s="510"/>
      <c r="O35" s="507"/>
      <c r="P35" s="507"/>
      <c r="Q35" s="507"/>
      <c r="R35" s="510"/>
      <c r="S35" s="510"/>
      <c r="T35" s="510"/>
      <c r="U35" s="510"/>
      <c r="V35" s="508"/>
      <c r="W35" s="508"/>
      <c r="X35" s="515"/>
      <c r="Y35" s="515"/>
      <c r="Z35" s="507"/>
      <c r="AA35" s="507"/>
      <c r="AB35" s="510"/>
    </row>
    <row r="36" ht="18.0" customHeight="1">
      <c r="A36" s="507"/>
      <c r="B36" s="508"/>
      <c r="C36" s="508"/>
      <c r="D36" s="576"/>
      <c r="E36" s="508"/>
      <c r="F36" s="515"/>
      <c r="G36" s="515"/>
      <c r="H36" s="508"/>
      <c r="I36" s="521"/>
      <c r="J36" s="521"/>
      <c r="K36" s="510"/>
      <c r="L36" s="510"/>
      <c r="M36" s="510"/>
      <c r="N36" s="510"/>
      <c r="O36" s="507"/>
      <c r="P36" s="507"/>
      <c r="Q36" s="507"/>
      <c r="R36" s="510"/>
      <c r="S36" s="510"/>
      <c r="T36" s="510"/>
      <c r="U36" s="510"/>
      <c r="V36" s="508"/>
      <c r="W36" s="515"/>
      <c r="X36" s="515"/>
      <c r="Y36" s="515"/>
      <c r="Z36" s="507"/>
      <c r="AA36" s="507"/>
      <c r="AB36" s="510"/>
    </row>
    <row r="37" ht="18.0" customHeight="1">
      <c r="A37" s="507"/>
      <c r="B37" s="508"/>
      <c r="C37" s="508"/>
      <c r="D37" s="571"/>
      <c r="E37" s="508"/>
      <c r="F37" s="515"/>
      <c r="G37" s="515"/>
      <c r="H37" s="508"/>
      <c r="I37" s="521"/>
      <c r="J37" s="521"/>
      <c r="K37" s="510"/>
      <c r="L37" s="510"/>
      <c r="M37" s="510"/>
      <c r="N37" s="510"/>
      <c r="O37" s="507"/>
      <c r="P37" s="507"/>
      <c r="Q37" s="507"/>
      <c r="R37" s="510"/>
      <c r="S37" s="510"/>
      <c r="T37" s="510"/>
      <c r="U37" s="510"/>
      <c r="V37" s="508"/>
      <c r="W37" s="535"/>
      <c r="X37" s="515"/>
      <c r="Y37" s="515"/>
      <c r="Z37" s="507"/>
      <c r="AA37" s="507"/>
      <c r="AB37" s="510"/>
    </row>
    <row r="38" ht="18.0" customHeight="1">
      <c r="A38" s="507"/>
      <c r="B38" s="508"/>
      <c r="C38" s="508"/>
      <c r="D38" s="571"/>
      <c r="E38" s="508"/>
      <c r="F38" s="515"/>
      <c r="G38" s="515"/>
      <c r="H38" s="508"/>
      <c r="I38" s="521"/>
      <c r="J38" s="521"/>
      <c r="K38" s="510"/>
      <c r="L38" s="510"/>
      <c r="M38" s="510"/>
      <c r="N38" s="510"/>
      <c r="O38" s="507"/>
      <c r="P38" s="507"/>
      <c r="Q38" s="507"/>
      <c r="R38" s="510"/>
      <c r="S38" s="510"/>
      <c r="T38" s="510"/>
      <c r="U38" s="510"/>
      <c r="V38" s="508"/>
      <c r="W38" s="508"/>
      <c r="X38" s="515"/>
      <c r="Y38" s="515"/>
      <c r="Z38" s="507"/>
      <c r="AA38" s="507"/>
      <c r="AB38" s="510"/>
    </row>
    <row r="39" ht="18.0" customHeight="1">
      <c r="A39" s="507"/>
      <c r="B39" s="508"/>
      <c r="C39" s="508"/>
      <c r="D39" s="571"/>
      <c r="E39" s="508"/>
      <c r="F39" s="515"/>
      <c r="G39" s="515"/>
      <c r="H39" s="508"/>
      <c r="I39" s="521"/>
      <c r="J39" s="521"/>
      <c r="K39" s="510"/>
      <c r="L39" s="510"/>
      <c r="M39" s="510"/>
      <c r="N39" s="510"/>
      <c r="O39" s="507"/>
      <c r="P39" s="507"/>
      <c r="Q39" s="507"/>
      <c r="R39" s="510"/>
      <c r="S39" s="510"/>
      <c r="T39" s="510"/>
      <c r="U39" s="510"/>
      <c r="V39" s="508"/>
      <c r="W39" s="508"/>
      <c r="X39" s="515"/>
      <c r="Y39" s="515"/>
      <c r="Z39" s="507"/>
      <c r="AA39" s="507"/>
      <c r="AB39" s="510"/>
    </row>
    <row r="40" ht="18.0" customHeight="1">
      <c r="A40" s="507"/>
      <c r="B40" s="508"/>
      <c r="C40" s="508"/>
      <c r="D40" s="571"/>
      <c r="E40" s="508"/>
      <c r="F40" s="515"/>
      <c r="G40" s="515"/>
      <c r="H40" s="508"/>
      <c r="I40" s="521"/>
      <c r="J40" s="521"/>
      <c r="K40" s="510"/>
      <c r="L40" s="510"/>
      <c r="M40" s="510"/>
      <c r="N40" s="510"/>
      <c r="O40" s="507"/>
      <c r="P40" s="507"/>
      <c r="Q40" s="507"/>
      <c r="R40" s="510"/>
      <c r="S40" s="510"/>
      <c r="T40" s="510"/>
      <c r="U40" s="510"/>
      <c r="V40" s="513"/>
      <c r="W40" s="510"/>
      <c r="X40" s="507"/>
      <c r="Y40" s="507"/>
      <c r="Z40" s="507"/>
      <c r="AA40" s="507"/>
      <c r="AB40" s="510"/>
    </row>
    <row r="41" ht="18.0" customHeight="1">
      <c r="A41" s="507"/>
      <c r="B41" s="508"/>
      <c r="C41" s="508"/>
      <c r="D41" s="571"/>
      <c r="E41" s="508"/>
      <c r="F41" s="515"/>
      <c r="G41" s="515"/>
      <c r="H41" s="508"/>
      <c r="I41" s="521"/>
      <c r="J41" s="521"/>
      <c r="K41" s="510"/>
      <c r="L41" s="510"/>
      <c r="M41" s="510"/>
      <c r="N41" s="510"/>
      <c r="O41" s="507"/>
      <c r="P41" s="507"/>
      <c r="Q41" s="507"/>
      <c r="R41" s="510"/>
      <c r="S41" s="510"/>
      <c r="T41" s="510"/>
      <c r="U41" s="510"/>
      <c r="V41" s="513"/>
      <c r="W41" s="510"/>
      <c r="X41" s="507"/>
      <c r="Y41" s="507"/>
      <c r="Z41" s="507"/>
      <c r="AA41" s="507"/>
      <c r="AB41" s="510"/>
    </row>
    <row r="42" ht="18.0" customHeight="1">
      <c r="A42" s="507"/>
      <c r="B42" s="508"/>
      <c r="C42" s="508"/>
      <c r="D42" s="571"/>
      <c r="E42" s="508"/>
      <c r="F42" s="515"/>
      <c r="G42" s="515"/>
      <c r="H42" s="508"/>
      <c r="I42" s="521"/>
      <c r="J42" s="521"/>
      <c r="K42" s="510"/>
      <c r="L42" s="510"/>
      <c r="M42" s="510"/>
      <c r="N42" s="510"/>
      <c r="O42" s="507"/>
      <c r="P42" s="507"/>
      <c r="Q42" s="507"/>
      <c r="R42" s="510"/>
      <c r="S42" s="510"/>
      <c r="T42" s="510"/>
      <c r="U42" s="510"/>
      <c r="V42" s="513"/>
      <c r="W42" s="510"/>
      <c r="X42" s="507"/>
      <c r="Y42" s="507"/>
      <c r="Z42" s="507"/>
      <c r="AA42" s="507"/>
      <c r="AB42" s="510"/>
    </row>
    <row r="43" ht="18.0" customHeight="1">
      <c r="A43" s="507"/>
      <c r="B43" s="508"/>
      <c r="C43" s="508"/>
      <c r="D43" s="571"/>
      <c r="E43" s="508"/>
      <c r="F43" s="515"/>
      <c r="G43" s="515"/>
      <c r="H43" s="508"/>
      <c r="I43" s="521"/>
      <c r="J43" s="521"/>
      <c r="K43" s="510"/>
      <c r="L43" s="510"/>
      <c r="M43" s="510"/>
      <c r="N43" s="510"/>
      <c r="O43" s="507"/>
      <c r="P43" s="507"/>
      <c r="Q43" s="507"/>
      <c r="R43" s="510"/>
      <c r="S43" s="510"/>
      <c r="T43" s="510"/>
      <c r="U43" s="510"/>
      <c r="V43" s="513"/>
      <c r="W43" s="510"/>
      <c r="X43" s="507"/>
      <c r="Y43" s="507"/>
      <c r="Z43" s="507"/>
      <c r="AA43" s="507"/>
      <c r="AB43" s="510"/>
    </row>
    <row r="44" ht="18.0" customHeight="1">
      <c r="A44" s="507"/>
      <c r="B44" s="508"/>
      <c r="C44" s="508"/>
      <c r="D44" s="576"/>
      <c r="E44" s="508"/>
      <c r="F44" s="515"/>
      <c r="G44" s="515"/>
      <c r="H44" s="508"/>
      <c r="I44" s="521"/>
      <c r="J44" s="521"/>
      <c r="K44" s="510"/>
      <c r="L44" s="510"/>
      <c r="M44" s="510"/>
      <c r="N44" s="510"/>
      <c r="O44" s="507"/>
      <c r="P44" s="507"/>
      <c r="Q44" s="507"/>
      <c r="R44" s="510"/>
      <c r="S44" s="510"/>
      <c r="T44" s="510"/>
      <c r="U44" s="510"/>
      <c r="V44" s="513"/>
      <c r="W44" s="510"/>
      <c r="X44" s="507"/>
      <c r="Y44" s="507"/>
      <c r="Z44" s="507"/>
      <c r="AA44" s="507"/>
      <c r="AB44" s="510"/>
    </row>
    <row r="45" ht="18.0" customHeight="1">
      <c r="A45" s="507"/>
      <c r="B45" s="508"/>
      <c r="C45" s="508"/>
      <c r="D45" s="572"/>
      <c r="E45" s="508"/>
      <c r="F45" s="515"/>
      <c r="G45" s="515"/>
      <c r="H45" s="508"/>
      <c r="I45" s="521"/>
      <c r="J45" s="521"/>
      <c r="K45" s="510"/>
      <c r="L45" s="510"/>
      <c r="M45" s="510"/>
      <c r="N45" s="510"/>
      <c r="O45" s="507"/>
      <c r="P45" s="507"/>
      <c r="Q45" s="507"/>
      <c r="R45" s="510"/>
      <c r="S45" s="510"/>
      <c r="T45" s="510"/>
      <c r="U45" s="510"/>
      <c r="V45" s="513"/>
      <c r="W45" s="510"/>
      <c r="X45" s="507"/>
      <c r="Y45" s="507"/>
      <c r="Z45" s="507"/>
      <c r="AA45" s="507"/>
      <c r="AB45" s="510"/>
    </row>
    <row r="46" ht="18.0" customHeight="1">
      <c r="A46" s="507"/>
      <c r="B46" s="508"/>
      <c r="C46" s="508"/>
      <c r="D46" s="580"/>
      <c r="E46" s="508"/>
      <c r="F46" s="515"/>
      <c r="G46" s="515"/>
      <c r="H46" s="508"/>
      <c r="I46" s="521"/>
      <c r="J46" s="521"/>
      <c r="K46" s="510"/>
      <c r="L46" s="510"/>
      <c r="M46" s="510"/>
      <c r="N46" s="510"/>
      <c r="O46" s="507"/>
      <c r="P46" s="507"/>
      <c r="Q46" s="507"/>
      <c r="R46" s="510"/>
      <c r="S46" s="510"/>
      <c r="T46" s="510"/>
      <c r="U46" s="510"/>
      <c r="V46" s="513"/>
      <c r="W46" s="510"/>
      <c r="X46" s="507"/>
      <c r="Y46" s="507"/>
      <c r="Z46" s="507"/>
      <c r="AA46" s="507"/>
      <c r="AB46" s="510"/>
    </row>
    <row r="47" ht="18.0" customHeight="1">
      <c r="A47" s="507"/>
      <c r="B47" s="508"/>
      <c r="C47" s="508"/>
      <c r="D47" s="572"/>
      <c r="E47" s="508"/>
      <c r="F47" s="515"/>
      <c r="G47" s="515"/>
      <c r="H47" s="508"/>
      <c r="I47" s="521"/>
      <c r="J47" s="521"/>
      <c r="K47" s="510"/>
      <c r="L47" s="510"/>
      <c r="M47" s="510"/>
      <c r="N47" s="510"/>
      <c r="O47" s="507"/>
      <c r="P47" s="507"/>
      <c r="Q47" s="507"/>
      <c r="R47" s="510"/>
      <c r="S47" s="510"/>
      <c r="T47" s="510"/>
      <c r="U47" s="510"/>
      <c r="V47" s="513"/>
      <c r="W47" s="510"/>
      <c r="X47" s="507"/>
      <c r="Y47" s="507"/>
      <c r="Z47" s="507"/>
      <c r="AA47" s="507"/>
      <c r="AB47" s="510"/>
    </row>
    <row r="48" ht="18.0" customHeight="1">
      <c r="A48" s="507"/>
      <c r="B48" s="508"/>
      <c r="C48" s="527"/>
      <c r="D48" s="571"/>
      <c r="E48" s="508"/>
      <c r="F48" s="515"/>
      <c r="G48" s="515"/>
      <c r="H48" s="508"/>
      <c r="I48" s="521"/>
      <c r="J48" s="521"/>
      <c r="K48" s="510"/>
      <c r="L48" s="510"/>
      <c r="M48" s="510"/>
      <c r="N48" s="510"/>
      <c r="O48" s="507"/>
      <c r="P48" s="507"/>
      <c r="Q48" s="507"/>
      <c r="R48" s="510"/>
      <c r="S48" s="510"/>
      <c r="T48" s="510"/>
      <c r="U48" s="510"/>
      <c r="V48" s="513"/>
      <c r="W48" s="510"/>
      <c r="X48" s="507"/>
      <c r="Y48" s="507"/>
      <c r="Z48" s="507"/>
      <c r="AA48" s="507"/>
      <c r="AB48" s="510"/>
    </row>
    <row r="49" ht="18.0" customHeight="1">
      <c r="A49" s="507"/>
      <c r="B49" s="508"/>
      <c r="C49" s="508"/>
      <c r="D49" s="571"/>
      <c r="E49" s="508"/>
      <c r="F49" s="515"/>
      <c r="G49" s="515"/>
      <c r="H49" s="508"/>
      <c r="I49" s="521"/>
      <c r="J49" s="521"/>
      <c r="K49" s="510"/>
      <c r="L49" s="510"/>
      <c r="M49" s="510"/>
      <c r="N49" s="510"/>
      <c r="O49" s="507"/>
      <c r="P49" s="507"/>
      <c r="Q49" s="507"/>
      <c r="R49" s="510"/>
      <c r="S49" s="510"/>
      <c r="T49" s="510"/>
      <c r="U49" s="510"/>
      <c r="V49" s="513"/>
      <c r="W49" s="510"/>
      <c r="X49" s="507"/>
      <c r="Y49" s="507"/>
      <c r="Z49" s="507"/>
      <c r="AA49" s="507"/>
      <c r="AB49" s="510"/>
    </row>
    <row r="50" ht="18.0" customHeight="1">
      <c r="A50" s="507"/>
      <c r="B50" s="508"/>
      <c r="C50" s="508"/>
      <c r="D50" s="581"/>
      <c r="E50" s="508"/>
      <c r="F50" s="515"/>
      <c r="G50" s="515"/>
      <c r="H50" s="508"/>
      <c r="I50" s="521"/>
      <c r="J50" s="521"/>
      <c r="K50" s="510"/>
      <c r="L50" s="510"/>
      <c r="M50" s="510"/>
      <c r="N50" s="510"/>
      <c r="O50" s="507"/>
      <c r="P50" s="507"/>
      <c r="Q50" s="507"/>
      <c r="R50" s="510"/>
      <c r="S50" s="510"/>
      <c r="T50" s="510"/>
      <c r="U50" s="510"/>
      <c r="V50" s="513"/>
      <c r="W50" s="510"/>
      <c r="X50" s="507"/>
      <c r="Y50" s="507"/>
      <c r="Z50" s="507"/>
      <c r="AA50" s="507"/>
      <c r="AB50" s="510"/>
    </row>
    <row r="51" ht="18.0" customHeight="1">
      <c r="A51" s="507"/>
      <c r="B51" s="508"/>
      <c r="C51" s="508"/>
      <c r="D51" s="508"/>
      <c r="E51" s="508"/>
      <c r="F51" s="515"/>
      <c r="G51" s="515"/>
      <c r="H51" s="508"/>
      <c r="I51" s="521"/>
      <c r="J51" s="521"/>
      <c r="K51" s="510"/>
      <c r="L51" s="510"/>
      <c r="M51" s="510"/>
      <c r="N51" s="510"/>
      <c r="O51" s="507"/>
      <c r="P51" s="507"/>
      <c r="Q51" s="507"/>
      <c r="R51" s="510"/>
      <c r="S51" s="510"/>
      <c r="T51" s="510"/>
      <c r="U51" s="510"/>
      <c r="V51" s="513"/>
      <c r="W51" s="510"/>
      <c r="X51" s="507"/>
      <c r="Y51" s="507"/>
      <c r="Z51" s="507"/>
      <c r="AA51" s="507"/>
      <c r="AB51" s="510"/>
    </row>
    <row r="52" ht="18.0" customHeight="1">
      <c r="A52" s="507"/>
      <c r="B52" s="508"/>
      <c r="C52" s="508"/>
      <c r="D52" s="508"/>
      <c r="E52" s="508"/>
      <c r="F52" s="515"/>
      <c r="G52" s="515"/>
      <c r="H52" s="508"/>
      <c r="I52" s="521"/>
      <c r="J52" s="521"/>
      <c r="K52" s="510"/>
      <c r="L52" s="510"/>
      <c r="M52" s="510"/>
      <c r="N52" s="510"/>
      <c r="O52" s="507"/>
      <c r="P52" s="507"/>
      <c r="Q52" s="507"/>
      <c r="R52" s="510"/>
      <c r="S52" s="510"/>
      <c r="T52" s="510"/>
      <c r="U52" s="510"/>
      <c r="V52" s="513"/>
      <c r="W52" s="510"/>
      <c r="X52" s="507"/>
      <c r="Y52" s="507"/>
      <c r="Z52" s="507"/>
      <c r="AA52" s="507"/>
      <c r="AB52" s="510"/>
    </row>
    <row r="53" ht="18.0" customHeight="1">
      <c r="A53" s="507"/>
      <c r="B53" s="508"/>
      <c r="C53" s="508"/>
      <c r="D53" s="508"/>
      <c r="E53" s="508"/>
      <c r="F53" s="515"/>
      <c r="G53" s="515"/>
      <c r="H53" s="508"/>
      <c r="I53" s="521"/>
      <c r="J53" s="521"/>
      <c r="K53" s="510"/>
      <c r="L53" s="510"/>
      <c r="M53" s="510"/>
      <c r="N53" s="510"/>
      <c r="O53" s="507"/>
      <c r="P53" s="507"/>
      <c r="Q53" s="507"/>
      <c r="R53" s="510"/>
      <c r="S53" s="510"/>
      <c r="T53" s="510"/>
      <c r="U53" s="510"/>
      <c r="V53" s="513"/>
      <c r="W53" s="510"/>
      <c r="X53" s="507"/>
      <c r="Y53" s="507"/>
      <c r="Z53" s="507"/>
      <c r="AA53" s="507"/>
      <c r="AB53" s="510"/>
    </row>
    <row r="54" ht="18.0" customHeight="1">
      <c r="A54" s="507"/>
      <c r="B54" s="508"/>
      <c r="C54" s="508"/>
      <c r="D54" s="508"/>
      <c r="E54" s="508"/>
      <c r="F54" s="515"/>
      <c r="G54" s="515"/>
      <c r="H54" s="508"/>
      <c r="I54" s="521"/>
      <c r="J54" s="521"/>
      <c r="K54" s="510"/>
      <c r="L54" s="510"/>
      <c r="M54" s="510"/>
      <c r="N54" s="510"/>
      <c r="O54" s="507"/>
      <c r="P54" s="507"/>
      <c r="Q54" s="507"/>
      <c r="R54" s="510"/>
      <c r="S54" s="510"/>
      <c r="T54" s="510"/>
      <c r="U54" s="510"/>
      <c r="V54" s="513"/>
      <c r="W54" s="510"/>
      <c r="X54" s="507"/>
      <c r="Y54" s="507"/>
      <c r="Z54" s="507"/>
      <c r="AA54" s="507"/>
      <c r="AB54" s="510"/>
    </row>
    <row r="55" ht="18.0" customHeight="1">
      <c r="A55" s="507"/>
      <c r="B55" s="508"/>
      <c r="C55" s="508"/>
      <c r="D55" s="508"/>
      <c r="E55" s="508"/>
      <c r="F55" s="515"/>
      <c r="G55" s="515"/>
      <c r="H55" s="508"/>
      <c r="I55" s="521"/>
      <c r="J55" s="521"/>
      <c r="K55" s="510"/>
      <c r="L55" s="510"/>
      <c r="M55" s="510"/>
      <c r="N55" s="510"/>
      <c r="O55" s="507"/>
      <c r="P55" s="507"/>
      <c r="Q55" s="507"/>
      <c r="R55" s="510"/>
      <c r="S55" s="510"/>
      <c r="T55" s="510"/>
      <c r="U55" s="510"/>
      <c r="V55" s="513"/>
      <c r="W55" s="510"/>
      <c r="X55" s="507"/>
      <c r="Y55" s="507"/>
      <c r="Z55" s="507"/>
      <c r="AA55" s="507"/>
      <c r="AB55" s="510"/>
    </row>
    <row r="56" ht="18.0" customHeight="1">
      <c r="A56" s="507"/>
      <c r="B56" s="508"/>
      <c r="C56" s="508"/>
      <c r="D56" s="508"/>
      <c r="E56" s="508"/>
      <c r="F56" s="515"/>
      <c r="G56" s="515"/>
      <c r="H56" s="508"/>
      <c r="I56" s="521"/>
      <c r="J56" s="521"/>
      <c r="K56" s="510"/>
      <c r="L56" s="510"/>
      <c r="M56" s="510"/>
      <c r="N56" s="510"/>
      <c r="O56" s="507"/>
      <c r="P56" s="507"/>
      <c r="Q56" s="507"/>
      <c r="R56" s="510"/>
      <c r="S56" s="510"/>
      <c r="T56" s="510"/>
      <c r="U56" s="510"/>
      <c r="V56" s="513"/>
      <c r="W56" s="510"/>
      <c r="X56" s="507"/>
      <c r="Y56" s="507"/>
      <c r="Z56" s="507"/>
      <c r="AA56" s="507"/>
      <c r="AB56" s="510"/>
    </row>
    <row r="57" ht="18.0" customHeight="1">
      <c r="A57" s="507"/>
      <c r="B57" s="508"/>
      <c r="C57" s="508"/>
      <c r="D57" s="508"/>
      <c r="E57" s="508"/>
      <c r="F57" s="515"/>
      <c r="G57" s="515"/>
      <c r="H57" s="508"/>
      <c r="I57" s="521"/>
      <c r="J57" s="521"/>
      <c r="K57" s="510"/>
      <c r="L57" s="510"/>
      <c r="M57" s="510"/>
      <c r="N57" s="510"/>
      <c r="O57" s="507"/>
      <c r="P57" s="507"/>
      <c r="Q57" s="507"/>
      <c r="R57" s="510"/>
      <c r="S57" s="510"/>
      <c r="T57" s="510"/>
      <c r="U57" s="510"/>
      <c r="V57" s="513"/>
      <c r="W57" s="510"/>
      <c r="X57" s="507"/>
      <c r="Y57" s="507"/>
      <c r="Z57" s="507"/>
      <c r="AA57" s="507"/>
      <c r="AB57" s="510"/>
    </row>
    <row r="58" ht="18.0" customHeight="1">
      <c r="A58" s="507"/>
      <c r="B58" s="508"/>
      <c r="C58" s="508"/>
      <c r="D58" s="508"/>
      <c r="E58" s="508"/>
      <c r="F58" s="515"/>
      <c r="G58" s="515"/>
      <c r="H58" s="508"/>
      <c r="I58" s="521"/>
      <c r="J58" s="521"/>
      <c r="K58" s="510"/>
      <c r="L58" s="510"/>
      <c r="M58" s="510"/>
      <c r="N58" s="510"/>
      <c r="O58" s="507"/>
      <c r="P58" s="507"/>
      <c r="Q58" s="507"/>
      <c r="R58" s="510"/>
      <c r="S58" s="510"/>
      <c r="T58" s="510"/>
      <c r="U58" s="510"/>
      <c r="V58" s="513"/>
      <c r="W58" s="510"/>
      <c r="X58" s="507"/>
      <c r="Y58" s="507"/>
      <c r="Z58" s="507"/>
      <c r="AA58" s="507"/>
      <c r="AB58" s="510"/>
    </row>
    <row r="59" ht="18.0" customHeight="1">
      <c r="A59" s="507"/>
      <c r="B59" s="508"/>
      <c r="C59" s="508"/>
      <c r="D59" s="508"/>
      <c r="E59" s="508"/>
      <c r="F59" s="515"/>
      <c r="G59" s="515"/>
      <c r="H59" s="508"/>
      <c r="I59" s="521"/>
      <c r="J59" s="521"/>
      <c r="K59" s="510"/>
      <c r="L59" s="510"/>
      <c r="M59" s="510"/>
      <c r="N59" s="510"/>
      <c r="O59" s="507"/>
      <c r="P59" s="507"/>
      <c r="Q59" s="507"/>
      <c r="R59" s="510"/>
      <c r="S59" s="510"/>
      <c r="T59" s="510"/>
      <c r="U59" s="510"/>
      <c r="V59" s="513"/>
      <c r="W59" s="510"/>
      <c r="X59" s="507"/>
      <c r="Y59" s="507"/>
      <c r="Z59" s="507"/>
      <c r="AA59" s="507"/>
      <c r="AB59" s="510"/>
    </row>
    <row r="60" ht="18.0" customHeight="1">
      <c r="A60" s="507"/>
      <c r="B60" s="508"/>
      <c r="C60" s="508"/>
      <c r="D60" s="508"/>
      <c r="E60" s="508"/>
      <c r="F60" s="515"/>
      <c r="G60" s="515"/>
      <c r="H60" s="508"/>
      <c r="I60" s="521"/>
      <c r="J60" s="521"/>
      <c r="K60" s="510"/>
      <c r="L60" s="510"/>
      <c r="M60" s="510"/>
      <c r="N60" s="510"/>
      <c r="O60" s="507"/>
      <c r="P60" s="507"/>
      <c r="Q60" s="507"/>
      <c r="R60" s="510"/>
      <c r="S60" s="510"/>
      <c r="T60" s="510"/>
      <c r="U60" s="510"/>
      <c r="V60" s="513"/>
      <c r="W60" s="510"/>
      <c r="X60" s="507"/>
      <c r="Y60" s="507"/>
      <c r="Z60" s="507"/>
      <c r="AA60" s="507"/>
      <c r="AB60" s="510"/>
    </row>
    <row r="61" ht="18.0" customHeight="1">
      <c r="A61" s="507"/>
      <c r="B61" s="508"/>
      <c r="C61" s="508"/>
      <c r="D61" s="508"/>
      <c r="E61" s="508"/>
      <c r="F61" s="515"/>
      <c r="G61" s="515"/>
      <c r="H61" s="508"/>
      <c r="I61" s="521"/>
      <c r="J61" s="521"/>
      <c r="K61" s="510"/>
      <c r="L61" s="510"/>
      <c r="M61" s="510"/>
      <c r="N61" s="510"/>
      <c r="O61" s="507"/>
      <c r="P61" s="507"/>
      <c r="Q61" s="507"/>
      <c r="R61" s="510"/>
      <c r="S61" s="510"/>
      <c r="T61" s="510"/>
      <c r="U61" s="510"/>
      <c r="V61" s="513"/>
      <c r="W61" s="510"/>
      <c r="X61" s="507"/>
      <c r="Y61" s="507"/>
      <c r="Z61" s="507"/>
      <c r="AA61" s="507"/>
      <c r="AB61" s="510"/>
    </row>
    <row r="62" ht="18.0" customHeight="1">
      <c r="A62" s="507"/>
      <c r="B62" s="508"/>
      <c r="C62" s="508"/>
      <c r="D62" s="508"/>
      <c r="E62" s="508"/>
      <c r="F62" s="515"/>
      <c r="G62" s="515"/>
      <c r="H62" s="508"/>
      <c r="I62" s="521"/>
      <c r="J62" s="521"/>
      <c r="K62" s="510"/>
      <c r="L62" s="510"/>
      <c r="M62" s="510"/>
      <c r="N62" s="510"/>
      <c r="O62" s="507"/>
      <c r="P62" s="507"/>
      <c r="Q62" s="507"/>
      <c r="R62" s="510"/>
      <c r="S62" s="510"/>
      <c r="T62" s="510"/>
      <c r="U62" s="510"/>
      <c r="V62" s="513"/>
      <c r="W62" s="510"/>
      <c r="X62" s="507"/>
      <c r="Y62" s="507"/>
      <c r="Z62" s="507"/>
      <c r="AA62" s="507"/>
      <c r="AB62" s="510"/>
    </row>
    <row r="63" ht="18.0" customHeight="1">
      <c r="A63" s="507"/>
      <c r="B63" s="508"/>
      <c r="C63" s="508"/>
      <c r="D63" s="508"/>
      <c r="E63" s="508"/>
      <c r="F63" s="515"/>
      <c r="G63" s="515"/>
      <c r="H63" s="508"/>
      <c r="I63" s="521"/>
      <c r="J63" s="521"/>
      <c r="K63" s="510"/>
      <c r="L63" s="510"/>
      <c r="M63" s="510"/>
      <c r="N63" s="510"/>
      <c r="O63" s="507"/>
      <c r="P63" s="507"/>
      <c r="Q63" s="507"/>
      <c r="R63" s="510"/>
      <c r="S63" s="510"/>
      <c r="T63" s="510"/>
      <c r="U63" s="510"/>
      <c r="V63" s="513"/>
      <c r="W63" s="510"/>
      <c r="X63" s="507"/>
      <c r="Y63" s="507"/>
      <c r="Z63" s="507"/>
      <c r="AA63" s="507"/>
      <c r="AB63" s="510"/>
    </row>
    <row r="64" ht="18.0" customHeight="1">
      <c r="A64" s="507"/>
      <c r="B64" s="508"/>
      <c r="C64" s="508"/>
      <c r="D64" s="508"/>
      <c r="E64" s="508"/>
      <c r="F64" s="515"/>
      <c r="G64" s="515"/>
      <c r="H64" s="508"/>
      <c r="I64" s="521"/>
      <c r="J64" s="521"/>
      <c r="K64" s="510"/>
      <c r="L64" s="510"/>
      <c r="M64" s="510"/>
      <c r="N64" s="510"/>
      <c r="O64" s="507"/>
      <c r="P64" s="507"/>
      <c r="Q64" s="507"/>
      <c r="R64" s="510"/>
      <c r="S64" s="510"/>
      <c r="T64" s="510"/>
      <c r="U64" s="510"/>
      <c r="V64" s="513"/>
      <c r="W64" s="510"/>
      <c r="X64" s="507"/>
      <c r="Y64" s="507"/>
      <c r="Z64" s="507"/>
      <c r="AA64" s="507"/>
      <c r="AB64" s="510"/>
    </row>
    <row r="65" ht="18.0" customHeight="1">
      <c r="A65" s="507"/>
      <c r="B65" s="508"/>
      <c r="C65" s="508"/>
      <c r="D65" s="508"/>
      <c r="E65" s="508"/>
      <c r="F65" s="515"/>
      <c r="G65" s="515"/>
      <c r="H65" s="508"/>
      <c r="I65" s="521"/>
      <c r="J65" s="521"/>
      <c r="K65" s="510"/>
      <c r="L65" s="510"/>
      <c r="M65" s="510"/>
      <c r="N65" s="510"/>
      <c r="O65" s="507"/>
      <c r="P65" s="507"/>
      <c r="Q65" s="507"/>
      <c r="R65" s="510"/>
      <c r="S65" s="510"/>
      <c r="T65" s="510"/>
      <c r="U65" s="510"/>
      <c r="V65" s="513"/>
      <c r="W65" s="510"/>
      <c r="X65" s="507"/>
      <c r="Y65" s="507"/>
      <c r="Z65" s="507"/>
      <c r="AA65" s="507"/>
      <c r="AB65" s="510"/>
    </row>
    <row r="66" ht="18.0" customHeight="1">
      <c r="A66" s="507"/>
      <c r="B66" s="508"/>
      <c r="C66" s="508"/>
      <c r="D66" s="508"/>
      <c r="E66" s="508"/>
      <c r="F66" s="515"/>
      <c r="G66" s="515"/>
      <c r="H66" s="508"/>
      <c r="I66" s="521"/>
      <c r="J66" s="521"/>
      <c r="K66" s="510"/>
      <c r="L66" s="510"/>
      <c r="M66" s="510"/>
      <c r="N66" s="510"/>
      <c r="O66" s="507"/>
      <c r="P66" s="507"/>
      <c r="Q66" s="507"/>
      <c r="R66" s="510"/>
      <c r="S66" s="510"/>
      <c r="T66" s="510"/>
      <c r="U66" s="510"/>
      <c r="V66" s="513"/>
      <c r="W66" s="510"/>
      <c r="X66" s="507"/>
      <c r="Y66" s="507"/>
      <c r="Z66" s="507"/>
      <c r="AA66" s="507"/>
      <c r="AB66" s="510"/>
    </row>
    <row r="67" ht="18.0" customHeight="1">
      <c r="A67" s="507"/>
      <c r="B67" s="508"/>
      <c r="C67" s="508"/>
      <c r="D67" s="508"/>
      <c r="E67" s="508"/>
      <c r="F67" s="515"/>
      <c r="G67" s="515"/>
      <c r="H67" s="508"/>
      <c r="I67" s="521"/>
      <c r="J67" s="521"/>
      <c r="K67" s="510"/>
      <c r="L67" s="510"/>
      <c r="M67" s="510"/>
      <c r="N67" s="510"/>
      <c r="O67" s="507"/>
      <c r="P67" s="507"/>
      <c r="Q67" s="507"/>
      <c r="R67" s="510"/>
      <c r="S67" s="510"/>
      <c r="T67" s="510"/>
      <c r="U67" s="510"/>
      <c r="V67" s="513"/>
      <c r="W67" s="510"/>
      <c r="X67" s="507"/>
      <c r="Y67" s="507"/>
      <c r="Z67" s="507"/>
      <c r="AA67" s="507"/>
      <c r="AB67" s="510"/>
    </row>
    <row r="68" ht="18.0" customHeight="1">
      <c r="A68" s="507"/>
      <c r="B68" s="508"/>
      <c r="C68" s="508"/>
      <c r="D68" s="508"/>
      <c r="E68" s="508"/>
      <c r="F68" s="515"/>
      <c r="G68" s="515"/>
      <c r="H68" s="508"/>
      <c r="I68" s="521"/>
      <c r="J68" s="521"/>
      <c r="K68" s="510"/>
      <c r="L68" s="510"/>
      <c r="M68" s="510"/>
      <c r="N68" s="510"/>
      <c r="O68" s="507"/>
      <c r="P68" s="507"/>
      <c r="Q68" s="507"/>
      <c r="R68" s="510"/>
      <c r="S68" s="510"/>
      <c r="T68" s="510"/>
      <c r="U68" s="510"/>
      <c r="V68" s="513"/>
      <c r="W68" s="510"/>
      <c r="X68" s="507"/>
      <c r="Y68" s="507"/>
      <c r="Z68" s="507"/>
      <c r="AA68" s="507"/>
      <c r="AB68" s="510"/>
    </row>
    <row r="69" ht="18.0" customHeight="1">
      <c r="A69" s="507"/>
      <c r="B69" s="508"/>
      <c r="C69" s="508"/>
      <c r="D69" s="508"/>
      <c r="E69" s="508"/>
      <c r="F69" s="515"/>
      <c r="G69" s="515"/>
      <c r="H69" s="508"/>
      <c r="I69" s="521"/>
      <c r="J69" s="521"/>
      <c r="K69" s="510"/>
      <c r="L69" s="510"/>
      <c r="M69" s="510"/>
      <c r="N69" s="510"/>
      <c r="O69" s="507"/>
      <c r="P69" s="507"/>
      <c r="Q69" s="507"/>
      <c r="R69" s="510"/>
      <c r="S69" s="510"/>
      <c r="T69" s="510"/>
      <c r="U69" s="510"/>
      <c r="V69" s="513"/>
      <c r="W69" s="510"/>
      <c r="X69" s="507"/>
      <c r="Y69" s="507"/>
      <c r="Z69" s="507"/>
      <c r="AA69" s="507"/>
      <c r="AB69" s="510"/>
    </row>
    <row r="70" ht="18.0" customHeight="1">
      <c r="A70" s="507"/>
      <c r="B70" s="508"/>
      <c r="C70" s="508"/>
      <c r="D70" s="508"/>
      <c r="E70" s="508"/>
      <c r="F70" s="515"/>
      <c r="G70" s="515"/>
      <c r="H70" s="508"/>
      <c r="I70" s="521"/>
      <c r="J70" s="521"/>
      <c r="K70" s="510"/>
      <c r="L70" s="510"/>
      <c r="M70" s="510"/>
      <c r="N70" s="510"/>
      <c r="O70" s="507"/>
      <c r="P70" s="507"/>
      <c r="Q70" s="507"/>
      <c r="R70" s="510"/>
      <c r="S70" s="510"/>
      <c r="T70" s="510"/>
      <c r="U70" s="510"/>
      <c r="V70" s="513"/>
      <c r="W70" s="510"/>
      <c r="X70" s="507"/>
      <c r="Y70" s="507"/>
      <c r="Z70" s="507"/>
      <c r="AA70" s="507"/>
      <c r="AB70" s="510"/>
    </row>
    <row r="71" ht="18.0" customHeight="1">
      <c r="A71" s="507"/>
      <c r="B71" s="508"/>
      <c r="C71" s="508"/>
      <c r="D71" s="508"/>
      <c r="E71" s="508"/>
      <c r="F71" s="515"/>
      <c r="G71" s="515"/>
      <c r="H71" s="508"/>
      <c r="I71" s="521"/>
      <c r="J71" s="521"/>
      <c r="K71" s="510"/>
      <c r="L71" s="510"/>
      <c r="M71" s="510"/>
      <c r="N71" s="510"/>
      <c r="O71" s="507"/>
      <c r="P71" s="507"/>
      <c r="Q71" s="507"/>
      <c r="R71" s="510"/>
      <c r="S71" s="510"/>
      <c r="T71" s="510"/>
      <c r="U71" s="510"/>
      <c r="V71" s="513"/>
      <c r="W71" s="510"/>
      <c r="X71" s="507"/>
      <c r="Y71" s="507"/>
      <c r="Z71" s="507"/>
      <c r="AA71" s="507"/>
      <c r="AB71" s="510"/>
    </row>
    <row r="72" ht="18.0" customHeight="1">
      <c r="A72" s="507"/>
      <c r="B72" s="508"/>
      <c r="C72" s="508"/>
      <c r="D72" s="508"/>
      <c r="E72" s="508"/>
      <c r="F72" s="515"/>
      <c r="G72" s="515"/>
      <c r="H72" s="508"/>
      <c r="I72" s="521"/>
      <c r="J72" s="521"/>
      <c r="K72" s="510"/>
      <c r="L72" s="510"/>
      <c r="M72" s="510"/>
      <c r="N72" s="510"/>
      <c r="O72" s="507"/>
      <c r="P72" s="507"/>
      <c r="Q72" s="507"/>
      <c r="R72" s="510"/>
      <c r="S72" s="510"/>
      <c r="T72" s="510"/>
      <c r="U72" s="510"/>
      <c r="V72" s="513"/>
      <c r="W72" s="510"/>
      <c r="X72" s="507"/>
      <c r="Y72" s="507"/>
      <c r="Z72" s="507"/>
      <c r="AA72" s="507"/>
      <c r="AB72" s="510"/>
    </row>
    <row r="73" ht="18.0" customHeight="1">
      <c r="A73" s="507"/>
      <c r="B73" s="508"/>
      <c r="C73" s="508"/>
      <c r="D73" s="508"/>
      <c r="E73" s="508"/>
      <c r="F73" s="515"/>
      <c r="G73" s="515"/>
      <c r="H73" s="508"/>
      <c r="I73" s="521"/>
      <c r="J73" s="521"/>
      <c r="K73" s="510"/>
      <c r="L73" s="510"/>
      <c r="M73" s="510"/>
      <c r="N73" s="510"/>
      <c r="O73" s="507"/>
      <c r="P73" s="507"/>
      <c r="Q73" s="507"/>
      <c r="R73" s="510"/>
      <c r="S73" s="510"/>
      <c r="T73" s="510"/>
      <c r="U73" s="510"/>
      <c r="V73" s="513"/>
      <c r="W73" s="510"/>
      <c r="X73" s="507"/>
      <c r="Y73" s="507"/>
      <c r="Z73" s="507"/>
      <c r="AA73" s="507"/>
      <c r="AB73" s="510"/>
    </row>
    <row r="74" ht="18.0" customHeight="1">
      <c r="A74" s="507"/>
      <c r="B74" s="508"/>
      <c r="C74" s="508"/>
      <c r="D74" s="508"/>
      <c r="E74" s="508"/>
      <c r="F74" s="515"/>
      <c r="G74" s="515"/>
      <c r="H74" s="508"/>
      <c r="I74" s="521"/>
      <c r="J74" s="521"/>
      <c r="K74" s="510"/>
      <c r="L74" s="510"/>
      <c r="M74" s="510"/>
      <c r="N74" s="510"/>
      <c r="O74" s="507"/>
      <c r="P74" s="507"/>
      <c r="Q74" s="507"/>
      <c r="R74" s="510"/>
      <c r="S74" s="510"/>
      <c r="T74" s="510"/>
      <c r="U74" s="510"/>
      <c r="V74" s="513"/>
      <c r="W74" s="510"/>
      <c r="X74" s="507"/>
      <c r="Y74" s="507"/>
      <c r="Z74" s="507"/>
      <c r="AA74" s="507"/>
      <c r="AB74" s="510"/>
    </row>
    <row r="75" ht="18.0" customHeight="1">
      <c r="A75" s="507"/>
      <c r="B75" s="508"/>
      <c r="C75" s="508"/>
      <c r="D75" s="508"/>
      <c r="E75" s="508"/>
      <c r="F75" s="515"/>
      <c r="G75" s="515"/>
      <c r="H75" s="508"/>
      <c r="I75" s="521"/>
      <c r="J75" s="521"/>
      <c r="K75" s="510"/>
      <c r="L75" s="510"/>
      <c r="M75" s="510"/>
      <c r="N75" s="510"/>
      <c r="O75" s="507"/>
      <c r="P75" s="507"/>
      <c r="Q75" s="507"/>
      <c r="R75" s="510"/>
      <c r="S75" s="510"/>
      <c r="T75" s="510"/>
      <c r="U75" s="510"/>
      <c r="V75" s="513"/>
      <c r="W75" s="510"/>
      <c r="X75" s="507"/>
      <c r="Y75" s="507"/>
      <c r="Z75" s="507"/>
      <c r="AA75" s="507"/>
      <c r="AB75" s="510"/>
    </row>
    <row r="76" ht="18.0" customHeight="1">
      <c r="A76" s="507"/>
      <c r="B76" s="508"/>
      <c r="C76" s="508"/>
      <c r="D76" s="508"/>
      <c r="E76" s="508"/>
      <c r="F76" s="515"/>
      <c r="G76" s="515"/>
      <c r="H76" s="508"/>
      <c r="I76" s="521"/>
      <c r="J76" s="521"/>
      <c r="K76" s="510"/>
      <c r="L76" s="510"/>
      <c r="M76" s="510"/>
      <c r="N76" s="510"/>
      <c r="O76" s="507"/>
      <c r="P76" s="507"/>
      <c r="Q76" s="507"/>
      <c r="R76" s="510"/>
      <c r="S76" s="510"/>
      <c r="T76" s="510"/>
      <c r="U76" s="510"/>
      <c r="V76" s="513"/>
      <c r="W76" s="510"/>
      <c r="X76" s="507"/>
      <c r="Y76" s="507"/>
      <c r="Z76" s="507"/>
      <c r="AA76" s="507"/>
      <c r="AB76" s="510"/>
    </row>
    <row r="77" ht="18.0" customHeight="1">
      <c r="A77" s="507"/>
      <c r="B77" s="508"/>
      <c r="C77" s="508"/>
      <c r="D77" s="508"/>
      <c r="E77" s="508"/>
      <c r="F77" s="515"/>
      <c r="G77" s="515"/>
      <c r="H77" s="508"/>
      <c r="I77" s="521"/>
      <c r="J77" s="521"/>
      <c r="K77" s="510"/>
      <c r="L77" s="510"/>
      <c r="M77" s="510"/>
      <c r="N77" s="510"/>
      <c r="O77" s="507"/>
      <c r="P77" s="507"/>
      <c r="Q77" s="507"/>
      <c r="R77" s="510"/>
      <c r="S77" s="510"/>
      <c r="T77" s="510"/>
      <c r="U77" s="510"/>
      <c r="V77" s="513"/>
      <c r="W77" s="510"/>
      <c r="X77" s="507"/>
      <c r="Y77" s="507"/>
      <c r="Z77" s="507"/>
      <c r="AA77" s="507"/>
      <c r="AB77" s="510"/>
    </row>
    <row r="78" ht="18.0" customHeight="1">
      <c r="A78" s="507"/>
      <c r="B78" s="508"/>
      <c r="C78" s="508"/>
      <c r="D78" s="508"/>
      <c r="E78" s="508"/>
      <c r="F78" s="515"/>
      <c r="G78" s="515"/>
      <c r="H78" s="508"/>
      <c r="I78" s="521"/>
      <c r="J78" s="521"/>
      <c r="K78" s="510"/>
      <c r="L78" s="510"/>
      <c r="M78" s="510"/>
      <c r="N78" s="510"/>
      <c r="O78" s="507"/>
      <c r="P78" s="507"/>
      <c r="Q78" s="507"/>
      <c r="R78" s="510"/>
      <c r="S78" s="510"/>
      <c r="T78" s="510"/>
      <c r="U78" s="510"/>
      <c r="V78" s="513"/>
      <c r="W78" s="510"/>
      <c r="X78" s="507"/>
      <c r="Y78" s="507"/>
      <c r="Z78" s="507"/>
      <c r="AA78" s="507"/>
      <c r="AB78" s="510"/>
    </row>
    <row r="79" ht="18.0" customHeight="1">
      <c r="A79" s="507"/>
      <c r="B79" s="508"/>
      <c r="C79" s="508"/>
      <c r="D79" s="508"/>
      <c r="E79" s="508"/>
      <c r="F79" s="515"/>
      <c r="G79" s="515"/>
      <c r="H79" s="508"/>
      <c r="I79" s="521"/>
      <c r="J79" s="521"/>
      <c r="K79" s="510"/>
      <c r="L79" s="510"/>
      <c r="M79" s="510"/>
      <c r="N79" s="510"/>
      <c r="O79" s="507"/>
      <c r="P79" s="507"/>
      <c r="Q79" s="507"/>
      <c r="R79" s="510"/>
      <c r="S79" s="510"/>
      <c r="T79" s="510"/>
      <c r="U79" s="510"/>
      <c r="V79" s="513"/>
      <c r="W79" s="510"/>
      <c r="X79" s="507"/>
      <c r="Y79" s="507"/>
      <c r="Z79" s="507"/>
      <c r="AA79" s="507"/>
      <c r="AB79" s="510"/>
    </row>
    <row r="80" ht="18.0" customHeight="1">
      <c r="A80" s="507"/>
      <c r="B80" s="508"/>
      <c r="C80" s="508"/>
      <c r="D80" s="508"/>
      <c r="E80" s="508"/>
      <c r="F80" s="515"/>
      <c r="G80" s="515"/>
      <c r="H80" s="508"/>
      <c r="I80" s="521"/>
      <c r="J80" s="521"/>
      <c r="K80" s="510"/>
      <c r="L80" s="510"/>
      <c r="M80" s="510"/>
      <c r="N80" s="510"/>
      <c r="O80" s="507"/>
      <c r="P80" s="507"/>
      <c r="Q80" s="507"/>
      <c r="R80" s="510"/>
      <c r="S80" s="510"/>
      <c r="T80" s="510"/>
      <c r="U80" s="510"/>
      <c r="V80" s="513"/>
      <c r="W80" s="510"/>
      <c r="X80" s="507"/>
      <c r="Y80" s="507"/>
      <c r="Z80" s="507"/>
      <c r="AA80" s="507"/>
      <c r="AB80" s="510"/>
    </row>
    <row r="81" ht="18.0" customHeight="1">
      <c r="A81" s="507"/>
      <c r="B81" s="508"/>
      <c r="C81" s="508"/>
      <c r="D81" s="508"/>
      <c r="E81" s="508"/>
      <c r="F81" s="515"/>
      <c r="G81" s="515"/>
      <c r="H81" s="508"/>
      <c r="I81" s="521"/>
      <c r="J81" s="521"/>
      <c r="K81" s="510"/>
      <c r="L81" s="510"/>
      <c r="M81" s="510"/>
      <c r="N81" s="510"/>
      <c r="O81" s="507"/>
      <c r="P81" s="507"/>
      <c r="Q81" s="507"/>
      <c r="R81" s="510"/>
      <c r="S81" s="510"/>
      <c r="T81" s="510"/>
      <c r="U81" s="510"/>
      <c r="V81" s="513"/>
      <c r="W81" s="510"/>
      <c r="X81" s="507"/>
      <c r="Y81" s="507"/>
      <c r="Z81" s="507"/>
      <c r="AA81" s="507"/>
      <c r="AB81" s="510"/>
    </row>
    <row r="82" ht="18.0" customHeight="1">
      <c r="A82" s="507"/>
      <c r="B82" s="508"/>
      <c r="C82" s="508"/>
      <c r="D82" s="508"/>
      <c r="E82" s="508"/>
      <c r="F82" s="515"/>
      <c r="G82" s="515"/>
      <c r="H82" s="508"/>
      <c r="I82" s="521"/>
      <c r="J82" s="521"/>
      <c r="K82" s="510"/>
      <c r="L82" s="510"/>
      <c r="M82" s="510"/>
      <c r="N82" s="510"/>
      <c r="O82" s="507"/>
      <c r="P82" s="507"/>
      <c r="Q82" s="507"/>
      <c r="R82" s="510"/>
      <c r="S82" s="510"/>
      <c r="T82" s="510"/>
      <c r="U82" s="510"/>
      <c r="V82" s="513"/>
      <c r="W82" s="510"/>
      <c r="X82" s="507"/>
      <c r="Y82" s="507"/>
      <c r="Z82" s="507"/>
      <c r="AA82" s="507"/>
      <c r="AB82" s="510"/>
    </row>
    <row r="83" ht="18.0" customHeight="1">
      <c r="A83" s="507"/>
      <c r="B83" s="508"/>
      <c r="C83" s="508"/>
      <c r="D83" s="508"/>
      <c r="E83" s="508"/>
      <c r="F83" s="515"/>
      <c r="G83" s="515"/>
      <c r="H83" s="508"/>
      <c r="I83" s="521"/>
      <c r="J83" s="521"/>
      <c r="K83" s="510"/>
      <c r="L83" s="510"/>
      <c r="M83" s="510"/>
      <c r="N83" s="510"/>
      <c r="O83" s="507"/>
      <c r="P83" s="507"/>
      <c r="Q83" s="507"/>
      <c r="R83" s="510"/>
      <c r="S83" s="510"/>
      <c r="T83" s="510"/>
      <c r="U83" s="510"/>
      <c r="V83" s="513"/>
      <c r="W83" s="510"/>
      <c r="X83" s="507"/>
      <c r="Y83" s="507"/>
      <c r="Z83" s="507"/>
      <c r="AA83" s="507"/>
      <c r="AB83" s="510"/>
    </row>
    <row r="84" ht="18.0" customHeight="1">
      <c r="A84" s="507"/>
      <c r="B84" s="508"/>
      <c r="C84" s="508"/>
      <c r="D84" s="508"/>
      <c r="E84" s="508"/>
      <c r="F84" s="515"/>
      <c r="G84" s="515"/>
      <c r="H84" s="508"/>
      <c r="I84" s="521"/>
      <c r="J84" s="521"/>
      <c r="K84" s="510"/>
      <c r="L84" s="510"/>
      <c r="M84" s="510"/>
      <c r="N84" s="510"/>
      <c r="O84" s="507"/>
      <c r="P84" s="507"/>
      <c r="Q84" s="507"/>
      <c r="R84" s="510"/>
      <c r="S84" s="510"/>
      <c r="T84" s="510"/>
      <c r="U84" s="510"/>
      <c r="V84" s="513"/>
      <c r="W84" s="510"/>
      <c r="X84" s="507"/>
      <c r="Y84" s="507"/>
      <c r="Z84" s="507"/>
      <c r="AA84" s="507"/>
      <c r="AB84" s="510"/>
    </row>
    <row r="85" ht="18.0" customHeight="1">
      <c r="A85" s="507"/>
      <c r="B85" s="508"/>
      <c r="C85" s="508"/>
      <c r="D85" s="508"/>
      <c r="E85" s="508"/>
      <c r="F85" s="515"/>
      <c r="G85" s="515"/>
      <c r="H85" s="508"/>
      <c r="I85" s="521"/>
      <c r="J85" s="521"/>
      <c r="K85" s="510"/>
      <c r="L85" s="510"/>
      <c r="M85" s="510"/>
      <c r="N85" s="510"/>
      <c r="O85" s="507"/>
      <c r="P85" s="507"/>
      <c r="Q85" s="507"/>
      <c r="R85" s="510"/>
      <c r="S85" s="510"/>
      <c r="T85" s="510"/>
      <c r="U85" s="510"/>
      <c r="V85" s="513"/>
      <c r="W85" s="510"/>
      <c r="X85" s="507"/>
      <c r="Y85" s="507"/>
      <c r="Z85" s="507"/>
      <c r="AA85" s="507"/>
      <c r="AB85" s="510"/>
    </row>
    <row r="86" ht="18.0" customHeight="1">
      <c r="A86" s="507"/>
      <c r="B86" s="508"/>
      <c r="C86" s="508"/>
      <c r="D86" s="508"/>
      <c r="E86" s="508"/>
      <c r="F86" s="515"/>
      <c r="G86" s="515"/>
      <c r="H86" s="508"/>
      <c r="I86" s="521"/>
      <c r="J86" s="521"/>
      <c r="K86" s="510"/>
      <c r="L86" s="510"/>
      <c r="M86" s="510"/>
      <c r="N86" s="510"/>
      <c r="O86" s="507"/>
      <c r="P86" s="507"/>
      <c r="Q86" s="507"/>
      <c r="R86" s="510"/>
      <c r="S86" s="510"/>
      <c r="T86" s="510"/>
      <c r="U86" s="510"/>
      <c r="V86" s="513"/>
      <c r="W86" s="510"/>
      <c r="X86" s="507"/>
      <c r="Y86" s="507"/>
      <c r="Z86" s="507"/>
      <c r="AA86" s="507"/>
      <c r="AB86" s="510"/>
    </row>
    <row r="87" ht="18.0" customHeight="1">
      <c r="A87" s="507"/>
      <c r="B87" s="508"/>
      <c r="C87" s="508"/>
      <c r="D87" s="508"/>
      <c r="E87" s="508"/>
      <c r="F87" s="515"/>
      <c r="G87" s="515"/>
      <c r="H87" s="508"/>
      <c r="I87" s="521"/>
      <c r="J87" s="521"/>
      <c r="K87" s="510"/>
      <c r="L87" s="510"/>
      <c r="M87" s="510"/>
      <c r="N87" s="510"/>
      <c r="O87" s="507"/>
      <c r="P87" s="507"/>
      <c r="Q87" s="507"/>
      <c r="R87" s="510"/>
      <c r="S87" s="510"/>
      <c r="T87" s="510"/>
      <c r="U87" s="510"/>
      <c r="V87" s="513"/>
      <c r="W87" s="510"/>
      <c r="X87" s="507"/>
      <c r="Y87" s="507"/>
      <c r="Z87" s="507"/>
      <c r="AA87" s="507"/>
      <c r="AB87" s="510"/>
    </row>
    <row r="88" ht="18.0" customHeight="1">
      <c r="A88" s="507"/>
      <c r="B88" s="508"/>
      <c r="C88" s="508"/>
      <c r="D88" s="508"/>
      <c r="E88" s="508"/>
      <c r="F88" s="515"/>
      <c r="G88" s="515"/>
      <c r="H88" s="508"/>
      <c r="I88" s="521"/>
      <c r="J88" s="521"/>
      <c r="K88" s="510"/>
      <c r="L88" s="510"/>
      <c r="M88" s="510"/>
      <c r="N88" s="510"/>
      <c r="O88" s="507"/>
      <c r="P88" s="507"/>
      <c r="Q88" s="507"/>
      <c r="R88" s="510"/>
      <c r="S88" s="510"/>
      <c r="T88" s="510"/>
      <c r="U88" s="510"/>
      <c r="V88" s="513"/>
      <c r="W88" s="510"/>
      <c r="X88" s="507"/>
      <c r="Y88" s="507"/>
      <c r="Z88" s="507"/>
      <c r="AA88" s="507"/>
      <c r="AB88" s="510"/>
    </row>
    <row r="89" ht="18.0" customHeight="1">
      <c r="A89" s="507"/>
      <c r="B89" s="508"/>
      <c r="C89" s="508"/>
      <c r="D89" s="508"/>
      <c r="E89" s="508"/>
      <c r="F89" s="515"/>
      <c r="G89" s="515"/>
      <c r="H89" s="508"/>
      <c r="I89" s="521"/>
      <c r="J89" s="521"/>
      <c r="K89" s="510"/>
      <c r="L89" s="510"/>
      <c r="M89" s="510"/>
      <c r="N89" s="510"/>
      <c r="O89" s="507"/>
      <c r="P89" s="507"/>
      <c r="Q89" s="507"/>
      <c r="R89" s="510"/>
      <c r="S89" s="510"/>
      <c r="T89" s="510"/>
      <c r="U89" s="510"/>
      <c r="V89" s="513"/>
      <c r="W89" s="510"/>
      <c r="X89" s="507"/>
      <c r="Y89" s="507"/>
      <c r="Z89" s="507"/>
      <c r="AA89" s="507"/>
      <c r="AB89" s="510"/>
    </row>
    <row r="90" ht="18.0" customHeight="1">
      <c r="A90" s="507"/>
      <c r="B90" s="508"/>
      <c r="C90" s="508"/>
      <c r="D90" s="508"/>
      <c r="E90" s="508"/>
      <c r="F90" s="515"/>
      <c r="G90" s="515"/>
      <c r="H90" s="508"/>
      <c r="I90" s="521"/>
      <c r="J90" s="521"/>
      <c r="K90" s="510"/>
      <c r="L90" s="510"/>
      <c r="M90" s="510"/>
      <c r="N90" s="510"/>
      <c r="O90" s="507"/>
      <c r="P90" s="507"/>
      <c r="Q90" s="507"/>
      <c r="R90" s="510"/>
      <c r="S90" s="510"/>
      <c r="T90" s="510"/>
      <c r="U90" s="510"/>
      <c r="V90" s="513"/>
      <c r="W90" s="510"/>
      <c r="X90" s="507"/>
      <c r="Y90" s="507"/>
      <c r="Z90" s="507"/>
      <c r="AA90" s="507"/>
      <c r="AB90" s="510"/>
    </row>
    <row r="91" ht="18.0" customHeight="1">
      <c r="A91" s="507"/>
      <c r="B91" s="508"/>
      <c r="C91" s="508"/>
      <c r="D91" s="508"/>
      <c r="E91" s="508"/>
      <c r="F91" s="515"/>
      <c r="G91" s="515"/>
      <c r="H91" s="508"/>
      <c r="I91" s="521"/>
      <c r="J91" s="521"/>
      <c r="K91" s="510"/>
      <c r="L91" s="510"/>
      <c r="M91" s="510"/>
      <c r="N91" s="510"/>
      <c r="O91" s="507"/>
      <c r="P91" s="507"/>
      <c r="Q91" s="507"/>
      <c r="R91" s="510"/>
      <c r="S91" s="510"/>
      <c r="T91" s="510"/>
      <c r="U91" s="510"/>
      <c r="V91" s="513"/>
      <c r="W91" s="510"/>
      <c r="X91" s="507"/>
      <c r="Y91" s="507"/>
      <c r="Z91" s="507"/>
      <c r="AA91" s="507"/>
      <c r="AB91" s="510"/>
    </row>
    <row r="92" ht="18.0" customHeight="1">
      <c r="A92" s="507"/>
      <c r="B92" s="508"/>
      <c r="C92" s="508"/>
      <c r="D92" s="508"/>
      <c r="E92" s="508"/>
      <c r="F92" s="515"/>
      <c r="G92" s="515"/>
      <c r="H92" s="508"/>
      <c r="I92" s="521"/>
      <c r="J92" s="521"/>
      <c r="K92" s="510"/>
      <c r="L92" s="510"/>
      <c r="M92" s="510"/>
      <c r="N92" s="510"/>
      <c r="O92" s="507"/>
      <c r="P92" s="507"/>
      <c r="Q92" s="507"/>
      <c r="R92" s="510"/>
      <c r="S92" s="510"/>
      <c r="T92" s="510"/>
      <c r="U92" s="510"/>
      <c r="V92" s="513"/>
      <c r="W92" s="510"/>
      <c r="X92" s="507"/>
      <c r="Y92" s="507"/>
      <c r="Z92" s="507"/>
      <c r="AA92" s="507"/>
      <c r="AB92" s="510"/>
    </row>
    <row r="93" ht="18.0" customHeight="1">
      <c r="A93" s="507"/>
      <c r="B93" s="508"/>
      <c r="C93" s="508"/>
      <c r="D93" s="508"/>
      <c r="E93" s="508"/>
      <c r="F93" s="515"/>
      <c r="G93" s="515"/>
      <c r="H93" s="508"/>
      <c r="I93" s="521"/>
      <c r="J93" s="521"/>
      <c r="K93" s="510"/>
      <c r="L93" s="510"/>
      <c r="M93" s="510"/>
      <c r="N93" s="510"/>
      <c r="O93" s="507"/>
      <c r="P93" s="507"/>
      <c r="Q93" s="507"/>
      <c r="R93" s="510"/>
      <c r="S93" s="510"/>
      <c r="T93" s="510"/>
      <c r="U93" s="510"/>
      <c r="V93" s="513"/>
      <c r="W93" s="510"/>
      <c r="X93" s="507"/>
      <c r="Y93" s="507"/>
      <c r="Z93" s="507"/>
      <c r="AA93" s="507"/>
      <c r="AB93" s="510"/>
    </row>
    <row r="94" ht="18.0" customHeight="1">
      <c r="A94" s="507"/>
      <c r="B94" s="508"/>
      <c r="C94" s="508"/>
      <c r="D94" s="508"/>
      <c r="E94" s="508"/>
      <c r="F94" s="515"/>
      <c r="G94" s="515"/>
      <c r="H94" s="508"/>
      <c r="I94" s="521"/>
      <c r="J94" s="521"/>
      <c r="K94" s="510"/>
      <c r="L94" s="510"/>
      <c r="M94" s="510"/>
      <c r="N94" s="510"/>
      <c r="O94" s="507"/>
      <c r="P94" s="507"/>
      <c r="Q94" s="507"/>
      <c r="R94" s="510"/>
      <c r="S94" s="510"/>
      <c r="T94" s="510"/>
      <c r="U94" s="510"/>
      <c r="V94" s="513"/>
      <c r="W94" s="510"/>
      <c r="X94" s="507"/>
      <c r="Y94" s="507"/>
      <c r="Z94" s="507"/>
      <c r="AA94" s="507"/>
      <c r="AB94" s="510"/>
    </row>
    <row r="95" ht="18.0" customHeight="1">
      <c r="A95" s="507"/>
      <c r="B95" s="508"/>
      <c r="C95" s="508"/>
      <c r="D95" s="508"/>
      <c r="E95" s="508"/>
      <c r="F95" s="515"/>
      <c r="G95" s="515"/>
      <c r="H95" s="508"/>
      <c r="I95" s="521"/>
      <c r="J95" s="521"/>
      <c r="K95" s="510"/>
      <c r="L95" s="510"/>
      <c r="M95" s="510"/>
      <c r="N95" s="510"/>
      <c r="O95" s="507"/>
      <c r="P95" s="507"/>
      <c r="Q95" s="507"/>
      <c r="R95" s="510"/>
      <c r="S95" s="510"/>
      <c r="T95" s="510"/>
      <c r="U95" s="510"/>
      <c r="V95" s="513"/>
      <c r="W95" s="510"/>
      <c r="X95" s="507"/>
      <c r="Y95" s="507"/>
      <c r="Z95" s="507"/>
      <c r="AA95" s="507"/>
      <c r="AB95" s="510"/>
    </row>
    <row r="96" ht="18.0" customHeight="1">
      <c r="A96" s="507"/>
      <c r="B96" s="508"/>
      <c r="C96" s="508"/>
      <c r="D96" s="508"/>
      <c r="E96" s="508"/>
      <c r="F96" s="515"/>
      <c r="G96" s="515"/>
      <c r="H96" s="508"/>
      <c r="I96" s="521"/>
      <c r="J96" s="521"/>
      <c r="K96" s="510"/>
      <c r="L96" s="510"/>
      <c r="M96" s="510"/>
      <c r="N96" s="510"/>
      <c r="O96" s="507"/>
      <c r="P96" s="507"/>
      <c r="Q96" s="507"/>
      <c r="R96" s="510"/>
      <c r="S96" s="510"/>
      <c r="T96" s="510"/>
      <c r="U96" s="510"/>
      <c r="V96" s="513"/>
      <c r="W96" s="510"/>
      <c r="X96" s="507"/>
      <c r="Y96" s="507"/>
      <c r="Z96" s="507"/>
      <c r="AA96" s="507"/>
      <c r="AB96" s="510"/>
    </row>
    <row r="97" ht="18.0" customHeight="1">
      <c r="A97" s="507"/>
      <c r="B97" s="508"/>
      <c r="C97" s="508"/>
      <c r="D97" s="508"/>
      <c r="E97" s="508"/>
      <c r="F97" s="515"/>
      <c r="G97" s="515"/>
      <c r="H97" s="508"/>
      <c r="I97" s="521"/>
      <c r="J97" s="521"/>
      <c r="K97" s="510"/>
      <c r="L97" s="510"/>
      <c r="M97" s="510"/>
      <c r="N97" s="510"/>
      <c r="O97" s="507"/>
      <c r="P97" s="507"/>
      <c r="Q97" s="507"/>
      <c r="R97" s="510"/>
      <c r="S97" s="510"/>
      <c r="T97" s="510"/>
      <c r="U97" s="510"/>
      <c r="V97" s="513"/>
      <c r="W97" s="510"/>
      <c r="X97" s="507"/>
      <c r="Y97" s="507"/>
      <c r="Z97" s="507"/>
      <c r="AA97" s="507"/>
      <c r="AB97" s="510"/>
    </row>
    <row r="98" ht="18.0" customHeight="1">
      <c r="A98" s="507"/>
      <c r="B98" s="508"/>
      <c r="C98" s="508"/>
      <c r="D98" s="508"/>
      <c r="E98" s="508"/>
      <c r="F98" s="515"/>
      <c r="G98" s="515"/>
      <c r="H98" s="508"/>
      <c r="I98" s="521"/>
      <c r="J98" s="521"/>
      <c r="K98" s="510"/>
      <c r="L98" s="510"/>
      <c r="M98" s="510"/>
      <c r="N98" s="510"/>
      <c r="O98" s="507"/>
      <c r="P98" s="507"/>
      <c r="Q98" s="507"/>
      <c r="R98" s="510"/>
      <c r="S98" s="510"/>
      <c r="T98" s="510"/>
      <c r="U98" s="510"/>
      <c r="V98" s="513"/>
      <c r="W98" s="510"/>
      <c r="X98" s="507"/>
      <c r="Y98" s="507"/>
      <c r="Z98" s="507"/>
      <c r="AA98" s="507"/>
      <c r="AB98" s="510"/>
    </row>
    <row r="99" ht="18.0" customHeight="1">
      <c r="A99" s="507"/>
      <c r="B99" s="508"/>
      <c r="C99" s="508"/>
      <c r="D99" s="508"/>
      <c r="E99" s="508"/>
      <c r="F99" s="515"/>
      <c r="G99" s="515"/>
      <c r="H99" s="508"/>
      <c r="I99" s="521"/>
      <c r="J99" s="521"/>
      <c r="K99" s="510"/>
      <c r="L99" s="510"/>
      <c r="M99" s="510"/>
      <c r="N99" s="510"/>
      <c r="O99" s="507"/>
      <c r="P99" s="507"/>
      <c r="Q99" s="507"/>
      <c r="R99" s="510"/>
      <c r="S99" s="510"/>
      <c r="T99" s="510"/>
      <c r="U99" s="510"/>
      <c r="V99" s="513"/>
      <c r="W99" s="510"/>
      <c r="X99" s="507"/>
      <c r="Y99" s="507"/>
      <c r="Z99" s="507"/>
      <c r="AA99" s="507"/>
      <c r="AB99" s="510"/>
    </row>
    <row r="100" ht="18.0" customHeight="1">
      <c r="A100" s="507"/>
      <c r="B100" s="508"/>
      <c r="C100" s="508"/>
      <c r="D100" s="508"/>
      <c r="E100" s="508"/>
      <c r="F100" s="515"/>
      <c r="G100" s="515"/>
      <c r="H100" s="508"/>
      <c r="I100" s="521"/>
      <c r="J100" s="521"/>
      <c r="K100" s="510"/>
      <c r="L100" s="510"/>
      <c r="M100" s="510"/>
      <c r="N100" s="510"/>
      <c r="O100" s="507"/>
      <c r="P100" s="507"/>
      <c r="Q100" s="507"/>
      <c r="R100" s="510"/>
      <c r="S100" s="510"/>
      <c r="T100" s="510"/>
      <c r="U100" s="510"/>
      <c r="V100" s="513"/>
      <c r="W100" s="510"/>
      <c r="X100" s="507"/>
      <c r="Y100" s="507"/>
      <c r="Z100" s="507"/>
      <c r="AA100" s="507"/>
      <c r="AB100" s="510"/>
    </row>
    <row r="101" ht="18.0" customHeight="1">
      <c r="A101" s="507"/>
      <c r="B101" s="508"/>
      <c r="C101" s="508"/>
      <c r="D101" s="508"/>
      <c r="E101" s="508"/>
      <c r="F101" s="515"/>
      <c r="G101" s="515"/>
      <c r="H101" s="508"/>
      <c r="I101" s="521"/>
      <c r="J101" s="521"/>
      <c r="K101" s="510"/>
      <c r="L101" s="510"/>
      <c r="M101" s="510"/>
      <c r="N101" s="510"/>
      <c r="O101" s="507"/>
      <c r="P101" s="507"/>
      <c r="Q101" s="507"/>
      <c r="R101" s="510"/>
      <c r="S101" s="510"/>
      <c r="T101" s="510"/>
      <c r="U101" s="510"/>
      <c r="V101" s="513"/>
      <c r="W101" s="510"/>
      <c r="X101" s="507"/>
      <c r="Y101" s="507"/>
      <c r="Z101" s="507"/>
      <c r="AA101" s="507"/>
      <c r="AB101" s="510"/>
    </row>
    <row r="102" ht="18.0" customHeight="1">
      <c r="A102" s="507"/>
      <c r="B102" s="508"/>
      <c r="C102" s="508"/>
      <c r="D102" s="508"/>
      <c r="E102" s="508"/>
      <c r="F102" s="515"/>
      <c r="G102" s="515"/>
      <c r="H102" s="508"/>
      <c r="I102" s="521"/>
      <c r="J102" s="521"/>
      <c r="K102" s="510"/>
      <c r="L102" s="510"/>
      <c r="M102" s="510"/>
      <c r="N102" s="510"/>
      <c r="O102" s="507"/>
      <c r="P102" s="507"/>
      <c r="Q102" s="507"/>
      <c r="R102" s="510"/>
      <c r="S102" s="510"/>
      <c r="T102" s="510"/>
      <c r="U102" s="510"/>
      <c r="V102" s="513"/>
      <c r="W102" s="510"/>
      <c r="X102" s="507"/>
      <c r="Y102" s="507"/>
      <c r="Z102" s="507"/>
      <c r="AA102" s="507"/>
      <c r="AB102" s="510"/>
    </row>
    <row r="103" ht="18.0" customHeight="1">
      <c r="A103" s="507"/>
      <c r="B103" s="508"/>
      <c r="C103" s="508"/>
      <c r="D103" s="508"/>
      <c r="E103" s="508"/>
      <c r="F103" s="515"/>
      <c r="G103" s="515"/>
      <c r="H103" s="508"/>
      <c r="I103" s="521"/>
      <c r="J103" s="521"/>
      <c r="K103" s="510"/>
      <c r="L103" s="510"/>
      <c r="M103" s="510"/>
      <c r="N103" s="510"/>
      <c r="O103" s="507"/>
      <c r="P103" s="507"/>
      <c r="Q103" s="507"/>
      <c r="R103" s="510"/>
      <c r="S103" s="510"/>
      <c r="T103" s="510"/>
      <c r="U103" s="510"/>
      <c r="V103" s="513"/>
      <c r="W103" s="510"/>
      <c r="X103" s="507"/>
      <c r="Y103" s="507"/>
      <c r="Z103" s="507"/>
      <c r="AA103" s="507"/>
      <c r="AB103" s="510"/>
    </row>
    <row r="104" ht="18.0" customHeight="1">
      <c r="A104" s="507"/>
      <c r="B104" s="508"/>
      <c r="C104" s="508"/>
      <c r="D104" s="508"/>
      <c r="E104" s="508"/>
      <c r="F104" s="515"/>
      <c r="G104" s="515"/>
      <c r="H104" s="508"/>
      <c r="I104" s="521"/>
      <c r="J104" s="521"/>
      <c r="K104" s="510"/>
      <c r="L104" s="510"/>
      <c r="M104" s="510"/>
      <c r="N104" s="510"/>
      <c r="O104" s="507"/>
      <c r="P104" s="507"/>
      <c r="Q104" s="507"/>
      <c r="R104" s="510"/>
      <c r="S104" s="510"/>
      <c r="T104" s="510"/>
      <c r="U104" s="510"/>
      <c r="V104" s="513"/>
      <c r="W104" s="510"/>
      <c r="X104" s="507"/>
      <c r="Y104" s="507"/>
      <c r="Z104" s="507"/>
      <c r="AA104" s="507"/>
      <c r="AB104" s="510"/>
    </row>
    <row r="105" ht="18.0" customHeight="1">
      <c r="A105" s="507"/>
      <c r="B105" s="508"/>
      <c r="C105" s="508"/>
      <c r="D105" s="508"/>
      <c r="E105" s="508"/>
      <c r="F105" s="515"/>
      <c r="G105" s="515"/>
      <c r="H105" s="508"/>
      <c r="I105" s="521"/>
      <c r="J105" s="521"/>
      <c r="K105" s="510"/>
      <c r="L105" s="510"/>
      <c r="M105" s="510"/>
      <c r="N105" s="510"/>
      <c r="O105" s="507"/>
      <c r="P105" s="507"/>
      <c r="Q105" s="507"/>
      <c r="R105" s="510"/>
      <c r="S105" s="510"/>
      <c r="T105" s="510"/>
      <c r="U105" s="510"/>
      <c r="V105" s="513"/>
      <c r="W105" s="510"/>
      <c r="X105" s="507"/>
      <c r="Y105" s="507"/>
      <c r="Z105" s="507"/>
      <c r="AA105" s="507"/>
      <c r="AB105" s="510"/>
    </row>
    <row r="106" ht="18.0" customHeight="1">
      <c r="A106" s="507"/>
      <c r="B106" s="508"/>
      <c r="C106" s="508"/>
      <c r="D106" s="508"/>
      <c r="E106" s="508"/>
      <c r="F106" s="515"/>
      <c r="G106" s="515"/>
      <c r="H106" s="508"/>
      <c r="I106" s="521"/>
      <c r="J106" s="521"/>
      <c r="K106" s="510"/>
      <c r="L106" s="510"/>
      <c r="M106" s="510"/>
      <c r="N106" s="510"/>
      <c r="O106" s="507"/>
      <c r="P106" s="507"/>
      <c r="Q106" s="507"/>
      <c r="R106" s="510"/>
      <c r="S106" s="510"/>
      <c r="T106" s="510"/>
      <c r="U106" s="510"/>
      <c r="V106" s="513"/>
      <c r="W106" s="510"/>
      <c r="X106" s="507"/>
      <c r="Y106" s="507"/>
      <c r="Z106" s="507"/>
      <c r="AA106" s="507"/>
      <c r="AB106" s="510"/>
    </row>
    <row r="107" ht="18.0" customHeight="1">
      <c r="A107" s="507"/>
      <c r="B107" s="508"/>
      <c r="C107" s="508"/>
      <c r="D107" s="508"/>
      <c r="E107" s="508"/>
      <c r="F107" s="515"/>
      <c r="G107" s="515"/>
      <c r="H107" s="508"/>
      <c r="I107" s="521"/>
      <c r="J107" s="521"/>
      <c r="K107" s="510"/>
      <c r="L107" s="510"/>
      <c r="M107" s="510"/>
      <c r="N107" s="510"/>
      <c r="O107" s="507"/>
      <c r="P107" s="507"/>
      <c r="Q107" s="507"/>
      <c r="R107" s="510"/>
      <c r="S107" s="510"/>
      <c r="T107" s="510"/>
      <c r="U107" s="510"/>
      <c r="V107" s="513"/>
      <c r="W107" s="510"/>
      <c r="X107" s="507"/>
      <c r="Y107" s="507"/>
      <c r="Z107" s="507"/>
      <c r="AA107" s="507"/>
      <c r="AB107" s="510"/>
    </row>
    <row r="108" ht="18.0" customHeight="1">
      <c r="A108" s="507"/>
      <c r="B108" s="508"/>
      <c r="C108" s="508"/>
      <c r="D108" s="508"/>
      <c r="E108" s="508"/>
      <c r="F108" s="515"/>
      <c r="G108" s="515"/>
      <c r="H108" s="508"/>
      <c r="I108" s="521"/>
      <c r="J108" s="521"/>
      <c r="K108" s="510"/>
      <c r="L108" s="510"/>
      <c r="M108" s="510"/>
      <c r="N108" s="510"/>
      <c r="O108" s="507"/>
      <c r="P108" s="507"/>
      <c r="Q108" s="507"/>
      <c r="R108" s="510"/>
      <c r="S108" s="510"/>
      <c r="T108" s="510"/>
      <c r="U108" s="510"/>
      <c r="V108" s="513"/>
      <c r="W108" s="510"/>
      <c r="X108" s="507"/>
      <c r="Y108" s="507"/>
      <c r="Z108" s="507"/>
      <c r="AA108" s="507"/>
      <c r="AB108" s="510"/>
    </row>
    <row r="109" ht="18.0" customHeight="1">
      <c r="A109" s="507"/>
      <c r="B109" s="508"/>
      <c r="C109" s="508"/>
      <c r="D109" s="508"/>
      <c r="E109" s="508"/>
      <c r="F109" s="515"/>
      <c r="G109" s="515"/>
      <c r="H109" s="508"/>
      <c r="I109" s="521"/>
      <c r="J109" s="521"/>
      <c r="K109" s="510"/>
      <c r="L109" s="510"/>
      <c r="M109" s="510"/>
      <c r="N109" s="510"/>
      <c r="O109" s="507"/>
      <c r="P109" s="507"/>
      <c r="Q109" s="507"/>
      <c r="R109" s="510"/>
      <c r="S109" s="510"/>
      <c r="T109" s="510"/>
      <c r="U109" s="510"/>
      <c r="V109" s="513"/>
      <c r="W109" s="510"/>
      <c r="X109" s="507"/>
      <c r="Y109" s="507"/>
      <c r="Z109" s="507"/>
      <c r="AA109" s="507"/>
      <c r="AB109" s="510"/>
    </row>
    <row r="110" ht="18.0" customHeight="1">
      <c r="A110" s="507"/>
      <c r="B110" s="508"/>
      <c r="C110" s="508"/>
      <c r="D110" s="508"/>
      <c r="E110" s="508"/>
      <c r="F110" s="515"/>
      <c r="G110" s="515"/>
      <c r="H110" s="508"/>
      <c r="I110" s="521"/>
      <c r="J110" s="521"/>
      <c r="K110" s="510"/>
      <c r="L110" s="510"/>
      <c r="M110" s="510"/>
      <c r="N110" s="510"/>
      <c r="O110" s="507"/>
      <c r="P110" s="507"/>
      <c r="Q110" s="507"/>
      <c r="R110" s="510"/>
      <c r="S110" s="510"/>
      <c r="T110" s="510"/>
      <c r="U110" s="510"/>
      <c r="V110" s="513"/>
      <c r="W110" s="510"/>
      <c r="X110" s="507"/>
      <c r="Y110" s="507"/>
      <c r="Z110" s="507"/>
      <c r="AA110" s="507"/>
      <c r="AB110" s="510"/>
    </row>
    <row r="111" ht="18.0" customHeight="1">
      <c r="A111" s="507"/>
      <c r="B111" s="508"/>
      <c r="C111" s="508"/>
      <c r="D111" s="508"/>
      <c r="E111" s="508"/>
      <c r="F111" s="515"/>
      <c r="G111" s="515"/>
      <c r="H111" s="508"/>
      <c r="I111" s="521"/>
      <c r="J111" s="521"/>
      <c r="K111" s="510"/>
      <c r="L111" s="510"/>
      <c r="M111" s="510"/>
      <c r="N111" s="510"/>
      <c r="O111" s="507"/>
      <c r="P111" s="507"/>
      <c r="Q111" s="507"/>
      <c r="R111" s="510"/>
      <c r="S111" s="510"/>
      <c r="T111" s="510"/>
      <c r="U111" s="510"/>
      <c r="V111" s="513"/>
      <c r="W111" s="510"/>
      <c r="X111" s="507"/>
      <c r="Y111" s="507"/>
      <c r="Z111" s="507"/>
      <c r="AA111" s="507"/>
      <c r="AB111" s="510"/>
    </row>
    <row r="112" ht="18.0" customHeight="1">
      <c r="A112" s="507"/>
      <c r="B112" s="508"/>
      <c r="C112" s="508"/>
      <c r="D112" s="508"/>
      <c r="E112" s="508"/>
      <c r="F112" s="515"/>
      <c r="G112" s="515"/>
      <c r="H112" s="508"/>
      <c r="I112" s="521"/>
      <c r="J112" s="521"/>
      <c r="K112" s="510"/>
      <c r="L112" s="510"/>
      <c r="M112" s="510"/>
      <c r="N112" s="510"/>
      <c r="O112" s="507"/>
      <c r="P112" s="507"/>
      <c r="Q112" s="507"/>
      <c r="R112" s="510"/>
      <c r="S112" s="510"/>
      <c r="T112" s="510"/>
      <c r="U112" s="510"/>
      <c r="V112" s="513"/>
      <c r="W112" s="510"/>
      <c r="X112" s="507"/>
      <c r="Y112" s="507"/>
      <c r="Z112" s="507"/>
      <c r="AA112" s="507"/>
      <c r="AB112" s="510"/>
    </row>
    <row r="113" ht="18.0" customHeight="1">
      <c r="A113" s="507"/>
      <c r="B113" s="508"/>
      <c r="C113" s="508"/>
      <c r="D113" s="508"/>
      <c r="E113" s="508"/>
      <c r="F113" s="515"/>
      <c r="G113" s="515"/>
      <c r="H113" s="508"/>
      <c r="I113" s="521"/>
      <c r="J113" s="521"/>
      <c r="K113" s="510"/>
      <c r="L113" s="510"/>
      <c r="M113" s="510"/>
      <c r="N113" s="510"/>
      <c r="O113" s="507"/>
      <c r="P113" s="507"/>
      <c r="Q113" s="507"/>
      <c r="R113" s="510"/>
      <c r="S113" s="510"/>
      <c r="T113" s="510"/>
      <c r="U113" s="510"/>
      <c r="V113" s="513"/>
      <c r="W113" s="510"/>
      <c r="X113" s="507"/>
      <c r="Y113" s="507"/>
      <c r="Z113" s="507"/>
      <c r="AA113" s="507"/>
      <c r="AB113" s="510"/>
    </row>
    <row r="114" ht="18.0" customHeight="1">
      <c r="A114" s="507"/>
      <c r="B114" s="508"/>
      <c r="C114" s="508"/>
      <c r="D114" s="508"/>
      <c r="E114" s="508"/>
      <c r="F114" s="515"/>
      <c r="G114" s="515"/>
      <c r="H114" s="508"/>
      <c r="I114" s="521"/>
      <c r="J114" s="521"/>
      <c r="K114" s="510"/>
      <c r="L114" s="510"/>
      <c r="M114" s="510"/>
      <c r="N114" s="510"/>
      <c r="O114" s="507"/>
      <c r="P114" s="507"/>
      <c r="Q114" s="507"/>
      <c r="R114" s="510"/>
      <c r="S114" s="510"/>
      <c r="T114" s="510"/>
      <c r="U114" s="510"/>
      <c r="V114" s="513"/>
      <c r="W114" s="510"/>
      <c r="X114" s="507"/>
      <c r="Y114" s="507"/>
      <c r="Z114" s="507"/>
      <c r="AA114" s="507"/>
      <c r="AB114" s="510"/>
    </row>
    <row r="115" ht="18.0" customHeight="1">
      <c r="A115" s="507"/>
      <c r="B115" s="508"/>
      <c r="C115" s="508"/>
      <c r="D115" s="508"/>
      <c r="E115" s="508"/>
      <c r="F115" s="515"/>
      <c r="G115" s="515"/>
      <c r="H115" s="508"/>
      <c r="I115" s="521"/>
      <c r="J115" s="521"/>
      <c r="K115" s="510"/>
      <c r="L115" s="510"/>
      <c r="M115" s="510"/>
      <c r="N115" s="510"/>
      <c r="O115" s="507"/>
      <c r="P115" s="507"/>
      <c r="Q115" s="507"/>
      <c r="R115" s="510"/>
      <c r="S115" s="510"/>
      <c r="T115" s="510"/>
      <c r="U115" s="510"/>
      <c r="V115" s="513"/>
      <c r="W115" s="510"/>
      <c r="X115" s="507"/>
      <c r="Y115" s="507"/>
      <c r="Z115" s="507"/>
      <c r="AA115" s="507"/>
      <c r="AB115" s="510"/>
    </row>
    <row r="116" ht="18.0" customHeight="1">
      <c r="A116" s="507"/>
      <c r="B116" s="508"/>
      <c r="C116" s="508"/>
      <c r="D116" s="508"/>
      <c r="E116" s="508"/>
      <c r="F116" s="515"/>
      <c r="G116" s="515"/>
      <c r="H116" s="508"/>
      <c r="I116" s="521"/>
      <c r="J116" s="521"/>
      <c r="K116" s="510"/>
      <c r="L116" s="510"/>
      <c r="M116" s="510"/>
      <c r="N116" s="510"/>
      <c r="O116" s="507"/>
      <c r="P116" s="507"/>
      <c r="Q116" s="507"/>
      <c r="R116" s="510"/>
      <c r="S116" s="510"/>
      <c r="T116" s="510"/>
      <c r="U116" s="510"/>
      <c r="V116" s="513"/>
      <c r="W116" s="510"/>
      <c r="X116" s="507"/>
      <c r="Y116" s="507"/>
      <c r="Z116" s="507"/>
      <c r="AA116" s="507"/>
      <c r="AB116" s="510"/>
    </row>
    <row r="117" ht="18.0" customHeight="1">
      <c r="A117" s="507"/>
      <c r="B117" s="508"/>
      <c r="C117" s="508"/>
      <c r="D117" s="508"/>
      <c r="E117" s="508"/>
      <c r="F117" s="515"/>
      <c r="G117" s="515"/>
      <c r="H117" s="508"/>
      <c r="I117" s="521"/>
      <c r="J117" s="521"/>
      <c r="K117" s="510"/>
      <c r="L117" s="510"/>
      <c r="M117" s="510"/>
      <c r="N117" s="510"/>
      <c r="O117" s="507"/>
      <c r="P117" s="507"/>
      <c r="Q117" s="507"/>
      <c r="R117" s="510"/>
      <c r="S117" s="510"/>
      <c r="T117" s="510"/>
      <c r="U117" s="510"/>
      <c r="V117" s="513"/>
      <c r="W117" s="510"/>
      <c r="X117" s="507"/>
      <c r="Y117" s="507"/>
      <c r="Z117" s="507"/>
      <c r="AA117" s="507"/>
      <c r="AB117" s="510"/>
    </row>
    <row r="118" ht="18.0" customHeight="1">
      <c r="A118" s="507"/>
      <c r="B118" s="508"/>
      <c r="C118" s="508"/>
      <c r="D118" s="508"/>
      <c r="E118" s="508"/>
      <c r="F118" s="515"/>
      <c r="G118" s="515"/>
      <c r="H118" s="508"/>
      <c r="I118" s="521"/>
      <c r="J118" s="521"/>
      <c r="K118" s="510"/>
      <c r="L118" s="510"/>
      <c r="M118" s="510"/>
      <c r="N118" s="510"/>
      <c r="O118" s="507"/>
      <c r="P118" s="507"/>
      <c r="Q118" s="507"/>
      <c r="R118" s="510"/>
      <c r="S118" s="510"/>
      <c r="T118" s="510"/>
      <c r="U118" s="510"/>
      <c r="V118" s="513"/>
      <c r="W118" s="510"/>
      <c r="X118" s="507"/>
      <c r="Y118" s="507"/>
      <c r="Z118" s="507"/>
      <c r="AA118" s="507"/>
      <c r="AB118" s="510"/>
    </row>
    <row r="119" ht="18.0" customHeight="1">
      <c r="A119" s="507"/>
      <c r="B119" s="508"/>
      <c r="C119" s="508"/>
      <c r="D119" s="508"/>
      <c r="E119" s="508"/>
      <c r="F119" s="515"/>
      <c r="G119" s="515"/>
      <c r="H119" s="508"/>
      <c r="I119" s="521"/>
      <c r="J119" s="521"/>
      <c r="K119" s="510"/>
      <c r="L119" s="510"/>
      <c r="M119" s="510"/>
      <c r="N119" s="510"/>
      <c r="O119" s="507"/>
      <c r="P119" s="507"/>
      <c r="Q119" s="507"/>
      <c r="R119" s="510"/>
      <c r="S119" s="510"/>
      <c r="T119" s="510"/>
      <c r="U119" s="510"/>
      <c r="V119" s="513"/>
      <c r="W119" s="510"/>
      <c r="X119" s="507"/>
      <c r="Y119" s="507"/>
      <c r="Z119" s="507"/>
      <c r="AA119" s="507"/>
      <c r="AB119" s="510"/>
    </row>
    <row r="120" ht="18.0" customHeight="1">
      <c r="A120" s="507"/>
      <c r="B120" s="508"/>
      <c r="C120" s="508"/>
      <c r="D120" s="508"/>
      <c r="E120" s="508"/>
      <c r="F120" s="515"/>
      <c r="G120" s="515"/>
      <c r="H120" s="508"/>
      <c r="I120" s="521"/>
      <c r="J120" s="521"/>
      <c r="K120" s="510"/>
      <c r="L120" s="510"/>
      <c r="M120" s="510"/>
      <c r="N120" s="510"/>
      <c r="O120" s="507"/>
      <c r="P120" s="507"/>
      <c r="Q120" s="507"/>
      <c r="R120" s="510"/>
      <c r="S120" s="510"/>
      <c r="T120" s="510"/>
      <c r="U120" s="510"/>
      <c r="V120" s="513"/>
      <c r="W120" s="510"/>
      <c r="X120" s="507"/>
      <c r="Y120" s="507"/>
      <c r="Z120" s="507"/>
      <c r="AA120" s="507"/>
      <c r="AB120" s="510"/>
    </row>
    <row r="121" ht="18.0" customHeight="1">
      <c r="A121" s="507"/>
      <c r="B121" s="508"/>
      <c r="C121" s="508"/>
      <c r="D121" s="508"/>
      <c r="E121" s="508"/>
      <c r="F121" s="515"/>
      <c r="G121" s="515"/>
      <c r="H121" s="508"/>
      <c r="I121" s="521"/>
      <c r="J121" s="521"/>
      <c r="K121" s="510"/>
      <c r="L121" s="510"/>
      <c r="M121" s="510"/>
      <c r="N121" s="510"/>
      <c r="O121" s="507"/>
      <c r="P121" s="507"/>
      <c r="Q121" s="507"/>
      <c r="R121" s="510"/>
      <c r="S121" s="510"/>
      <c r="T121" s="510"/>
      <c r="U121" s="510"/>
      <c r="V121" s="513"/>
      <c r="W121" s="510"/>
      <c r="X121" s="507"/>
      <c r="Y121" s="507"/>
      <c r="Z121" s="507"/>
      <c r="AA121" s="507"/>
      <c r="AB121" s="510"/>
    </row>
    <row r="122" ht="18.0" customHeight="1">
      <c r="A122" s="507"/>
      <c r="B122" s="508"/>
      <c r="C122" s="508"/>
      <c r="D122" s="508"/>
      <c r="E122" s="508"/>
      <c r="F122" s="515"/>
      <c r="G122" s="515"/>
      <c r="H122" s="508"/>
      <c r="I122" s="521"/>
      <c r="J122" s="521"/>
      <c r="K122" s="510"/>
      <c r="L122" s="510"/>
      <c r="M122" s="510"/>
      <c r="N122" s="510"/>
      <c r="O122" s="507"/>
      <c r="P122" s="507"/>
      <c r="Q122" s="507"/>
      <c r="R122" s="510"/>
      <c r="S122" s="510"/>
      <c r="T122" s="510"/>
      <c r="U122" s="510"/>
      <c r="V122" s="513"/>
      <c r="W122" s="510"/>
      <c r="X122" s="507"/>
      <c r="Y122" s="507"/>
      <c r="Z122" s="507"/>
      <c r="AA122" s="507"/>
      <c r="AB122" s="510"/>
    </row>
    <row r="123" ht="18.0" customHeight="1">
      <c r="A123" s="507"/>
      <c r="B123" s="508"/>
      <c r="C123" s="508"/>
      <c r="D123" s="508"/>
      <c r="E123" s="508"/>
      <c r="F123" s="515"/>
      <c r="G123" s="515"/>
      <c r="H123" s="508"/>
      <c r="I123" s="521"/>
      <c r="J123" s="521"/>
      <c r="K123" s="510"/>
      <c r="L123" s="510"/>
      <c r="M123" s="510"/>
      <c r="N123" s="510"/>
      <c r="O123" s="507"/>
      <c r="P123" s="507"/>
      <c r="Q123" s="507"/>
      <c r="R123" s="510"/>
      <c r="S123" s="510"/>
      <c r="T123" s="510"/>
      <c r="U123" s="510"/>
      <c r="V123" s="513"/>
      <c r="W123" s="510"/>
      <c r="X123" s="507"/>
      <c r="Y123" s="507"/>
      <c r="Z123" s="507"/>
      <c r="AA123" s="507"/>
      <c r="AB123" s="510"/>
    </row>
    <row r="124" ht="18.0" customHeight="1">
      <c r="A124" s="507"/>
      <c r="B124" s="508"/>
      <c r="C124" s="508"/>
      <c r="D124" s="508"/>
      <c r="E124" s="508"/>
      <c r="F124" s="515"/>
      <c r="G124" s="515"/>
      <c r="H124" s="508"/>
      <c r="I124" s="521"/>
      <c r="J124" s="521"/>
      <c r="K124" s="510"/>
      <c r="L124" s="510"/>
      <c r="M124" s="510"/>
      <c r="N124" s="510"/>
      <c r="O124" s="507"/>
      <c r="P124" s="507"/>
      <c r="Q124" s="507"/>
      <c r="R124" s="510"/>
      <c r="S124" s="510"/>
      <c r="T124" s="510"/>
      <c r="U124" s="510"/>
      <c r="V124" s="513"/>
      <c r="W124" s="510"/>
      <c r="X124" s="507"/>
      <c r="Y124" s="507"/>
      <c r="Z124" s="507"/>
      <c r="AA124" s="507"/>
      <c r="AB124" s="510"/>
    </row>
    <row r="125" ht="18.0" customHeight="1">
      <c r="A125" s="507"/>
      <c r="B125" s="508"/>
      <c r="C125" s="508"/>
      <c r="D125" s="508"/>
      <c r="E125" s="508"/>
      <c r="F125" s="515"/>
      <c r="G125" s="515"/>
      <c r="H125" s="508"/>
      <c r="I125" s="521"/>
      <c r="J125" s="521"/>
      <c r="K125" s="510"/>
      <c r="L125" s="510"/>
      <c r="M125" s="510"/>
      <c r="N125" s="510"/>
      <c r="O125" s="507"/>
      <c r="P125" s="507"/>
      <c r="Q125" s="507"/>
      <c r="R125" s="510"/>
      <c r="S125" s="510"/>
      <c r="T125" s="510"/>
      <c r="U125" s="510"/>
      <c r="V125" s="513"/>
      <c r="W125" s="510"/>
      <c r="X125" s="507"/>
      <c r="Y125" s="507"/>
      <c r="Z125" s="507"/>
      <c r="AA125" s="507"/>
      <c r="AB125" s="510"/>
    </row>
    <row r="126" ht="18.0" customHeight="1">
      <c r="A126" s="507"/>
      <c r="B126" s="508"/>
      <c r="C126" s="508"/>
      <c r="D126" s="508"/>
      <c r="E126" s="508"/>
      <c r="F126" s="515"/>
      <c r="G126" s="515"/>
      <c r="H126" s="508"/>
      <c r="I126" s="521"/>
      <c r="J126" s="521"/>
      <c r="K126" s="510"/>
      <c r="L126" s="510"/>
      <c r="M126" s="510"/>
      <c r="N126" s="510"/>
      <c r="O126" s="507"/>
      <c r="P126" s="507"/>
      <c r="Q126" s="507"/>
      <c r="R126" s="510"/>
      <c r="S126" s="510"/>
      <c r="T126" s="510"/>
      <c r="U126" s="510"/>
      <c r="V126" s="513"/>
      <c r="W126" s="510"/>
      <c r="X126" s="507"/>
      <c r="Y126" s="507"/>
      <c r="Z126" s="507"/>
      <c r="AA126" s="507"/>
      <c r="AB126" s="510"/>
    </row>
    <row r="127" ht="18.0" customHeight="1">
      <c r="A127" s="507"/>
      <c r="B127" s="508"/>
      <c r="C127" s="508"/>
      <c r="D127" s="508"/>
      <c r="E127" s="508"/>
      <c r="F127" s="515"/>
      <c r="G127" s="515"/>
      <c r="H127" s="508"/>
      <c r="I127" s="521"/>
      <c r="J127" s="521"/>
      <c r="K127" s="510"/>
      <c r="L127" s="510"/>
      <c r="M127" s="510"/>
      <c r="N127" s="510"/>
      <c r="O127" s="507"/>
      <c r="P127" s="507"/>
      <c r="Q127" s="507"/>
      <c r="R127" s="510"/>
      <c r="S127" s="510"/>
      <c r="T127" s="510"/>
      <c r="U127" s="510"/>
      <c r="V127" s="513"/>
      <c r="W127" s="510"/>
      <c r="X127" s="507"/>
      <c r="Y127" s="507"/>
      <c r="Z127" s="507"/>
      <c r="AA127" s="507"/>
      <c r="AB127" s="510"/>
    </row>
    <row r="128" ht="18.0" customHeight="1">
      <c r="A128" s="507"/>
      <c r="B128" s="508"/>
      <c r="C128" s="508"/>
      <c r="D128" s="508"/>
      <c r="E128" s="508"/>
      <c r="F128" s="515"/>
      <c r="G128" s="515"/>
      <c r="H128" s="508"/>
      <c r="I128" s="521"/>
      <c r="J128" s="521"/>
      <c r="K128" s="510"/>
      <c r="L128" s="510"/>
      <c r="M128" s="510"/>
      <c r="N128" s="510"/>
      <c r="O128" s="507"/>
      <c r="P128" s="507"/>
      <c r="Q128" s="507"/>
      <c r="R128" s="510"/>
      <c r="S128" s="510"/>
      <c r="T128" s="510"/>
      <c r="U128" s="510"/>
      <c r="V128" s="513"/>
      <c r="W128" s="510"/>
      <c r="X128" s="507"/>
      <c r="Y128" s="507"/>
      <c r="Z128" s="507"/>
      <c r="AA128" s="507"/>
      <c r="AB128" s="510"/>
    </row>
    <row r="129" ht="18.0" customHeight="1">
      <c r="A129" s="507"/>
      <c r="B129" s="508"/>
      <c r="C129" s="508"/>
      <c r="D129" s="508"/>
      <c r="E129" s="508"/>
      <c r="F129" s="515"/>
      <c r="G129" s="515"/>
      <c r="H129" s="508"/>
      <c r="I129" s="521"/>
      <c r="J129" s="521"/>
      <c r="K129" s="510"/>
      <c r="L129" s="510"/>
      <c r="M129" s="510"/>
      <c r="N129" s="510"/>
      <c r="O129" s="507"/>
      <c r="P129" s="507"/>
      <c r="Q129" s="507"/>
      <c r="R129" s="510"/>
      <c r="S129" s="510"/>
      <c r="T129" s="510"/>
      <c r="U129" s="510"/>
      <c r="V129" s="513"/>
      <c r="W129" s="510"/>
      <c r="X129" s="507"/>
      <c r="Y129" s="507"/>
      <c r="Z129" s="507"/>
      <c r="AA129" s="507"/>
      <c r="AB129" s="510"/>
    </row>
    <row r="130" ht="18.0" customHeight="1">
      <c r="A130" s="507"/>
      <c r="B130" s="508"/>
      <c r="C130" s="508"/>
      <c r="D130" s="508"/>
      <c r="E130" s="508"/>
      <c r="F130" s="515"/>
      <c r="G130" s="515"/>
      <c r="H130" s="508"/>
      <c r="I130" s="521"/>
      <c r="J130" s="521"/>
      <c r="K130" s="510"/>
      <c r="L130" s="510"/>
      <c r="M130" s="510"/>
      <c r="N130" s="510"/>
      <c r="O130" s="507"/>
      <c r="P130" s="507"/>
      <c r="Q130" s="507"/>
      <c r="R130" s="510"/>
      <c r="S130" s="510"/>
      <c r="T130" s="510"/>
      <c r="U130" s="510"/>
      <c r="V130" s="513"/>
      <c r="W130" s="510"/>
      <c r="X130" s="507"/>
      <c r="Y130" s="507"/>
      <c r="Z130" s="507"/>
      <c r="AA130" s="507"/>
      <c r="AB130" s="510"/>
    </row>
    <row r="131" ht="18.0" customHeight="1">
      <c r="A131" s="507"/>
      <c r="B131" s="508"/>
      <c r="C131" s="508"/>
      <c r="D131" s="508"/>
      <c r="E131" s="508"/>
      <c r="F131" s="515"/>
      <c r="G131" s="515"/>
      <c r="H131" s="508"/>
      <c r="I131" s="521"/>
      <c r="J131" s="521"/>
      <c r="K131" s="510"/>
      <c r="L131" s="510"/>
      <c r="M131" s="510"/>
      <c r="N131" s="510"/>
      <c r="O131" s="507"/>
      <c r="P131" s="507"/>
      <c r="Q131" s="507"/>
      <c r="R131" s="510"/>
      <c r="S131" s="510"/>
      <c r="T131" s="510"/>
      <c r="U131" s="510"/>
      <c r="V131" s="513"/>
      <c r="W131" s="510"/>
      <c r="X131" s="507"/>
      <c r="Y131" s="507"/>
      <c r="Z131" s="507"/>
      <c r="AA131" s="507"/>
      <c r="AB131" s="510"/>
    </row>
    <row r="132" ht="18.0" customHeight="1">
      <c r="A132" s="507"/>
      <c r="B132" s="508"/>
      <c r="C132" s="508"/>
      <c r="D132" s="508"/>
      <c r="E132" s="508"/>
      <c r="F132" s="515"/>
      <c r="G132" s="515"/>
      <c r="H132" s="508"/>
      <c r="I132" s="521"/>
      <c r="J132" s="521"/>
      <c r="K132" s="510"/>
      <c r="L132" s="510"/>
      <c r="M132" s="510"/>
      <c r="N132" s="510"/>
      <c r="O132" s="507"/>
      <c r="P132" s="507"/>
      <c r="Q132" s="507"/>
      <c r="R132" s="510"/>
      <c r="S132" s="510"/>
      <c r="T132" s="510"/>
      <c r="U132" s="510"/>
      <c r="V132" s="513"/>
      <c r="W132" s="510"/>
      <c r="X132" s="507"/>
      <c r="Y132" s="507"/>
      <c r="Z132" s="507"/>
      <c r="AA132" s="507"/>
      <c r="AB132" s="510"/>
    </row>
    <row r="133" ht="18.0" customHeight="1">
      <c r="A133" s="507"/>
      <c r="B133" s="508"/>
      <c r="C133" s="508"/>
      <c r="D133" s="508"/>
      <c r="E133" s="508"/>
      <c r="F133" s="515"/>
      <c r="G133" s="515"/>
      <c r="H133" s="508"/>
      <c r="I133" s="521"/>
      <c r="J133" s="521"/>
      <c r="K133" s="510"/>
      <c r="L133" s="510"/>
      <c r="M133" s="510"/>
      <c r="N133" s="510"/>
      <c r="O133" s="507"/>
      <c r="P133" s="507"/>
      <c r="Q133" s="507"/>
      <c r="R133" s="510"/>
      <c r="S133" s="510"/>
      <c r="T133" s="510"/>
      <c r="U133" s="510"/>
      <c r="V133" s="513"/>
      <c r="W133" s="510"/>
      <c r="X133" s="507"/>
      <c r="Y133" s="507"/>
      <c r="Z133" s="507"/>
      <c r="AA133" s="507"/>
      <c r="AB133" s="510"/>
    </row>
    <row r="134" ht="18.0" customHeight="1">
      <c r="A134" s="507"/>
      <c r="B134" s="508"/>
      <c r="C134" s="508"/>
      <c r="D134" s="508"/>
      <c r="E134" s="508"/>
      <c r="F134" s="515"/>
      <c r="G134" s="515"/>
      <c r="H134" s="508"/>
      <c r="I134" s="521"/>
      <c r="J134" s="521"/>
      <c r="K134" s="510"/>
      <c r="L134" s="510"/>
      <c r="M134" s="510"/>
      <c r="N134" s="510"/>
      <c r="O134" s="507"/>
      <c r="P134" s="507"/>
      <c r="Q134" s="507"/>
      <c r="R134" s="510"/>
      <c r="S134" s="510"/>
      <c r="T134" s="510"/>
      <c r="U134" s="510"/>
      <c r="V134" s="513"/>
      <c r="W134" s="510"/>
      <c r="X134" s="507"/>
      <c r="Y134" s="507"/>
      <c r="Z134" s="507"/>
      <c r="AA134" s="507"/>
      <c r="AB134" s="510"/>
    </row>
    <row r="135" ht="18.0" customHeight="1">
      <c r="A135" s="507"/>
      <c r="B135" s="508"/>
      <c r="C135" s="508"/>
      <c r="D135" s="508"/>
      <c r="E135" s="508"/>
      <c r="F135" s="515"/>
      <c r="G135" s="515"/>
      <c r="H135" s="508"/>
      <c r="I135" s="521"/>
      <c r="J135" s="521"/>
      <c r="K135" s="510"/>
      <c r="L135" s="510"/>
      <c r="M135" s="510"/>
      <c r="N135" s="510"/>
      <c r="O135" s="507"/>
      <c r="P135" s="507"/>
      <c r="Q135" s="507"/>
      <c r="R135" s="510"/>
      <c r="S135" s="510"/>
      <c r="T135" s="510"/>
      <c r="U135" s="510"/>
      <c r="V135" s="513"/>
      <c r="W135" s="510"/>
      <c r="X135" s="507"/>
      <c r="Y135" s="507"/>
      <c r="Z135" s="507"/>
      <c r="AA135" s="507"/>
      <c r="AB135" s="510"/>
    </row>
    <row r="136" ht="18.0" customHeight="1">
      <c r="A136" s="507"/>
      <c r="B136" s="508"/>
      <c r="C136" s="508"/>
      <c r="D136" s="508"/>
      <c r="E136" s="508"/>
      <c r="F136" s="515"/>
      <c r="G136" s="515"/>
      <c r="H136" s="508"/>
      <c r="I136" s="521"/>
      <c r="J136" s="521"/>
      <c r="K136" s="510"/>
      <c r="L136" s="510"/>
      <c r="M136" s="510"/>
      <c r="N136" s="510"/>
      <c r="O136" s="507"/>
      <c r="P136" s="507"/>
      <c r="Q136" s="507"/>
      <c r="R136" s="510"/>
      <c r="S136" s="510"/>
      <c r="T136" s="510"/>
      <c r="U136" s="510"/>
      <c r="V136" s="513"/>
      <c r="W136" s="510"/>
      <c r="X136" s="507"/>
      <c r="Y136" s="507"/>
      <c r="Z136" s="507"/>
      <c r="AA136" s="507"/>
      <c r="AB136" s="510"/>
    </row>
    <row r="137" ht="18.0" customHeight="1">
      <c r="A137" s="507"/>
      <c r="B137" s="508"/>
      <c r="C137" s="508"/>
      <c r="D137" s="508"/>
      <c r="E137" s="508"/>
      <c r="F137" s="515"/>
      <c r="G137" s="515"/>
      <c r="H137" s="508"/>
      <c r="I137" s="521"/>
      <c r="J137" s="521"/>
      <c r="K137" s="510"/>
      <c r="L137" s="510"/>
      <c r="M137" s="510"/>
      <c r="N137" s="510"/>
      <c r="O137" s="507"/>
      <c r="P137" s="507"/>
      <c r="Q137" s="507"/>
      <c r="R137" s="510"/>
      <c r="S137" s="510"/>
      <c r="T137" s="510"/>
      <c r="U137" s="510"/>
      <c r="V137" s="513"/>
      <c r="W137" s="510"/>
      <c r="X137" s="507"/>
      <c r="Y137" s="507"/>
      <c r="Z137" s="507"/>
      <c r="AA137" s="507"/>
      <c r="AB137" s="510"/>
    </row>
    <row r="138" ht="18.0" customHeight="1">
      <c r="A138" s="507"/>
      <c r="B138" s="508"/>
      <c r="C138" s="508"/>
      <c r="D138" s="508"/>
      <c r="E138" s="508"/>
      <c r="F138" s="515"/>
      <c r="G138" s="515"/>
      <c r="H138" s="508"/>
      <c r="I138" s="521"/>
      <c r="J138" s="521"/>
      <c r="K138" s="510"/>
      <c r="L138" s="510"/>
      <c r="M138" s="510"/>
      <c r="N138" s="510"/>
      <c r="O138" s="507"/>
      <c r="P138" s="507"/>
      <c r="Q138" s="507"/>
      <c r="R138" s="510"/>
      <c r="S138" s="510"/>
      <c r="T138" s="510"/>
      <c r="U138" s="510"/>
      <c r="V138" s="513"/>
      <c r="W138" s="510"/>
      <c r="X138" s="507"/>
      <c r="Y138" s="507"/>
      <c r="Z138" s="507"/>
      <c r="AA138" s="507"/>
      <c r="AB138" s="510"/>
    </row>
    <row r="139" ht="18.0" customHeight="1">
      <c r="A139" s="507"/>
      <c r="B139" s="508"/>
      <c r="C139" s="508"/>
      <c r="D139" s="508"/>
      <c r="E139" s="508"/>
      <c r="F139" s="515"/>
      <c r="G139" s="515"/>
      <c r="H139" s="508"/>
      <c r="I139" s="521"/>
      <c r="J139" s="521"/>
      <c r="K139" s="510"/>
      <c r="L139" s="510"/>
      <c r="M139" s="510"/>
      <c r="N139" s="510"/>
      <c r="O139" s="507"/>
      <c r="P139" s="507"/>
      <c r="Q139" s="507"/>
      <c r="R139" s="510"/>
      <c r="S139" s="510"/>
      <c r="T139" s="510"/>
      <c r="U139" s="510"/>
      <c r="V139" s="513"/>
      <c r="W139" s="510"/>
      <c r="X139" s="507"/>
      <c r="Y139" s="507"/>
      <c r="Z139" s="507"/>
      <c r="AA139" s="507"/>
      <c r="AB139" s="510"/>
    </row>
    <row r="140" ht="18.0" customHeight="1">
      <c r="A140" s="507"/>
      <c r="B140" s="508"/>
      <c r="C140" s="508"/>
      <c r="D140" s="508"/>
      <c r="E140" s="508"/>
      <c r="F140" s="515"/>
      <c r="G140" s="515"/>
      <c r="H140" s="508"/>
      <c r="I140" s="521"/>
      <c r="J140" s="521"/>
      <c r="K140" s="510"/>
      <c r="L140" s="510"/>
      <c r="M140" s="510"/>
      <c r="N140" s="510"/>
      <c r="O140" s="507"/>
      <c r="P140" s="507"/>
      <c r="Q140" s="507"/>
      <c r="R140" s="510"/>
      <c r="S140" s="510"/>
      <c r="T140" s="510"/>
      <c r="U140" s="510"/>
      <c r="V140" s="513"/>
      <c r="W140" s="510"/>
      <c r="X140" s="507"/>
      <c r="Y140" s="507"/>
      <c r="Z140" s="507"/>
      <c r="AA140" s="507"/>
      <c r="AB140" s="510"/>
    </row>
    <row r="141" ht="18.0" customHeight="1">
      <c r="A141" s="507"/>
      <c r="B141" s="508"/>
      <c r="C141" s="508"/>
      <c r="D141" s="508"/>
      <c r="E141" s="508"/>
      <c r="F141" s="515"/>
      <c r="G141" s="515"/>
      <c r="H141" s="508"/>
      <c r="I141" s="521"/>
      <c r="J141" s="521"/>
      <c r="K141" s="510"/>
      <c r="L141" s="510"/>
      <c r="M141" s="510"/>
      <c r="N141" s="510"/>
      <c r="O141" s="507"/>
      <c r="P141" s="507"/>
      <c r="Q141" s="507"/>
      <c r="R141" s="510"/>
      <c r="S141" s="510"/>
      <c r="T141" s="510"/>
      <c r="U141" s="510"/>
      <c r="V141" s="513"/>
      <c r="W141" s="510"/>
      <c r="X141" s="507"/>
      <c r="Y141" s="507"/>
      <c r="Z141" s="507"/>
      <c r="AA141" s="507"/>
      <c r="AB141" s="510"/>
    </row>
    <row r="142" ht="18.0" customHeight="1">
      <c r="A142" s="507"/>
      <c r="B142" s="508"/>
      <c r="C142" s="508"/>
      <c r="D142" s="508"/>
      <c r="E142" s="508"/>
      <c r="F142" s="515"/>
      <c r="G142" s="515"/>
      <c r="H142" s="508"/>
      <c r="I142" s="521"/>
      <c r="J142" s="521"/>
      <c r="K142" s="510"/>
      <c r="L142" s="510"/>
      <c r="M142" s="510"/>
      <c r="N142" s="510"/>
      <c r="O142" s="507"/>
      <c r="P142" s="507"/>
      <c r="Q142" s="507"/>
      <c r="R142" s="510"/>
      <c r="S142" s="510"/>
      <c r="T142" s="510"/>
      <c r="U142" s="510"/>
      <c r="V142" s="513"/>
      <c r="W142" s="510"/>
      <c r="X142" s="507"/>
      <c r="Y142" s="507"/>
      <c r="Z142" s="507"/>
      <c r="AA142" s="507"/>
      <c r="AB142" s="510"/>
    </row>
    <row r="143" ht="18.0" customHeight="1">
      <c r="A143" s="507"/>
      <c r="B143" s="508"/>
      <c r="C143" s="508"/>
      <c r="D143" s="508"/>
      <c r="E143" s="508"/>
      <c r="F143" s="515"/>
      <c r="G143" s="515"/>
      <c r="H143" s="508"/>
      <c r="I143" s="521"/>
      <c r="J143" s="521"/>
      <c r="K143" s="510"/>
      <c r="L143" s="510"/>
      <c r="M143" s="510"/>
      <c r="N143" s="510"/>
      <c r="O143" s="507"/>
      <c r="P143" s="507"/>
      <c r="Q143" s="507"/>
      <c r="R143" s="510"/>
      <c r="S143" s="510"/>
      <c r="T143" s="510"/>
      <c r="U143" s="510"/>
      <c r="V143" s="513"/>
      <c r="W143" s="510"/>
      <c r="X143" s="507"/>
      <c r="Y143" s="507"/>
      <c r="Z143" s="507"/>
      <c r="AA143" s="507"/>
      <c r="AB143" s="510"/>
    </row>
    <row r="144" ht="18.0" customHeight="1">
      <c r="A144" s="507"/>
      <c r="B144" s="508"/>
      <c r="C144" s="508"/>
      <c r="D144" s="508"/>
      <c r="E144" s="508"/>
      <c r="F144" s="515"/>
      <c r="G144" s="515"/>
      <c r="H144" s="508"/>
      <c r="I144" s="521"/>
      <c r="J144" s="521"/>
      <c r="K144" s="510"/>
      <c r="L144" s="510"/>
      <c r="M144" s="510"/>
      <c r="N144" s="510"/>
      <c r="O144" s="507"/>
      <c r="P144" s="507"/>
      <c r="Q144" s="507"/>
      <c r="R144" s="510"/>
      <c r="S144" s="510"/>
      <c r="T144" s="510"/>
      <c r="U144" s="510"/>
      <c r="V144" s="513"/>
      <c r="W144" s="510"/>
      <c r="X144" s="507"/>
      <c r="Y144" s="507"/>
      <c r="Z144" s="507"/>
      <c r="AA144" s="507"/>
      <c r="AB144" s="510"/>
    </row>
    <row r="145" ht="18.0" customHeight="1">
      <c r="A145" s="507"/>
      <c r="B145" s="508"/>
      <c r="C145" s="508"/>
      <c r="D145" s="508"/>
      <c r="E145" s="508"/>
      <c r="F145" s="515"/>
      <c r="G145" s="515"/>
      <c r="H145" s="508"/>
      <c r="I145" s="521"/>
      <c r="J145" s="521"/>
      <c r="K145" s="510"/>
      <c r="L145" s="510"/>
      <c r="M145" s="510"/>
      <c r="N145" s="510"/>
      <c r="O145" s="507"/>
      <c r="P145" s="507"/>
      <c r="Q145" s="507"/>
      <c r="R145" s="510"/>
      <c r="S145" s="510"/>
      <c r="T145" s="510"/>
      <c r="U145" s="510"/>
      <c r="V145" s="513"/>
      <c r="W145" s="510"/>
      <c r="X145" s="507"/>
      <c r="Y145" s="507"/>
      <c r="Z145" s="507"/>
      <c r="AA145" s="507"/>
      <c r="AB145" s="510"/>
    </row>
    <row r="146" ht="18.0" customHeight="1">
      <c r="A146" s="507"/>
      <c r="B146" s="508"/>
      <c r="C146" s="508"/>
      <c r="D146" s="508"/>
      <c r="E146" s="508"/>
      <c r="F146" s="515"/>
      <c r="G146" s="515"/>
      <c r="H146" s="508"/>
      <c r="I146" s="521"/>
      <c r="J146" s="521"/>
      <c r="K146" s="510"/>
      <c r="L146" s="510"/>
      <c r="M146" s="510"/>
      <c r="N146" s="510"/>
      <c r="O146" s="507"/>
      <c r="P146" s="507"/>
      <c r="Q146" s="507"/>
      <c r="R146" s="510"/>
      <c r="S146" s="510"/>
      <c r="T146" s="510"/>
      <c r="U146" s="510"/>
      <c r="V146" s="513"/>
      <c r="W146" s="510"/>
      <c r="X146" s="507"/>
      <c r="Y146" s="507"/>
      <c r="Z146" s="507"/>
      <c r="AA146" s="507"/>
      <c r="AB146" s="510"/>
    </row>
    <row r="147" ht="18.0" customHeight="1">
      <c r="A147" s="507"/>
      <c r="B147" s="508"/>
      <c r="C147" s="508"/>
      <c r="D147" s="508"/>
      <c r="E147" s="508"/>
      <c r="F147" s="515"/>
      <c r="G147" s="515"/>
      <c r="H147" s="508"/>
      <c r="I147" s="521"/>
      <c r="J147" s="521"/>
      <c r="K147" s="510"/>
      <c r="L147" s="510"/>
      <c r="M147" s="510"/>
      <c r="N147" s="510"/>
      <c r="O147" s="507"/>
      <c r="P147" s="507"/>
      <c r="Q147" s="507"/>
      <c r="R147" s="510"/>
      <c r="S147" s="510"/>
      <c r="T147" s="510"/>
      <c r="U147" s="510"/>
      <c r="V147" s="513"/>
      <c r="W147" s="510"/>
      <c r="X147" s="507"/>
      <c r="Y147" s="507"/>
      <c r="Z147" s="507"/>
      <c r="AA147" s="507"/>
      <c r="AB147" s="510"/>
    </row>
    <row r="148" ht="18.0" customHeight="1">
      <c r="A148" s="507"/>
      <c r="B148" s="508"/>
      <c r="C148" s="508"/>
      <c r="D148" s="508"/>
      <c r="E148" s="508"/>
      <c r="F148" s="515"/>
      <c r="G148" s="515"/>
      <c r="H148" s="508"/>
      <c r="I148" s="521"/>
      <c r="J148" s="521"/>
      <c r="K148" s="510"/>
      <c r="L148" s="510"/>
      <c r="M148" s="510"/>
      <c r="N148" s="510"/>
      <c r="O148" s="507"/>
      <c r="P148" s="507"/>
      <c r="Q148" s="507"/>
      <c r="R148" s="510"/>
      <c r="S148" s="510"/>
      <c r="T148" s="510"/>
      <c r="U148" s="510"/>
      <c r="V148" s="513"/>
      <c r="W148" s="510"/>
      <c r="X148" s="507"/>
      <c r="Y148" s="507"/>
      <c r="Z148" s="507"/>
      <c r="AA148" s="507"/>
      <c r="AB148" s="510"/>
    </row>
    <row r="149" ht="18.0" customHeight="1">
      <c r="A149" s="507"/>
      <c r="B149" s="508"/>
      <c r="C149" s="508"/>
      <c r="D149" s="508"/>
      <c r="E149" s="508"/>
      <c r="F149" s="515"/>
      <c r="G149" s="515"/>
      <c r="H149" s="508"/>
      <c r="I149" s="521"/>
      <c r="J149" s="521"/>
      <c r="K149" s="510"/>
      <c r="L149" s="510"/>
      <c r="M149" s="510"/>
      <c r="N149" s="510"/>
      <c r="O149" s="507"/>
      <c r="P149" s="507"/>
      <c r="Q149" s="507"/>
      <c r="R149" s="510"/>
      <c r="S149" s="510"/>
      <c r="T149" s="510"/>
      <c r="U149" s="510"/>
      <c r="V149" s="513"/>
      <c r="W149" s="510"/>
      <c r="X149" s="507"/>
      <c r="Y149" s="507"/>
      <c r="Z149" s="507"/>
      <c r="AA149" s="507"/>
      <c r="AB149" s="510"/>
    </row>
    <row r="150" ht="18.0" customHeight="1">
      <c r="A150" s="507"/>
      <c r="B150" s="508"/>
      <c r="C150" s="508"/>
      <c r="D150" s="508"/>
      <c r="E150" s="508"/>
      <c r="F150" s="515"/>
      <c r="G150" s="515"/>
      <c r="H150" s="508"/>
      <c r="I150" s="521"/>
      <c r="J150" s="521"/>
      <c r="K150" s="510"/>
      <c r="L150" s="510"/>
      <c r="M150" s="510"/>
      <c r="N150" s="510"/>
      <c r="O150" s="507"/>
      <c r="P150" s="507"/>
      <c r="Q150" s="507"/>
      <c r="R150" s="510"/>
      <c r="S150" s="510"/>
      <c r="T150" s="510"/>
      <c r="U150" s="510"/>
      <c r="V150" s="513"/>
      <c r="W150" s="510"/>
      <c r="X150" s="507"/>
      <c r="Y150" s="507"/>
      <c r="Z150" s="507"/>
      <c r="AA150" s="507"/>
      <c r="AB150" s="510"/>
    </row>
    <row r="151" ht="18.0" customHeight="1">
      <c r="A151" s="507"/>
      <c r="B151" s="508"/>
      <c r="C151" s="508"/>
      <c r="D151" s="508"/>
      <c r="E151" s="508"/>
      <c r="F151" s="515"/>
      <c r="G151" s="515"/>
      <c r="H151" s="508"/>
      <c r="I151" s="521"/>
      <c r="J151" s="521"/>
      <c r="K151" s="510"/>
      <c r="L151" s="510"/>
      <c r="M151" s="510"/>
      <c r="N151" s="510"/>
      <c r="O151" s="507"/>
      <c r="P151" s="507"/>
      <c r="Q151" s="507"/>
      <c r="R151" s="510"/>
      <c r="S151" s="510"/>
      <c r="T151" s="510"/>
      <c r="U151" s="510"/>
      <c r="V151" s="513"/>
      <c r="W151" s="510"/>
      <c r="X151" s="507"/>
      <c r="Y151" s="507"/>
      <c r="Z151" s="507"/>
      <c r="AA151" s="507"/>
      <c r="AB151" s="510"/>
    </row>
    <row r="152" ht="18.0" customHeight="1">
      <c r="A152" s="507"/>
      <c r="B152" s="508"/>
      <c r="C152" s="508"/>
      <c r="D152" s="508"/>
      <c r="E152" s="508"/>
      <c r="F152" s="515"/>
      <c r="G152" s="515"/>
      <c r="H152" s="508"/>
      <c r="I152" s="521"/>
      <c r="J152" s="521"/>
      <c r="K152" s="510"/>
      <c r="L152" s="510"/>
      <c r="M152" s="510"/>
      <c r="N152" s="510"/>
      <c r="O152" s="507"/>
      <c r="P152" s="507"/>
      <c r="Q152" s="507"/>
      <c r="R152" s="510"/>
      <c r="S152" s="510"/>
      <c r="T152" s="510"/>
      <c r="U152" s="510"/>
      <c r="V152" s="513"/>
      <c r="W152" s="510"/>
      <c r="X152" s="507"/>
      <c r="Y152" s="507"/>
      <c r="Z152" s="507"/>
      <c r="AA152" s="507"/>
      <c r="AB152" s="510"/>
    </row>
    <row r="153" ht="18.0" customHeight="1">
      <c r="A153" s="507"/>
      <c r="B153" s="508"/>
      <c r="C153" s="508"/>
      <c r="D153" s="508"/>
      <c r="E153" s="508"/>
      <c r="F153" s="515"/>
      <c r="G153" s="515"/>
      <c r="H153" s="508"/>
      <c r="I153" s="521"/>
      <c r="J153" s="521"/>
      <c r="K153" s="510"/>
      <c r="L153" s="510"/>
      <c r="M153" s="510"/>
      <c r="N153" s="510"/>
      <c r="O153" s="507"/>
      <c r="P153" s="507"/>
      <c r="Q153" s="507"/>
      <c r="R153" s="510"/>
      <c r="S153" s="510"/>
      <c r="T153" s="510"/>
      <c r="U153" s="510"/>
      <c r="V153" s="513"/>
      <c r="W153" s="510"/>
      <c r="X153" s="507"/>
      <c r="Y153" s="507"/>
      <c r="Z153" s="507"/>
      <c r="AA153" s="507"/>
      <c r="AB153" s="510"/>
    </row>
    <row r="154" ht="18.0" customHeight="1">
      <c r="A154" s="507"/>
      <c r="B154" s="508"/>
      <c r="C154" s="508"/>
      <c r="D154" s="508"/>
      <c r="E154" s="508"/>
      <c r="F154" s="515"/>
      <c r="G154" s="515"/>
      <c r="H154" s="508"/>
      <c r="I154" s="521"/>
      <c r="J154" s="521"/>
      <c r="K154" s="510"/>
      <c r="L154" s="510"/>
      <c r="M154" s="510"/>
      <c r="N154" s="510"/>
      <c r="O154" s="507"/>
      <c r="P154" s="507"/>
      <c r="Q154" s="507"/>
      <c r="R154" s="510"/>
      <c r="S154" s="510"/>
      <c r="T154" s="510"/>
      <c r="U154" s="510"/>
      <c r="V154" s="513"/>
      <c r="W154" s="510"/>
      <c r="X154" s="507"/>
      <c r="Y154" s="507"/>
      <c r="Z154" s="507"/>
      <c r="AA154" s="507"/>
      <c r="AB154" s="510"/>
    </row>
    <row r="155" ht="18.0" customHeight="1">
      <c r="A155" s="507"/>
      <c r="B155" s="508"/>
      <c r="C155" s="508"/>
      <c r="D155" s="508"/>
      <c r="E155" s="508"/>
      <c r="F155" s="515"/>
      <c r="G155" s="515"/>
      <c r="H155" s="508"/>
      <c r="I155" s="521"/>
      <c r="J155" s="521"/>
      <c r="K155" s="510"/>
      <c r="L155" s="510"/>
      <c r="M155" s="510"/>
      <c r="N155" s="510"/>
      <c r="O155" s="507"/>
      <c r="P155" s="507"/>
      <c r="Q155" s="507"/>
      <c r="R155" s="510"/>
      <c r="S155" s="510"/>
      <c r="T155" s="510"/>
      <c r="U155" s="510"/>
      <c r="V155" s="513"/>
      <c r="W155" s="510"/>
      <c r="X155" s="507"/>
      <c r="Y155" s="507"/>
      <c r="Z155" s="507"/>
      <c r="AA155" s="507"/>
      <c r="AB155" s="510"/>
    </row>
    <row r="156" ht="18.0" customHeight="1">
      <c r="A156" s="507"/>
      <c r="B156" s="508"/>
      <c r="C156" s="508"/>
      <c r="D156" s="508"/>
      <c r="E156" s="508"/>
      <c r="F156" s="515"/>
      <c r="G156" s="515"/>
      <c r="H156" s="508"/>
      <c r="I156" s="521"/>
      <c r="J156" s="521"/>
      <c r="K156" s="510"/>
      <c r="L156" s="510"/>
      <c r="M156" s="510"/>
      <c r="N156" s="510"/>
      <c r="O156" s="507"/>
      <c r="P156" s="507"/>
      <c r="Q156" s="507"/>
      <c r="R156" s="510"/>
      <c r="S156" s="510"/>
      <c r="T156" s="510"/>
      <c r="U156" s="510"/>
      <c r="V156" s="513"/>
      <c r="W156" s="510"/>
      <c r="X156" s="507"/>
      <c r="Y156" s="507"/>
      <c r="Z156" s="507"/>
      <c r="AA156" s="507"/>
      <c r="AB156" s="510"/>
    </row>
    <row r="157" ht="18.0" customHeight="1">
      <c r="A157" s="507"/>
      <c r="B157" s="508"/>
      <c r="C157" s="508"/>
      <c r="D157" s="508"/>
      <c r="E157" s="508"/>
      <c r="F157" s="515"/>
      <c r="G157" s="515"/>
      <c r="H157" s="508"/>
      <c r="I157" s="521"/>
      <c r="J157" s="521"/>
      <c r="K157" s="510"/>
      <c r="L157" s="510"/>
      <c r="M157" s="510"/>
      <c r="N157" s="510"/>
      <c r="O157" s="507"/>
      <c r="P157" s="507"/>
      <c r="Q157" s="507"/>
      <c r="R157" s="510"/>
      <c r="S157" s="510"/>
      <c r="T157" s="510"/>
      <c r="U157" s="510"/>
      <c r="V157" s="513"/>
      <c r="W157" s="510"/>
      <c r="X157" s="507"/>
      <c r="Y157" s="507"/>
      <c r="Z157" s="507"/>
      <c r="AA157" s="507"/>
      <c r="AB157" s="510"/>
    </row>
    <row r="158" ht="18.0" customHeight="1">
      <c r="A158" s="507"/>
      <c r="B158" s="508"/>
      <c r="C158" s="508"/>
      <c r="D158" s="508"/>
      <c r="E158" s="508"/>
      <c r="F158" s="515"/>
      <c r="G158" s="515"/>
      <c r="H158" s="508"/>
      <c r="I158" s="521"/>
      <c r="J158" s="521"/>
      <c r="K158" s="510"/>
      <c r="L158" s="510"/>
      <c r="M158" s="510"/>
      <c r="N158" s="510"/>
      <c r="O158" s="507"/>
      <c r="P158" s="507"/>
      <c r="Q158" s="507"/>
      <c r="R158" s="510"/>
      <c r="S158" s="510"/>
      <c r="T158" s="510"/>
      <c r="U158" s="510"/>
      <c r="V158" s="513"/>
      <c r="W158" s="510"/>
      <c r="X158" s="507"/>
      <c r="Y158" s="507"/>
      <c r="Z158" s="507"/>
      <c r="AA158" s="507"/>
      <c r="AB158" s="510"/>
    </row>
    <row r="159" ht="18.0" customHeight="1">
      <c r="A159" s="507"/>
      <c r="B159" s="508"/>
      <c r="C159" s="508"/>
      <c r="D159" s="508"/>
      <c r="E159" s="508"/>
      <c r="F159" s="515"/>
      <c r="G159" s="515"/>
      <c r="H159" s="508"/>
      <c r="I159" s="521"/>
      <c r="J159" s="521"/>
      <c r="K159" s="510"/>
      <c r="L159" s="510"/>
      <c r="M159" s="510"/>
      <c r="N159" s="510"/>
      <c r="O159" s="507"/>
      <c r="P159" s="507"/>
      <c r="Q159" s="507"/>
      <c r="R159" s="510"/>
      <c r="S159" s="510"/>
      <c r="T159" s="510"/>
      <c r="U159" s="510"/>
      <c r="V159" s="513"/>
      <c r="W159" s="510"/>
      <c r="X159" s="507"/>
      <c r="Y159" s="507"/>
      <c r="Z159" s="507"/>
      <c r="AA159" s="507"/>
      <c r="AB159" s="510"/>
    </row>
    <row r="160" ht="18.0" customHeight="1">
      <c r="A160" s="507"/>
      <c r="B160" s="508"/>
      <c r="C160" s="508"/>
      <c r="D160" s="508"/>
      <c r="E160" s="508"/>
      <c r="F160" s="515"/>
      <c r="G160" s="515"/>
      <c r="H160" s="508"/>
      <c r="I160" s="521"/>
      <c r="J160" s="521"/>
      <c r="K160" s="510"/>
      <c r="L160" s="510"/>
      <c r="M160" s="510"/>
      <c r="N160" s="510"/>
      <c r="O160" s="507"/>
      <c r="P160" s="507"/>
      <c r="Q160" s="507"/>
      <c r="R160" s="510"/>
      <c r="S160" s="510"/>
      <c r="T160" s="510"/>
      <c r="U160" s="510"/>
      <c r="V160" s="513"/>
      <c r="W160" s="510"/>
      <c r="X160" s="507"/>
      <c r="Y160" s="507"/>
      <c r="Z160" s="507"/>
      <c r="AA160" s="507"/>
      <c r="AB160" s="510"/>
    </row>
    <row r="161" ht="18.0" customHeight="1">
      <c r="A161" s="507"/>
      <c r="B161" s="508"/>
      <c r="C161" s="508"/>
      <c r="D161" s="508"/>
      <c r="E161" s="508"/>
      <c r="F161" s="515"/>
      <c r="G161" s="515"/>
      <c r="H161" s="508"/>
      <c r="I161" s="521"/>
      <c r="J161" s="521"/>
      <c r="K161" s="510"/>
      <c r="L161" s="510"/>
      <c r="M161" s="510"/>
      <c r="N161" s="510"/>
      <c r="O161" s="507"/>
      <c r="P161" s="507"/>
      <c r="Q161" s="507"/>
      <c r="R161" s="510"/>
      <c r="S161" s="510"/>
      <c r="T161" s="510"/>
      <c r="U161" s="510"/>
      <c r="V161" s="513"/>
      <c r="W161" s="510"/>
      <c r="X161" s="507"/>
      <c r="Y161" s="507"/>
      <c r="Z161" s="507"/>
      <c r="AA161" s="507"/>
      <c r="AB161" s="510"/>
    </row>
    <row r="162" ht="18.0" customHeight="1">
      <c r="A162" s="507"/>
      <c r="B162" s="508"/>
      <c r="C162" s="508"/>
      <c r="D162" s="508"/>
      <c r="E162" s="508"/>
      <c r="F162" s="515"/>
      <c r="G162" s="515"/>
      <c r="H162" s="508"/>
      <c r="I162" s="521"/>
      <c r="J162" s="521"/>
      <c r="K162" s="510"/>
      <c r="L162" s="510"/>
      <c r="M162" s="510"/>
      <c r="N162" s="510"/>
      <c r="O162" s="507"/>
      <c r="P162" s="507"/>
      <c r="Q162" s="507"/>
      <c r="R162" s="510"/>
      <c r="S162" s="510"/>
      <c r="T162" s="510"/>
      <c r="U162" s="510"/>
      <c r="V162" s="513"/>
      <c r="W162" s="510"/>
      <c r="X162" s="507"/>
      <c r="Y162" s="507"/>
      <c r="Z162" s="507"/>
      <c r="AA162" s="507"/>
      <c r="AB162" s="510"/>
    </row>
    <row r="163" ht="18.0" customHeight="1">
      <c r="A163" s="507"/>
      <c r="B163" s="508"/>
      <c r="C163" s="508"/>
      <c r="D163" s="508"/>
      <c r="E163" s="508"/>
      <c r="F163" s="515"/>
      <c r="G163" s="515"/>
      <c r="H163" s="508"/>
      <c r="I163" s="521"/>
      <c r="J163" s="521"/>
      <c r="K163" s="510"/>
      <c r="L163" s="510"/>
      <c r="M163" s="510"/>
      <c r="N163" s="510"/>
      <c r="O163" s="507"/>
      <c r="P163" s="507"/>
      <c r="Q163" s="507"/>
      <c r="R163" s="510"/>
      <c r="S163" s="510"/>
      <c r="T163" s="510"/>
      <c r="U163" s="510"/>
      <c r="V163" s="513"/>
      <c r="W163" s="510"/>
      <c r="X163" s="507"/>
      <c r="Y163" s="507"/>
      <c r="Z163" s="507"/>
      <c r="AA163" s="507"/>
      <c r="AB163" s="510"/>
    </row>
    <row r="164" ht="18.0" customHeight="1">
      <c r="A164" s="507"/>
      <c r="B164" s="508"/>
      <c r="C164" s="508"/>
      <c r="D164" s="508"/>
      <c r="E164" s="508"/>
      <c r="F164" s="515"/>
      <c r="G164" s="515"/>
      <c r="H164" s="508"/>
      <c r="I164" s="521"/>
      <c r="J164" s="521"/>
      <c r="K164" s="510"/>
      <c r="L164" s="510"/>
      <c r="M164" s="510"/>
      <c r="N164" s="510"/>
      <c r="O164" s="507"/>
      <c r="P164" s="507"/>
      <c r="Q164" s="507"/>
      <c r="R164" s="510"/>
      <c r="S164" s="510"/>
      <c r="T164" s="510"/>
      <c r="U164" s="510"/>
      <c r="V164" s="513"/>
      <c r="W164" s="510"/>
      <c r="X164" s="507"/>
      <c r="Y164" s="507"/>
      <c r="Z164" s="507"/>
      <c r="AA164" s="507"/>
      <c r="AB164" s="510"/>
    </row>
    <row r="165" ht="18.0" customHeight="1">
      <c r="A165" s="507"/>
      <c r="B165" s="508"/>
      <c r="C165" s="508"/>
      <c r="D165" s="508"/>
      <c r="E165" s="508"/>
      <c r="F165" s="515"/>
      <c r="G165" s="515"/>
      <c r="H165" s="508"/>
      <c r="I165" s="521"/>
      <c r="J165" s="521"/>
      <c r="K165" s="510"/>
      <c r="L165" s="510"/>
      <c r="M165" s="510"/>
      <c r="N165" s="510"/>
      <c r="O165" s="507"/>
      <c r="P165" s="507"/>
      <c r="Q165" s="507"/>
      <c r="R165" s="510"/>
      <c r="S165" s="510"/>
      <c r="T165" s="510"/>
      <c r="U165" s="510"/>
      <c r="V165" s="513"/>
      <c r="W165" s="510"/>
      <c r="X165" s="507"/>
      <c r="Y165" s="507"/>
      <c r="Z165" s="507"/>
      <c r="AA165" s="507"/>
      <c r="AB165" s="510"/>
    </row>
    <row r="166" ht="18.0" customHeight="1">
      <c r="A166" s="507"/>
      <c r="B166" s="508"/>
      <c r="C166" s="508"/>
      <c r="D166" s="508"/>
      <c r="E166" s="508"/>
      <c r="F166" s="515"/>
      <c r="G166" s="515"/>
      <c r="H166" s="508"/>
      <c r="I166" s="521"/>
      <c r="J166" s="521"/>
      <c r="K166" s="510"/>
      <c r="L166" s="510"/>
      <c r="M166" s="510"/>
      <c r="N166" s="510"/>
      <c r="O166" s="507"/>
      <c r="P166" s="507"/>
      <c r="Q166" s="507"/>
      <c r="R166" s="510"/>
      <c r="S166" s="510"/>
      <c r="T166" s="510"/>
      <c r="U166" s="510"/>
      <c r="V166" s="513"/>
      <c r="W166" s="510"/>
      <c r="X166" s="507"/>
      <c r="Y166" s="507"/>
      <c r="Z166" s="507"/>
      <c r="AA166" s="507"/>
      <c r="AB166" s="510"/>
    </row>
    <row r="167" ht="18.0" customHeight="1">
      <c r="A167" s="507"/>
      <c r="B167" s="508"/>
      <c r="C167" s="508"/>
      <c r="D167" s="508"/>
      <c r="E167" s="508"/>
      <c r="F167" s="515"/>
      <c r="G167" s="515"/>
      <c r="H167" s="508"/>
      <c r="I167" s="521"/>
      <c r="J167" s="521"/>
      <c r="K167" s="510"/>
      <c r="L167" s="510"/>
      <c r="M167" s="510"/>
      <c r="N167" s="510"/>
      <c r="O167" s="507"/>
      <c r="P167" s="507"/>
      <c r="Q167" s="507"/>
      <c r="R167" s="510"/>
      <c r="S167" s="510"/>
      <c r="T167" s="510"/>
      <c r="U167" s="510"/>
      <c r="V167" s="513"/>
      <c r="W167" s="510"/>
      <c r="X167" s="507"/>
      <c r="Y167" s="507"/>
      <c r="Z167" s="507"/>
      <c r="AA167" s="507"/>
      <c r="AB167" s="510"/>
    </row>
    <row r="168" ht="18.0" customHeight="1">
      <c r="A168" s="507"/>
      <c r="B168" s="508"/>
      <c r="C168" s="508"/>
      <c r="D168" s="508"/>
      <c r="E168" s="508"/>
      <c r="F168" s="515"/>
      <c r="G168" s="515"/>
      <c r="H168" s="508"/>
      <c r="I168" s="521"/>
      <c r="J168" s="521"/>
      <c r="K168" s="510"/>
      <c r="L168" s="510"/>
      <c r="M168" s="510"/>
      <c r="N168" s="510"/>
      <c r="O168" s="507"/>
      <c r="P168" s="507"/>
      <c r="Q168" s="507"/>
      <c r="R168" s="510"/>
      <c r="S168" s="510"/>
      <c r="T168" s="510"/>
      <c r="U168" s="510"/>
      <c r="V168" s="513"/>
      <c r="W168" s="510"/>
      <c r="X168" s="507"/>
      <c r="Y168" s="507"/>
      <c r="Z168" s="507"/>
      <c r="AA168" s="507"/>
      <c r="AB168" s="510"/>
    </row>
    <row r="169" ht="18.0" customHeight="1">
      <c r="A169" s="507"/>
      <c r="B169" s="508"/>
      <c r="C169" s="508"/>
      <c r="D169" s="508"/>
      <c r="E169" s="508"/>
      <c r="F169" s="515"/>
      <c r="G169" s="515"/>
      <c r="H169" s="508"/>
      <c r="I169" s="521"/>
      <c r="J169" s="521"/>
      <c r="K169" s="510"/>
      <c r="L169" s="510"/>
      <c r="M169" s="510"/>
      <c r="N169" s="510"/>
      <c r="O169" s="507"/>
      <c r="P169" s="507"/>
      <c r="Q169" s="507"/>
      <c r="R169" s="510"/>
      <c r="S169" s="510"/>
      <c r="T169" s="510"/>
      <c r="U169" s="510"/>
      <c r="V169" s="513"/>
      <c r="W169" s="510"/>
      <c r="X169" s="507"/>
      <c r="Y169" s="507"/>
      <c r="Z169" s="507"/>
      <c r="AA169" s="507"/>
      <c r="AB169" s="510"/>
    </row>
    <row r="170" ht="18.0" customHeight="1">
      <c r="A170" s="507"/>
      <c r="B170" s="508"/>
      <c r="C170" s="508"/>
      <c r="D170" s="508"/>
      <c r="E170" s="508"/>
      <c r="F170" s="515"/>
      <c r="G170" s="515"/>
      <c r="H170" s="508"/>
      <c r="I170" s="521"/>
      <c r="J170" s="521"/>
      <c r="K170" s="510"/>
      <c r="L170" s="510"/>
      <c r="M170" s="510"/>
      <c r="N170" s="510"/>
      <c r="O170" s="507"/>
      <c r="P170" s="507"/>
      <c r="Q170" s="507"/>
      <c r="R170" s="510"/>
      <c r="S170" s="510"/>
      <c r="T170" s="510"/>
      <c r="U170" s="510"/>
      <c r="V170" s="513"/>
      <c r="W170" s="510"/>
      <c r="X170" s="507"/>
      <c r="Y170" s="507"/>
      <c r="Z170" s="507"/>
      <c r="AA170" s="507"/>
      <c r="AB170" s="510"/>
    </row>
    <row r="171" ht="18.0" customHeight="1">
      <c r="A171" s="507"/>
      <c r="B171" s="508"/>
      <c r="C171" s="508"/>
      <c r="D171" s="508"/>
      <c r="E171" s="508"/>
      <c r="F171" s="515"/>
      <c r="G171" s="515"/>
      <c r="H171" s="508"/>
      <c r="I171" s="521"/>
      <c r="J171" s="521"/>
      <c r="K171" s="510"/>
      <c r="L171" s="510"/>
      <c r="M171" s="510"/>
      <c r="N171" s="510"/>
      <c r="O171" s="507"/>
      <c r="P171" s="507"/>
      <c r="Q171" s="507"/>
      <c r="R171" s="510"/>
      <c r="S171" s="510"/>
      <c r="T171" s="510"/>
      <c r="U171" s="510"/>
      <c r="V171" s="513"/>
      <c r="W171" s="510"/>
      <c r="X171" s="507"/>
      <c r="Y171" s="507"/>
      <c r="Z171" s="507"/>
      <c r="AA171" s="507"/>
      <c r="AB171" s="510"/>
    </row>
    <row r="172" ht="18.0" customHeight="1">
      <c r="A172" s="507"/>
      <c r="B172" s="508"/>
      <c r="C172" s="508"/>
      <c r="D172" s="508"/>
      <c r="E172" s="508"/>
      <c r="F172" s="515"/>
      <c r="G172" s="515"/>
      <c r="H172" s="508"/>
      <c r="I172" s="521"/>
      <c r="J172" s="521"/>
      <c r="K172" s="510"/>
      <c r="L172" s="510"/>
      <c r="M172" s="510"/>
      <c r="N172" s="510"/>
      <c r="O172" s="507"/>
      <c r="P172" s="507"/>
      <c r="Q172" s="507"/>
      <c r="R172" s="510"/>
      <c r="S172" s="510"/>
      <c r="T172" s="510"/>
      <c r="U172" s="510"/>
      <c r="V172" s="513"/>
      <c r="W172" s="510"/>
      <c r="X172" s="507"/>
      <c r="Y172" s="507"/>
      <c r="Z172" s="507"/>
      <c r="AA172" s="507"/>
      <c r="AB172" s="510"/>
    </row>
    <row r="173" ht="18.0" customHeight="1">
      <c r="A173" s="507"/>
      <c r="B173" s="508"/>
      <c r="C173" s="508"/>
      <c r="D173" s="508"/>
      <c r="E173" s="508"/>
      <c r="F173" s="515"/>
      <c r="G173" s="515"/>
      <c r="H173" s="508"/>
      <c r="I173" s="521"/>
      <c r="J173" s="521"/>
      <c r="K173" s="510"/>
      <c r="L173" s="510"/>
      <c r="M173" s="510"/>
      <c r="N173" s="510"/>
      <c r="O173" s="507"/>
      <c r="P173" s="507"/>
      <c r="Q173" s="507"/>
      <c r="R173" s="510"/>
      <c r="S173" s="510"/>
      <c r="T173" s="510"/>
      <c r="U173" s="510"/>
      <c r="V173" s="513"/>
      <c r="W173" s="510"/>
      <c r="X173" s="507"/>
      <c r="Y173" s="507"/>
      <c r="Z173" s="507"/>
      <c r="AA173" s="507"/>
      <c r="AB173" s="510"/>
    </row>
    <row r="174" ht="18.0" customHeight="1">
      <c r="A174" s="507"/>
      <c r="B174" s="508"/>
      <c r="C174" s="508"/>
      <c r="D174" s="508"/>
      <c r="E174" s="508"/>
      <c r="F174" s="515"/>
      <c r="G174" s="515"/>
      <c r="H174" s="508"/>
      <c r="I174" s="521"/>
      <c r="J174" s="521"/>
      <c r="K174" s="510"/>
      <c r="L174" s="510"/>
      <c r="M174" s="510"/>
      <c r="N174" s="510"/>
      <c r="O174" s="507"/>
      <c r="P174" s="507"/>
      <c r="Q174" s="507"/>
      <c r="R174" s="510"/>
      <c r="S174" s="510"/>
      <c r="T174" s="510"/>
      <c r="U174" s="510"/>
      <c r="V174" s="513"/>
      <c r="W174" s="510"/>
      <c r="X174" s="507"/>
      <c r="Y174" s="507"/>
      <c r="Z174" s="507"/>
      <c r="AA174" s="507"/>
      <c r="AB174" s="510"/>
    </row>
    <row r="175" ht="18.0" customHeight="1">
      <c r="A175" s="507"/>
      <c r="B175" s="508"/>
      <c r="C175" s="508"/>
      <c r="D175" s="508"/>
      <c r="E175" s="508"/>
      <c r="F175" s="515"/>
      <c r="G175" s="515"/>
      <c r="H175" s="508"/>
      <c r="I175" s="521"/>
      <c r="J175" s="521"/>
      <c r="K175" s="510"/>
      <c r="L175" s="510"/>
      <c r="M175" s="510"/>
      <c r="N175" s="510"/>
      <c r="O175" s="507"/>
      <c r="P175" s="507"/>
      <c r="Q175" s="507"/>
      <c r="R175" s="510"/>
      <c r="S175" s="510"/>
      <c r="T175" s="510"/>
      <c r="U175" s="510"/>
      <c r="V175" s="513"/>
      <c r="W175" s="510"/>
      <c r="X175" s="507"/>
      <c r="Y175" s="507"/>
      <c r="Z175" s="507"/>
      <c r="AA175" s="507"/>
      <c r="AB175" s="510"/>
    </row>
    <row r="176" ht="18.0" customHeight="1">
      <c r="A176" s="507"/>
      <c r="B176" s="508"/>
      <c r="C176" s="508"/>
      <c r="D176" s="508"/>
      <c r="E176" s="508"/>
      <c r="F176" s="515"/>
      <c r="G176" s="515"/>
      <c r="H176" s="508"/>
      <c r="I176" s="521"/>
      <c r="J176" s="521"/>
      <c r="K176" s="510"/>
      <c r="L176" s="510"/>
      <c r="M176" s="510"/>
      <c r="N176" s="510"/>
      <c r="O176" s="507"/>
      <c r="P176" s="507"/>
      <c r="Q176" s="507"/>
      <c r="R176" s="510"/>
      <c r="S176" s="510"/>
      <c r="T176" s="510"/>
      <c r="U176" s="510"/>
      <c r="V176" s="513"/>
      <c r="W176" s="510"/>
      <c r="X176" s="507"/>
      <c r="Y176" s="507"/>
      <c r="Z176" s="507"/>
      <c r="AA176" s="507"/>
      <c r="AB176" s="510"/>
    </row>
    <row r="177" ht="18.0" customHeight="1">
      <c r="A177" s="507"/>
      <c r="B177" s="508"/>
      <c r="C177" s="508"/>
      <c r="D177" s="508"/>
      <c r="E177" s="508"/>
      <c r="F177" s="515"/>
      <c r="G177" s="515"/>
      <c r="H177" s="508"/>
      <c r="I177" s="521"/>
      <c r="J177" s="521"/>
      <c r="K177" s="510"/>
      <c r="L177" s="510"/>
      <c r="M177" s="510"/>
      <c r="N177" s="510"/>
      <c r="O177" s="507"/>
      <c r="P177" s="507"/>
      <c r="Q177" s="507"/>
      <c r="R177" s="510"/>
      <c r="S177" s="510"/>
      <c r="T177" s="510"/>
      <c r="U177" s="510"/>
      <c r="V177" s="513"/>
      <c r="W177" s="510"/>
      <c r="X177" s="507"/>
      <c r="Y177" s="507"/>
      <c r="Z177" s="507"/>
      <c r="AA177" s="507"/>
      <c r="AB177" s="510"/>
    </row>
    <row r="178" ht="18.0" customHeight="1">
      <c r="A178" s="507"/>
      <c r="B178" s="508"/>
      <c r="C178" s="508"/>
      <c r="D178" s="508"/>
      <c r="E178" s="508"/>
      <c r="F178" s="515"/>
      <c r="G178" s="515"/>
      <c r="H178" s="508"/>
      <c r="I178" s="521"/>
      <c r="J178" s="521"/>
      <c r="K178" s="510"/>
      <c r="L178" s="510"/>
      <c r="M178" s="510"/>
      <c r="N178" s="510"/>
      <c r="O178" s="507"/>
      <c r="P178" s="507"/>
      <c r="Q178" s="507"/>
      <c r="R178" s="510"/>
      <c r="S178" s="510"/>
      <c r="T178" s="510"/>
      <c r="U178" s="510"/>
      <c r="V178" s="513"/>
      <c r="W178" s="510"/>
      <c r="X178" s="507"/>
      <c r="Y178" s="507"/>
      <c r="Z178" s="507"/>
      <c r="AA178" s="507"/>
      <c r="AB178" s="510"/>
    </row>
    <row r="179" ht="18.0" customHeight="1">
      <c r="A179" s="507"/>
      <c r="B179" s="508"/>
      <c r="C179" s="508"/>
      <c r="D179" s="508"/>
      <c r="E179" s="508"/>
      <c r="F179" s="515"/>
      <c r="G179" s="515"/>
      <c r="H179" s="508"/>
      <c r="I179" s="521"/>
      <c r="J179" s="521"/>
      <c r="K179" s="510"/>
      <c r="L179" s="510"/>
      <c r="M179" s="510"/>
      <c r="N179" s="510"/>
      <c r="O179" s="507"/>
      <c r="P179" s="507"/>
      <c r="Q179" s="507"/>
      <c r="R179" s="510"/>
      <c r="S179" s="510"/>
      <c r="T179" s="510"/>
      <c r="U179" s="510"/>
      <c r="V179" s="513"/>
      <c r="W179" s="510"/>
      <c r="X179" s="507"/>
      <c r="Y179" s="507"/>
      <c r="Z179" s="507"/>
      <c r="AA179" s="507"/>
      <c r="AB179" s="510"/>
    </row>
    <row r="180" ht="18.0" customHeight="1">
      <c r="A180" s="507"/>
      <c r="B180" s="508"/>
      <c r="C180" s="508"/>
      <c r="D180" s="508"/>
      <c r="E180" s="508"/>
      <c r="F180" s="515"/>
      <c r="G180" s="515"/>
      <c r="H180" s="508"/>
      <c r="I180" s="521"/>
      <c r="J180" s="521"/>
      <c r="K180" s="510"/>
      <c r="L180" s="510"/>
      <c r="M180" s="510"/>
      <c r="N180" s="510"/>
      <c r="O180" s="507"/>
      <c r="P180" s="507"/>
      <c r="Q180" s="507"/>
      <c r="R180" s="510"/>
      <c r="S180" s="510"/>
      <c r="T180" s="510"/>
      <c r="U180" s="510"/>
      <c r="V180" s="513"/>
      <c r="W180" s="510"/>
      <c r="X180" s="507"/>
      <c r="Y180" s="507"/>
      <c r="Z180" s="507"/>
      <c r="AA180" s="507"/>
      <c r="AB180" s="510"/>
    </row>
    <row r="181" ht="18.0" customHeight="1">
      <c r="A181" s="507"/>
      <c r="B181" s="508"/>
      <c r="C181" s="508"/>
      <c r="D181" s="508"/>
      <c r="E181" s="508"/>
      <c r="F181" s="515"/>
      <c r="G181" s="515"/>
      <c r="H181" s="508"/>
      <c r="I181" s="521"/>
      <c r="J181" s="521"/>
      <c r="K181" s="510"/>
      <c r="L181" s="510"/>
      <c r="M181" s="510"/>
      <c r="N181" s="510"/>
      <c r="O181" s="507"/>
      <c r="P181" s="507"/>
      <c r="Q181" s="507"/>
      <c r="R181" s="510"/>
      <c r="S181" s="510"/>
      <c r="T181" s="510"/>
      <c r="U181" s="510"/>
      <c r="V181" s="513"/>
      <c r="W181" s="510"/>
      <c r="X181" s="507"/>
      <c r="Y181" s="507"/>
      <c r="Z181" s="507"/>
      <c r="AA181" s="507"/>
      <c r="AB181" s="510"/>
    </row>
    <row r="182" ht="18.0" customHeight="1">
      <c r="A182" s="507"/>
      <c r="B182" s="508"/>
      <c r="C182" s="508"/>
      <c r="D182" s="508"/>
      <c r="E182" s="508"/>
      <c r="F182" s="515"/>
      <c r="G182" s="515"/>
      <c r="H182" s="508"/>
      <c r="I182" s="521"/>
      <c r="J182" s="521"/>
      <c r="K182" s="510"/>
      <c r="L182" s="510"/>
      <c r="M182" s="510"/>
      <c r="N182" s="510"/>
      <c r="O182" s="507"/>
      <c r="P182" s="507"/>
      <c r="Q182" s="507"/>
      <c r="R182" s="510"/>
      <c r="S182" s="510"/>
      <c r="T182" s="510"/>
      <c r="U182" s="510"/>
      <c r="V182" s="513"/>
      <c r="W182" s="510"/>
      <c r="X182" s="507"/>
      <c r="Y182" s="507"/>
      <c r="Z182" s="507"/>
      <c r="AA182" s="507"/>
      <c r="AB182" s="510"/>
    </row>
    <row r="183" ht="18.0" customHeight="1">
      <c r="A183" s="507"/>
      <c r="B183" s="508"/>
      <c r="C183" s="508"/>
      <c r="D183" s="508"/>
      <c r="E183" s="508"/>
      <c r="F183" s="515"/>
      <c r="G183" s="515"/>
      <c r="H183" s="508"/>
      <c r="I183" s="521"/>
      <c r="J183" s="521"/>
      <c r="K183" s="510"/>
      <c r="L183" s="510"/>
      <c r="M183" s="510"/>
      <c r="N183" s="510"/>
      <c r="O183" s="507"/>
      <c r="P183" s="507"/>
      <c r="Q183" s="507"/>
      <c r="R183" s="510"/>
      <c r="S183" s="510"/>
      <c r="T183" s="510"/>
      <c r="U183" s="510"/>
      <c r="V183" s="513"/>
      <c r="W183" s="510"/>
      <c r="X183" s="507"/>
      <c r="Y183" s="507"/>
      <c r="Z183" s="507"/>
      <c r="AA183" s="507"/>
      <c r="AB183" s="510"/>
    </row>
    <row r="184" ht="18.0" customHeight="1">
      <c r="A184" s="507"/>
      <c r="B184" s="508"/>
      <c r="C184" s="508"/>
      <c r="D184" s="508"/>
      <c r="E184" s="508"/>
      <c r="F184" s="515"/>
      <c r="G184" s="515"/>
      <c r="H184" s="508"/>
      <c r="I184" s="521"/>
      <c r="J184" s="521"/>
      <c r="K184" s="510"/>
      <c r="L184" s="510"/>
      <c r="M184" s="510"/>
      <c r="N184" s="510"/>
      <c r="O184" s="507"/>
      <c r="P184" s="507"/>
      <c r="Q184" s="507"/>
      <c r="R184" s="510"/>
      <c r="S184" s="510"/>
      <c r="T184" s="510"/>
      <c r="U184" s="510"/>
      <c r="V184" s="513"/>
      <c r="W184" s="510"/>
      <c r="X184" s="507"/>
      <c r="Y184" s="507"/>
      <c r="Z184" s="507"/>
      <c r="AA184" s="507"/>
      <c r="AB184" s="510"/>
    </row>
    <row r="185" ht="18.0" customHeight="1">
      <c r="A185" s="507"/>
      <c r="B185" s="508"/>
      <c r="C185" s="508"/>
      <c r="D185" s="508"/>
      <c r="E185" s="508"/>
      <c r="F185" s="515"/>
      <c r="G185" s="515"/>
      <c r="H185" s="508"/>
      <c r="I185" s="521"/>
      <c r="J185" s="521"/>
      <c r="K185" s="510"/>
      <c r="L185" s="510"/>
      <c r="M185" s="510"/>
      <c r="N185" s="510"/>
      <c r="O185" s="507"/>
      <c r="P185" s="507"/>
      <c r="Q185" s="507"/>
      <c r="R185" s="510"/>
      <c r="S185" s="510"/>
      <c r="T185" s="510"/>
      <c r="U185" s="510"/>
      <c r="V185" s="513"/>
      <c r="W185" s="510"/>
      <c r="X185" s="507"/>
      <c r="Y185" s="507"/>
      <c r="Z185" s="507"/>
      <c r="AA185" s="507"/>
      <c r="AB185" s="510"/>
    </row>
    <row r="186" ht="18.0" customHeight="1">
      <c r="A186" s="507"/>
      <c r="B186" s="508"/>
      <c r="C186" s="508"/>
      <c r="D186" s="508"/>
      <c r="E186" s="508"/>
      <c r="F186" s="515"/>
      <c r="G186" s="515"/>
      <c r="H186" s="508"/>
      <c r="I186" s="521"/>
      <c r="J186" s="521"/>
      <c r="K186" s="510"/>
      <c r="L186" s="510"/>
      <c r="M186" s="510"/>
      <c r="N186" s="510"/>
      <c r="O186" s="507"/>
      <c r="P186" s="507"/>
      <c r="Q186" s="507"/>
      <c r="R186" s="510"/>
      <c r="S186" s="510"/>
      <c r="T186" s="510"/>
      <c r="U186" s="510"/>
      <c r="V186" s="513"/>
      <c r="W186" s="510"/>
      <c r="X186" s="507"/>
      <c r="Y186" s="507"/>
      <c r="Z186" s="507"/>
      <c r="AA186" s="507"/>
      <c r="AB186" s="510"/>
    </row>
    <row r="187" ht="18.0" customHeight="1">
      <c r="A187" s="507"/>
      <c r="B187" s="508"/>
      <c r="C187" s="508"/>
      <c r="D187" s="508"/>
      <c r="E187" s="508"/>
      <c r="F187" s="515"/>
      <c r="G187" s="515"/>
      <c r="H187" s="508"/>
      <c r="I187" s="521"/>
      <c r="J187" s="521"/>
      <c r="K187" s="510"/>
      <c r="L187" s="510"/>
      <c r="M187" s="510"/>
      <c r="N187" s="510"/>
      <c r="O187" s="507"/>
      <c r="P187" s="507"/>
      <c r="Q187" s="507"/>
      <c r="R187" s="510"/>
      <c r="S187" s="510"/>
      <c r="T187" s="510"/>
      <c r="U187" s="510"/>
      <c r="V187" s="513"/>
      <c r="W187" s="510"/>
      <c r="X187" s="507"/>
      <c r="Y187" s="507"/>
      <c r="Z187" s="507"/>
      <c r="AA187" s="507"/>
      <c r="AB187" s="510"/>
    </row>
    <row r="188" ht="18.0" customHeight="1">
      <c r="A188" s="507"/>
      <c r="B188" s="508"/>
      <c r="C188" s="508"/>
      <c r="D188" s="508"/>
      <c r="E188" s="508"/>
      <c r="F188" s="515"/>
      <c r="G188" s="515"/>
      <c r="H188" s="508"/>
      <c r="I188" s="521"/>
      <c r="J188" s="521"/>
      <c r="K188" s="510"/>
      <c r="L188" s="510"/>
      <c r="M188" s="510"/>
      <c r="N188" s="510"/>
      <c r="O188" s="507"/>
      <c r="P188" s="507"/>
      <c r="Q188" s="507"/>
      <c r="R188" s="510"/>
      <c r="S188" s="510"/>
      <c r="T188" s="510"/>
      <c r="U188" s="510"/>
      <c r="V188" s="513"/>
      <c r="W188" s="510"/>
      <c r="X188" s="507"/>
      <c r="Y188" s="507"/>
      <c r="Z188" s="507"/>
      <c r="AA188" s="507"/>
      <c r="AB188" s="510"/>
    </row>
    <row r="189" ht="18.0" customHeight="1">
      <c r="A189" s="507"/>
      <c r="B189" s="508"/>
      <c r="C189" s="508"/>
      <c r="D189" s="508"/>
      <c r="E189" s="508"/>
      <c r="F189" s="515"/>
      <c r="G189" s="515"/>
      <c r="H189" s="508"/>
      <c r="I189" s="521"/>
      <c r="J189" s="521"/>
      <c r="K189" s="510"/>
      <c r="L189" s="510"/>
      <c r="M189" s="510"/>
      <c r="N189" s="510"/>
      <c r="O189" s="507"/>
      <c r="P189" s="507"/>
      <c r="Q189" s="507"/>
      <c r="R189" s="510"/>
      <c r="S189" s="510"/>
      <c r="T189" s="510"/>
      <c r="U189" s="510"/>
      <c r="V189" s="513"/>
      <c r="W189" s="510"/>
      <c r="X189" s="507"/>
      <c r="Y189" s="507"/>
      <c r="Z189" s="507"/>
      <c r="AA189" s="507"/>
      <c r="AB189" s="510"/>
    </row>
    <row r="190" ht="18.0" customHeight="1">
      <c r="A190" s="507"/>
      <c r="B190" s="508"/>
      <c r="C190" s="508"/>
      <c r="D190" s="508"/>
      <c r="E190" s="508"/>
      <c r="F190" s="515"/>
      <c r="G190" s="515"/>
      <c r="H190" s="508"/>
      <c r="I190" s="521"/>
      <c r="J190" s="521"/>
      <c r="K190" s="510"/>
      <c r="L190" s="510"/>
      <c r="M190" s="510"/>
      <c r="N190" s="510"/>
      <c r="O190" s="507"/>
      <c r="P190" s="507"/>
      <c r="Q190" s="507"/>
      <c r="R190" s="510"/>
      <c r="S190" s="510"/>
      <c r="T190" s="510"/>
      <c r="U190" s="510"/>
      <c r="V190" s="513"/>
      <c r="W190" s="510"/>
      <c r="X190" s="507"/>
      <c r="Y190" s="507"/>
      <c r="Z190" s="507"/>
      <c r="AA190" s="507"/>
      <c r="AB190" s="510"/>
    </row>
    <row r="191" ht="18.0" customHeight="1">
      <c r="A191" s="507"/>
      <c r="B191" s="508"/>
      <c r="C191" s="508"/>
      <c r="D191" s="508"/>
      <c r="E191" s="508"/>
      <c r="F191" s="515"/>
      <c r="G191" s="515"/>
      <c r="H191" s="508"/>
      <c r="I191" s="521"/>
      <c r="J191" s="521"/>
      <c r="K191" s="510"/>
      <c r="L191" s="510"/>
      <c r="M191" s="510"/>
      <c r="N191" s="510"/>
      <c r="O191" s="507"/>
      <c r="P191" s="507"/>
      <c r="Q191" s="507"/>
      <c r="R191" s="510"/>
      <c r="S191" s="510"/>
      <c r="T191" s="510"/>
      <c r="U191" s="510"/>
      <c r="V191" s="513"/>
      <c r="W191" s="510"/>
      <c r="X191" s="507"/>
      <c r="Y191" s="507"/>
      <c r="Z191" s="507"/>
      <c r="AA191" s="507"/>
      <c r="AB191" s="510"/>
    </row>
    <row r="192" ht="18.0" customHeight="1">
      <c r="A192" s="507"/>
      <c r="B192" s="508"/>
      <c r="C192" s="508"/>
      <c r="D192" s="508"/>
      <c r="E192" s="508"/>
      <c r="F192" s="515"/>
      <c r="G192" s="515"/>
      <c r="H192" s="508"/>
      <c r="I192" s="521"/>
      <c r="J192" s="521"/>
      <c r="K192" s="510"/>
      <c r="L192" s="510"/>
      <c r="M192" s="510"/>
      <c r="N192" s="510"/>
      <c r="O192" s="507"/>
      <c r="P192" s="507"/>
      <c r="Q192" s="507"/>
      <c r="R192" s="510"/>
      <c r="S192" s="510"/>
      <c r="T192" s="510"/>
      <c r="U192" s="510"/>
      <c r="V192" s="513"/>
      <c r="W192" s="510"/>
      <c r="X192" s="507"/>
      <c r="Y192" s="507"/>
      <c r="Z192" s="507"/>
      <c r="AA192" s="507"/>
      <c r="AB192" s="510"/>
    </row>
    <row r="193" ht="18.0" customHeight="1">
      <c r="A193" s="507"/>
      <c r="B193" s="508"/>
      <c r="C193" s="508"/>
      <c r="D193" s="508"/>
      <c r="E193" s="508"/>
      <c r="F193" s="515"/>
      <c r="G193" s="515"/>
      <c r="H193" s="508"/>
      <c r="I193" s="521"/>
      <c r="J193" s="521"/>
      <c r="K193" s="510"/>
      <c r="L193" s="510"/>
      <c r="M193" s="510"/>
      <c r="N193" s="510"/>
      <c r="O193" s="507"/>
      <c r="P193" s="507"/>
      <c r="Q193" s="507"/>
      <c r="R193" s="510"/>
      <c r="S193" s="510"/>
      <c r="T193" s="510"/>
      <c r="U193" s="510"/>
      <c r="V193" s="513"/>
      <c r="W193" s="510"/>
      <c r="X193" s="507"/>
      <c r="Y193" s="507"/>
      <c r="Z193" s="507"/>
      <c r="AA193" s="507"/>
      <c r="AB193" s="510"/>
    </row>
    <row r="194" ht="18.0" customHeight="1">
      <c r="A194" s="507"/>
      <c r="B194" s="508"/>
      <c r="C194" s="508"/>
      <c r="D194" s="508"/>
      <c r="E194" s="508"/>
      <c r="F194" s="515"/>
      <c r="G194" s="515"/>
      <c r="H194" s="508"/>
      <c r="I194" s="521"/>
      <c r="J194" s="521"/>
      <c r="K194" s="510"/>
      <c r="L194" s="510"/>
      <c r="M194" s="510"/>
      <c r="N194" s="510"/>
      <c r="O194" s="507"/>
      <c r="P194" s="507"/>
      <c r="Q194" s="507"/>
      <c r="R194" s="510"/>
      <c r="S194" s="510"/>
      <c r="T194" s="510"/>
      <c r="U194" s="510"/>
      <c r="V194" s="513"/>
      <c r="W194" s="510"/>
      <c r="X194" s="507"/>
      <c r="Y194" s="507"/>
      <c r="Z194" s="507"/>
      <c r="AA194" s="507"/>
      <c r="AB194" s="510"/>
    </row>
    <row r="195" ht="18.0" customHeight="1">
      <c r="A195" s="507"/>
      <c r="B195" s="508"/>
      <c r="C195" s="508"/>
      <c r="D195" s="508"/>
      <c r="E195" s="508"/>
      <c r="F195" s="515"/>
      <c r="G195" s="515"/>
      <c r="H195" s="508"/>
      <c r="I195" s="521"/>
      <c r="J195" s="521"/>
      <c r="K195" s="510"/>
      <c r="L195" s="510"/>
      <c r="M195" s="510"/>
      <c r="N195" s="510"/>
      <c r="O195" s="507"/>
      <c r="P195" s="507"/>
      <c r="Q195" s="507"/>
      <c r="R195" s="510"/>
      <c r="S195" s="510"/>
      <c r="T195" s="510"/>
      <c r="U195" s="510"/>
      <c r="V195" s="513"/>
      <c r="W195" s="510"/>
      <c r="X195" s="507"/>
      <c r="Y195" s="507"/>
      <c r="Z195" s="507"/>
      <c r="AA195" s="507"/>
      <c r="AB195" s="510"/>
    </row>
    <row r="196" ht="18.0" customHeight="1">
      <c r="A196" s="507"/>
      <c r="B196" s="508"/>
      <c r="C196" s="508"/>
      <c r="D196" s="508"/>
      <c r="E196" s="508"/>
      <c r="F196" s="515"/>
      <c r="G196" s="515"/>
      <c r="H196" s="508"/>
      <c r="I196" s="521"/>
      <c r="J196" s="521"/>
      <c r="K196" s="510"/>
      <c r="L196" s="510"/>
      <c r="M196" s="510"/>
      <c r="N196" s="510"/>
      <c r="O196" s="507"/>
      <c r="P196" s="507"/>
      <c r="Q196" s="507"/>
      <c r="R196" s="510"/>
      <c r="S196" s="510"/>
      <c r="T196" s="510"/>
      <c r="U196" s="510"/>
      <c r="V196" s="513"/>
      <c r="W196" s="510"/>
      <c r="X196" s="507"/>
      <c r="Y196" s="507"/>
      <c r="Z196" s="507"/>
      <c r="AA196" s="507"/>
      <c r="AB196" s="510"/>
    </row>
    <row r="197" ht="18.0" customHeight="1">
      <c r="A197" s="507"/>
      <c r="B197" s="508"/>
      <c r="C197" s="508"/>
      <c r="D197" s="508"/>
      <c r="E197" s="508"/>
      <c r="F197" s="515"/>
      <c r="G197" s="515"/>
      <c r="H197" s="508"/>
      <c r="I197" s="521"/>
      <c r="J197" s="521"/>
      <c r="K197" s="510"/>
      <c r="L197" s="510"/>
      <c r="M197" s="510"/>
      <c r="N197" s="510"/>
      <c r="O197" s="507"/>
      <c r="P197" s="507"/>
      <c r="Q197" s="507"/>
      <c r="R197" s="510"/>
      <c r="S197" s="510"/>
      <c r="T197" s="510"/>
      <c r="U197" s="510"/>
      <c r="V197" s="513"/>
      <c r="W197" s="510"/>
      <c r="X197" s="507"/>
      <c r="Y197" s="507"/>
      <c r="Z197" s="507"/>
      <c r="AA197" s="507"/>
      <c r="AB197" s="510"/>
    </row>
    <row r="198" ht="18.0" customHeight="1">
      <c r="A198" s="507"/>
      <c r="B198" s="508"/>
      <c r="C198" s="508"/>
      <c r="D198" s="508"/>
      <c r="E198" s="508"/>
      <c r="F198" s="515"/>
      <c r="G198" s="515"/>
      <c r="H198" s="508"/>
      <c r="I198" s="521"/>
      <c r="J198" s="521"/>
      <c r="K198" s="510"/>
      <c r="L198" s="510"/>
      <c r="M198" s="510"/>
      <c r="N198" s="510"/>
      <c r="O198" s="507"/>
      <c r="P198" s="507"/>
      <c r="Q198" s="507"/>
      <c r="R198" s="510"/>
      <c r="S198" s="510"/>
      <c r="T198" s="510"/>
      <c r="U198" s="510"/>
      <c r="V198" s="513"/>
      <c r="W198" s="510"/>
      <c r="X198" s="507"/>
      <c r="Y198" s="507"/>
      <c r="Z198" s="507"/>
      <c r="AA198" s="507"/>
      <c r="AB198" s="510"/>
    </row>
    <row r="199" ht="18.0" customHeight="1">
      <c r="A199" s="507"/>
      <c r="B199" s="508"/>
      <c r="C199" s="508"/>
      <c r="D199" s="508"/>
      <c r="E199" s="508"/>
      <c r="F199" s="515"/>
      <c r="G199" s="515"/>
      <c r="H199" s="508"/>
      <c r="I199" s="521"/>
      <c r="J199" s="521"/>
      <c r="K199" s="510"/>
      <c r="L199" s="510"/>
      <c r="M199" s="510"/>
      <c r="N199" s="510"/>
      <c r="O199" s="507"/>
      <c r="P199" s="507"/>
      <c r="Q199" s="507"/>
      <c r="R199" s="510"/>
      <c r="S199" s="510"/>
      <c r="T199" s="510"/>
      <c r="U199" s="510"/>
      <c r="V199" s="513"/>
      <c r="W199" s="510"/>
      <c r="X199" s="507"/>
      <c r="Y199" s="507"/>
      <c r="Z199" s="507"/>
      <c r="AA199" s="507"/>
      <c r="AB199" s="510"/>
    </row>
    <row r="200" ht="18.0" customHeight="1">
      <c r="A200" s="507"/>
      <c r="B200" s="508"/>
      <c r="C200" s="508"/>
      <c r="D200" s="508"/>
      <c r="E200" s="508"/>
      <c r="F200" s="515"/>
      <c r="G200" s="515"/>
      <c r="H200" s="508"/>
      <c r="I200" s="521"/>
      <c r="J200" s="521"/>
      <c r="K200" s="510"/>
      <c r="L200" s="510"/>
      <c r="M200" s="510"/>
      <c r="N200" s="510"/>
      <c r="O200" s="507"/>
      <c r="P200" s="507"/>
      <c r="Q200" s="507"/>
      <c r="R200" s="510"/>
      <c r="S200" s="510"/>
      <c r="T200" s="510"/>
      <c r="U200" s="510"/>
      <c r="V200" s="513"/>
      <c r="W200" s="510"/>
      <c r="X200" s="507"/>
      <c r="Y200" s="507"/>
      <c r="Z200" s="507"/>
      <c r="AA200" s="507"/>
      <c r="AB200" s="510"/>
    </row>
    <row r="201" ht="18.0" customHeight="1">
      <c r="A201" s="507"/>
      <c r="B201" s="508"/>
      <c r="C201" s="508"/>
      <c r="D201" s="508"/>
      <c r="E201" s="508"/>
      <c r="F201" s="515"/>
      <c r="G201" s="515"/>
      <c r="H201" s="508"/>
      <c r="I201" s="521"/>
      <c r="J201" s="521"/>
      <c r="K201" s="510"/>
      <c r="L201" s="510"/>
      <c r="M201" s="510"/>
      <c r="N201" s="510"/>
      <c r="O201" s="507"/>
      <c r="P201" s="507"/>
      <c r="Q201" s="507"/>
      <c r="R201" s="510"/>
      <c r="S201" s="510"/>
      <c r="T201" s="510"/>
      <c r="U201" s="510"/>
      <c r="V201" s="513"/>
      <c r="W201" s="510"/>
      <c r="X201" s="507"/>
      <c r="Y201" s="507"/>
      <c r="Z201" s="507"/>
      <c r="AA201" s="507"/>
      <c r="AB201" s="510"/>
    </row>
    <row r="202" ht="18.0" customHeight="1">
      <c r="A202" s="507"/>
      <c r="B202" s="508"/>
      <c r="C202" s="508"/>
      <c r="D202" s="508"/>
      <c r="E202" s="508"/>
      <c r="F202" s="515"/>
      <c r="G202" s="515"/>
      <c r="H202" s="508"/>
      <c r="I202" s="521"/>
      <c r="J202" s="521"/>
      <c r="K202" s="510"/>
      <c r="L202" s="510"/>
      <c r="M202" s="510"/>
      <c r="N202" s="510"/>
      <c r="O202" s="507"/>
      <c r="P202" s="507"/>
      <c r="Q202" s="507"/>
      <c r="R202" s="510"/>
      <c r="S202" s="510"/>
      <c r="T202" s="510"/>
      <c r="U202" s="510"/>
      <c r="V202" s="513"/>
      <c r="W202" s="510"/>
      <c r="X202" s="507"/>
      <c r="Y202" s="507"/>
      <c r="Z202" s="507"/>
      <c r="AA202" s="507"/>
      <c r="AB202" s="510"/>
    </row>
    <row r="203" ht="18.0" customHeight="1">
      <c r="A203" s="507"/>
      <c r="B203" s="508"/>
      <c r="C203" s="508"/>
      <c r="D203" s="508"/>
      <c r="E203" s="508"/>
      <c r="F203" s="515"/>
      <c r="G203" s="515"/>
      <c r="H203" s="508"/>
      <c r="I203" s="521"/>
      <c r="J203" s="521"/>
      <c r="K203" s="510"/>
      <c r="L203" s="510"/>
      <c r="M203" s="510"/>
      <c r="N203" s="510"/>
      <c r="O203" s="507"/>
      <c r="P203" s="507"/>
      <c r="Q203" s="507"/>
      <c r="R203" s="510"/>
      <c r="S203" s="510"/>
      <c r="T203" s="510"/>
      <c r="U203" s="510"/>
      <c r="V203" s="513"/>
      <c r="W203" s="510"/>
      <c r="X203" s="507"/>
      <c r="Y203" s="507"/>
      <c r="Z203" s="507"/>
      <c r="AA203" s="507"/>
      <c r="AB203" s="510"/>
    </row>
    <row r="204" ht="18.0" customHeight="1">
      <c r="A204" s="507"/>
      <c r="B204" s="508"/>
      <c r="C204" s="508"/>
      <c r="D204" s="508"/>
      <c r="E204" s="508"/>
      <c r="F204" s="515"/>
      <c r="G204" s="515"/>
      <c r="H204" s="508"/>
      <c r="I204" s="521"/>
      <c r="J204" s="521"/>
      <c r="K204" s="510"/>
      <c r="L204" s="510"/>
      <c r="M204" s="510"/>
      <c r="N204" s="510"/>
      <c r="O204" s="507"/>
      <c r="P204" s="507"/>
      <c r="Q204" s="507"/>
      <c r="R204" s="510"/>
      <c r="S204" s="510"/>
      <c r="T204" s="510"/>
      <c r="U204" s="510"/>
      <c r="V204" s="513"/>
      <c r="W204" s="510"/>
      <c r="X204" s="507"/>
      <c r="Y204" s="507"/>
      <c r="Z204" s="507"/>
      <c r="AA204" s="507"/>
      <c r="AB204" s="510"/>
    </row>
    <row r="205" ht="18.0" customHeight="1">
      <c r="A205" s="507"/>
      <c r="B205" s="508"/>
      <c r="C205" s="508"/>
      <c r="D205" s="508"/>
      <c r="E205" s="508"/>
      <c r="F205" s="515"/>
      <c r="G205" s="515"/>
      <c r="H205" s="508"/>
      <c r="I205" s="521"/>
      <c r="J205" s="521"/>
      <c r="K205" s="510"/>
      <c r="L205" s="510"/>
      <c r="M205" s="510"/>
      <c r="N205" s="510"/>
      <c r="O205" s="507"/>
      <c r="P205" s="507"/>
      <c r="Q205" s="507"/>
      <c r="R205" s="510"/>
      <c r="S205" s="510"/>
      <c r="T205" s="510"/>
      <c r="U205" s="510"/>
      <c r="V205" s="513"/>
      <c r="W205" s="510"/>
      <c r="X205" s="507"/>
      <c r="Y205" s="507"/>
      <c r="Z205" s="507"/>
      <c r="AA205" s="507"/>
      <c r="AB205" s="510"/>
    </row>
    <row r="206" ht="18.0" customHeight="1">
      <c r="A206" s="507"/>
      <c r="B206" s="508"/>
      <c r="C206" s="508"/>
      <c r="D206" s="508"/>
      <c r="E206" s="508"/>
      <c r="F206" s="515"/>
      <c r="G206" s="515"/>
      <c r="H206" s="508"/>
      <c r="I206" s="521"/>
      <c r="J206" s="521"/>
      <c r="K206" s="510"/>
      <c r="L206" s="510"/>
      <c r="M206" s="510"/>
      <c r="N206" s="510"/>
      <c r="O206" s="507"/>
      <c r="P206" s="507"/>
      <c r="Q206" s="507"/>
      <c r="R206" s="510"/>
      <c r="S206" s="510"/>
      <c r="T206" s="510"/>
      <c r="U206" s="510"/>
      <c r="V206" s="513"/>
      <c r="W206" s="510"/>
      <c r="X206" s="507"/>
      <c r="Y206" s="507"/>
      <c r="Z206" s="507"/>
      <c r="AA206" s="507"/>
      <c r="AB206" s="510"/>
    </row>
    <row r="207" ht="18.0" customHeight="1">
      <c r="A207" s="507"/>
      <c r="B207" s="508"/>
      <c r="C207" s="508"/>
      <c r="D207" s="508"/>
      <c r="E207" s="508"/>
      <c r="F207" s="515"/>
      <c r="G207" s="515"/>
      <c r="H207" s="508"/>
      <c r="I207" s="521"/>
      <c r="J207" s="521"/>
      <c r="K207" s="510"/>
      <c r="L207" s="510"/>
      <c r="M207" s="510"/>
      <c r="N207" s="510"/>
      <c r="O207" s="507"/>
      <c r="P207" s="507"/>
      <c r="Q207" s="507"/>
      <c r="R207" s="510"/>
      <c r="S207" s="510"/>
      <c r="T207" s="510"/>
      <c r="U207" s="510"/>
      <c r="V207" s="513"/>
      <c r="W207" s="510"/>
      <c r="X207" s="507"/>
      <c r="Y207" s="507"/>
      <c r="Z207" s="507"/>
      <c r="AA207" s="507"/>
      <c r="AB207" s="510"/>
    </row>
    <row r="208" ht="18.0" customHeight="1">
      <c r="A208" s="507"/>
      <c r="B208" s="508"/>
      <c r="C208" s="508"/>
      <c r="D208" s="508"/>
      <c r="E208" s="508"/>
      <c r="F208" s="515"/>
      <c r="G208" s="515"/>
      <c r="H208" s="508"/>
      <c r="I208" s="521"/>
      <c r="J208" s="521"/>
      <c r="K208" s="510"/>
      <c r="L208" s="510"/>
      <c r="M208" s="510"/>
      <c r="N208" s="510"/>
      <c r="O208" s="507"/>
      <c r="P208" s="507"/>
      <c r="Q208" s="507"/>
      <c r="R208" s="510"/>
      <c r="S208" s="510"/>
      <c r="T208" s="510"/>
      <c r="U208" s="510"/>
      <c r="V208" s="513"/>
      <c r="W208" s="510"/>
      <c r="X208" s="507"/>
      <c r="Y208" s="507"/>
      <c r="Z208" s="507"/>
      <c r="AA208" s="507"/>
      <c r="AB208" s="510"/>
    </row>
    <row r="209" ht="18.0" customHeight="1">
      <c r="A209" s="507"/>
      <c r="B209" s="508"/>
      <c r="C209" s="508"/>
      <c r="D209" s="508"/>
      <c r="E209" s="508"/>
      <c r="F209" s="515"/>
      <c r="G209" s="515"/>
      <c r="H209" s="508"/>
      <c r="I209" s="521"/>
      <c r="J209" s="521"/>
      <c r="K209" s="510"/>
      <c r="L209" s="510"/>
      <c r="M209" s="510"/>
      <c r="N209" s="510"/>
      <c r="O209" s="507"/>
      <c r="P209" s="507"/>
      <c r="Q209" s="507"/>
      <c r="R209" s="510"/>
      <c r="S209" s="510"/>
      <c r="T209" s="510"/>
      <c r="U209" s="510"/>
      <c r="V209" s="513"/>
      <c r="W209" s="510"/>
      <c r="X209" s="507"/>
      <c r="Y209" s="507"/>
      <c r="Z209" s="507"/>
      <c r="AA209" s="507"/>
      <c r="AB209" s="510"/>
    </row>
    <row r="210" ht="18.0" customHeight="1">
      <c r="A210" s="507"/>
      <c r="B210" s="508"/>
      <c r="C210" s="508"/>
      <c r="D210" s="508"/>
      <c r="E210" s="508"/>
      <c r="F210" s="515"/>
      <c r="G210" s="515"/>
      <c r="H210" s="508"/>
      <c r="I210" s="521"/>
      <c r="J210" s="521"/>
      <c r="K210" s="510"/>
      <c r="L210" s="510"/>
      <c r="M210" s="510"/>
      <c r="N210" s="510"/>
      <c r="O210" s="507"/>
      <c r="P210" s="507"/>
      <c r="Q210" s="507"/>
      <c r="R210" s="510"/>
      <c r="S210" s="510"/>
      <c r="T210" s="510"/>
      <c r="U210" s="510"/>
      <c r="V210" s="513"/>
      <c r="W210" s="510"/>
      <c r="X210" s="507"/>
      <c r="Y210" s="507"/>
      <c r="Z210" s="507"/>
      <c r="AA210" s="507"/>
      <c r="AB210" s="510"/>
    </row>
    <row r="211" ht="18.0" customHeight="1">
      <c r="A211" s="507"/>
      <c r="B211" s="508"/>
      <c r="C211" s="508"/>
      <c r="D211" s="508"/>
      <c r="E211" s="508"/>
      <c r="F211" s="515"/>
      <c r="G211" s="515"/>
      <c r="H211" s="508"/>
      <c r="I211" s="521"/>
      <c r="J211" s="521"/>
      <c r="K211" s="510"/>
      <c r="L211" s="510"/>
      <c r="M211" s="510"/>
      <c r="N211" s="510"/>
      <c r="O211" s="507"/>
      <c r="P211" s="507"/>
      <c r="Q211" s="507"/>
      <c r="R211" s="510"/>
      <c r="S211" s="510"/>
      <c r="T211" s="510"/>
      <c r="U211" s="510"/>
      <c r="V211" s="513"/>
      <c r="W211" s="510"/>
      <c r="X211" s="507"/>
      <c r="Y211" s="507"/>
      <c r="Z211" s="507"/>
      <c r="AA211" s="507"/>
      <c r="AB211" s="510"/>
    </row>
    <row r="212" ht="18.0" customHeight="1">
      <c r="A212" s="507"/>
      <c r="B212" s="508"/>
      <c r="C212" s="508"/>
      <c r="D212" s="508"/>
      <c r="E212" s="508"/>
      <c r="F212" s="515"/>
      <c r="G212" s="515"/>
      <c r="H212" s="508"/>
      <c r="I212" s="521"/>
      <c r="J212" s="521"/>
      <c r="K212" s="510"/>
      <c r="L212" s="510"/>
      <c r="M212" s="510"/>
      <c r="N212" s="510"/>
      <c r="O212" s="507"/>
      <c r="P212" s="507"/>
      <c r="Q212" s="507"/>
      <c r="R212" s="510"/>
      <c r="S212" s="510"/>
      <c r="T212" s="510"/>
      <c r="U212" s="510"/>
      <c r="V212" s="513"/>
      <c r="W212" s="510"/>
      <c r="X212" s="507"/>
      <c r="Y212" s="507"/>
      <c r="Z212" s="507"/>
      <c r="AA212" s="507"/>
      <c r="AB212" s="510"/>
    </row>
    <row r="213" ht="18.0" customHeight="1">
      <c r="A213" s="507"/>
      <c r="B213" s="508"/>
      <c r="C213" s="508"/>
      <c r="D213" s="508"/>
      <c r="E213" s="508"/>
      <c r="F213" s="515"/>
      <c r="G213" s="515"/>
      <c r="H213" s="508"/>
      <c r="I213" s="521"/>
      <c r="J213" s="521"/>
      <c r="K213" s="510"/>
      <c r="L213" s="510"/>
      <c r="M213" s="510"/>
      <c r="N213" s="510"/>
      <c r="O213" s="507"/>
      <c r="P213" s="507"/>
      <c r="Q213" s="507"/>
      <c r="R213" s="510"/>
      <c r="S213" s="510"/>
      <c r="T213" s="510"/>
      <c r="U213" s="510"/>
      <c r="V213" s="513"/>
      <c r="W213" s="510"/>
      <c r="X213" s="507"/>
      <c r="Y213" s="507"/>
      <c r="Z213" s="507"/>
      <c r="AA213" s="507"/>
      <c r="AB213" s="510"/>
    </row>
    <row r="214" ht="18.0" customHeight="1">
      <c r="A214" s="507"/>
      <c r="B214" s="508"/>
      <c r="C214" s="508"/>
      <c r="D214" s="508"/>
      <c r="E214" s="508"/>
      <c r="F214" s="515"/>
      <c r="G214" s="515"/>
      <c r="H214" s="508"/>
      <c r="I214" s="521"/>
      <c r="J214" s="521"/>
      <c r="K214" s="510"/>
      <c r="L214" s="510"/>
      <c r="M214" s="510"/>
      <c r="N214" s="510"/>
      <c r="O214" s="507"/>
      <c r="P214" s="507"/>
      <c r="Q214" s="507"/>
      <c r="R214" s="510"/>
      <c r="S214" s="510"/>
      <c r="T214" s="510"/>
      <c r="U214" s="510"/>
      <c r="V214" s="513"/>
      <c r="W214" s="510"/>
      <c r="X214" s="507"/>
      <c r="Y214" s="507"/>
      <c r="Z214" s="507"/>
      <c r="AA214" s="507"/>
      <c r="AB214" s="510"/>
    </row>
    <row r="215" ht="18.0" customHeight="1">
      <c r="A215" s="507"/>
      <c r="B215" s="508"/>
      <c r="C215" s="508"/>
      <c r="D215" s="508"/>
      <c r="E215" s="508"/>
      <c r="F215" s="515"/>
      <c r="G215" s="515"/>
      <c r="H215" s="508"/>
      <c r="I215" s="521"/>
      <c r="J215" s="521"/>
      <c r="K215" s="510"/>
      <c r="L215" s="510"/>
      <c r="M215" s="510"/>
      <c r="N215" s="510"/>
      <c r="O215" s="507"/>
      <c r="P215" s="507"/>
      <c r="Q215" s="507"/>
      <c r="R215" s="510"/>
      <c r="S215" s="510"/>
      <c r="T215" s="510"/>
      <c r="U215" s="510"/>
      <c r="V215" s="513"/>
      <c r="W215" s="510"/>
      <c r="X215" s="507"/>
      <c r="Y215" s="507"/>
      <c r="Z215" s="507"/>
      <c r="AA215" s="507"/>
      <c r="AB215" s="510"/>
    </row>
    <row r="216" ht="18.0" customHeight="1">
      <c r="A216" s="507"/>
      <c r="B216" s="508"/>
      <c r="C216" s="508"/>
      <c r="D216" s="508"/>
      <c r="E216" s="508"/>
      <c r="F216" s="515"/>
      <c r="G216" s="515"/>
      <c r="H216" s="508"/>
      <c r="I216" s="521"/>
      <c r="J216" s="521"/>
      <c r="K216" s="510"/>
      <c r="L216" s="510"/>
      <c r="M216" s="510"/>
      <c r="N216" s="510"/>
      <c r="O216" s="507"/>
      <c r="P216" s="507"/>
      <c r="Q216" s="507"/>
      <c r="R216" s="510"/>
      <c r="S216" s="510"/>
      <c r="T216" s="510"/>
      <c r="U216" s="510"/>
      <c r="V216" s="513"/>
      <c r="W216" s="510"/>
      <c r="X216" s="507"/>
      <c r="Y216" s="507"/>
      <c r="Z216" s="507"/>
      <c r="AA216" s="507"/>
      <c r="AB216" s="510"/>
    </row>
    <row r="217" ht="18.0" customHeight="1">
      <c r="A217" s="507"/>
      <c r="B217" s="508"/>
      <c r="C217" s="508"/>
      <c r="D217" s="508"/>
      <c r="E217" s="508"/>
      <c r="F217" s="515"/>
      <c r="G217" s="515"/>
      <c r="H217" s="508"/>
      <c r="I217" s="521"/>
      <c r="J217" s="521"/>
      <c r="K217" s="510"/>
      <c r="L217" s="510"/>
      <c r="M217" s="510"/>
      <c r="N217" s="510"/>
      <c r="O217" s="507"/>
      <c r="P217" s="507"/>
      <c r="Q217" s="507"/>
      <c r="R217" s="510"/>
      <c r="S217" s="510"/>
      <c r="T217" s="510"/>
      <c r="U217" s="510"/>
      <c r="V217" s="513"/>
      <c r="W217" s="510"/>
      <c r="X217" s="507"/>
      <c r="Y217" s="507"/>
      <c r="Z217" s="507"/>
      <c r="AA217" s="507"/>
      <c r="AB217" s="510"/>
    </row>
    <row r="218" ht="18.0" customHeight="1">
      <c r="A218" s="507"/>
      <c r="B218" s="508"/>
      <c r="C218" s="508"/>
      <c r="D218" s="508"/>
      <c r="E218" s="508"/>
      <c r="F218" s="515"/>
      <c r="G218" s="515"/>
      <c r="H218" s="508"/>
      <c r="I218" s="521"/>
      <c r="J218" s="521"/>
      <c r="K218" s="510"/>
      <c r="L218" s="510"/>
      <c r="M218" s="510"/>
      <c r="N218" s="510"/>
      <c r="O218" s="507"/>
      <c r="P218" s="507"/>
      <c r="Q218" s="507"/>
      <c r="R218" s="510"/>
      <c r="S218" s="510"/>
      <c r="T218" s="510"/>
      <c r="U218" s="510"/>
      <c r="V218" s="513"/>
      <c r="W218" s="510"/>
      <c r="X218" s="507"/>
      <c r="Y218" s="507"/>
      <c r="Z218" s="507"/>
      <c r="AA218" s="507"/>
      <c r="AB218" s="510"/>
    </row>
    <row r="219" ht="18.0" customHeight="1">
      <c r="A219" s="507"/>
      <c r="B219" s="508"/>
      <c r="C219" s="508"/>
      <c r="D219" s="508"/>
      <c r="E219" s="508"/>
      <c r="F219" s="515"/>
      <c r="G219" s="515"/>
      <c r="H219" s="508"/>
      <c r="I219" s="521"/>
      <c r="J219" s="521"/>
      <c r="K219" s="510"/>
      <c r="L219" s="510"/>
      <c r="M219" s="510"/>
      <c r="N219" s="510"/>
      <c r="O219" s="507"/>
      <c r="P219" s="507"/>
      <c r="Q219" s="507"/>
      <c r="R219" s="510"/>
      <c r="S219" s="510"/>
      <c r="T219" s="510"/>
      <c r="U219" s="510"/>
      <c r="V219" s="513"/>
      <c r="W219" s="510"/>
      <c r="X219" s="507"/>
      <c r="Y219" s="507"/>
      <c r="Z219" s="507"/>
      <c r="AA219" s="507"/>
      <c r="AB219" s="510"/>
    </row>
    <row r="220" ht="18.0" customHeight="1">
      <c r="A220" s="507"/>
      <c r="B220" s="508"/>
      <c r="C220" s="508"/>
      <c r="D220" s="508"/>
      <c r="E220" s="508"/>
      <c r="F220" s="515"/>
      <c r="G220" s="515"/>
      <c r="H220" s="508"/>
      <c r="I220" s="521"/>
      <c r="J220" s="521"/>
      <c r="K220" s="510"/>
      <c r="L220" s="510"/>
      <c r="M220" s="510"/>
      <c r="N220" s="510"/>
      <c r="O220" s="507"/>
      <c r="P220" s="507"/>
      <c r="Q220" s="507"/>
      <c r="R220" s="510"/>
      <c r="S220" s="510"/>
      <c r="T220" s="510"/>
      <c r="U220" s="510"/>
      <c r="V220" s="513"/>
      <c r="W220" s="510"/>
      <c r="X220" s="507"/>
      <c r="Y220" s="507"/>
      <c r="Z220" s="507"/>
      <c r="AA220" s="507"/>
      <c r="AB220" s="510"/>
    </row>
    <row r="221" ht="18.0" customHeight="1">
      <c r="A221" s="507"/>
      <c r="B221" s="508"/>
      <c r="C221" s="508"/>
      <c r="D221" s="508"/>
      <c r="E221" s="508"/>
      <c r="F221" s="515"/>
      <c r="G221" s="515"/>
      <c r="H221" s="508"/>
      <c r="I221" s="521"/>
      <c r="J221" s="521"/>
      <c r="K221" s="510"/>
      <c r="L221" s="510"/>
      <c r="M221" s="510"/>
      <c r="N221" s="510"/>
      <c r="O221" s="507"/>
      <c r="P221" s="507"/>
      <c r="Q221" s="507"/>
      <c r="R221" s="510"/>
      <c r="S221" s="510"/>
      <c r="T221" s="510"/>
      <c r="U221" s="510"/>
      <c r="V221" s="513"/>
      <c r="W221" s="510"/>
      <c r="X221" s="507"/>
      <c r="Y221" s="507"/>
      <c r="Z221" s="507"/>
      <c r="AA221" s="507"/>
      <c r="AB221" s="510"/>
    </row>
    <row r="222" ht="18.0" customHeight="1">
      <c r="A222" s="507"/>
      <c r="B222" s="508"/>
      <c r="C222" s="508"/>
      <c r="D222" s="508"/>
      <c r="E222" s="508"/>
      <c r="F222" s="515"/>
      <c r="G222" s="515"/>
      <c r="H222" s="508"/>
      <c r="I222" s="521"/>
      <c r="J222" s="521"/>
      <c r="K222" s="510"/>
      <c r="L222" s="510"/>
      <c r="M222" s="510"/>
      <c r="N222" s="510"/>
      <c r="O222" s="507"/>
      <c r="P222" s="507"/>
      <c r="Q222" s="507"/>
      <c r="R222" s="510"/>
      <c r="S222" s="510"/>
      <c r="T222" s="510"/>
      <c r="U222" s="510"/>
      <c r="V222" s="513"/>
      <c r="W222" s="510"/>
      <c r="X222" s="507"/>
      <c r="Y222" s="507"/>
      <c r="Z222" s="507"/>
      <c r="AA222" s="507"/>
      <c r="AB222" s="510"/>
    </row>
    <row r="223" ht="18.0" customHeight="1">
      <c r="A223" s="507"/>
      <c r="B223" s="508"/>
      <c r="C223" s="508"/>
      <c r="D223" s="508"/>
      <c r="E223" s="508"/>
      <c r="F223" s="515"/>
      <c r="G223" s="515"/>
      <c r="H223" s="508"/>
      <c r="I223" s="521"/>
      <c r="J223" s="521"/>
      <c r="K223" s="510"/>
      <c r="L223" s="510"/>
      <c r="M223" s="510"/>
      <c r="N223" s="510"/>
      <c r="O223" s="507"/>
      <c r="P223" s="507"/>
      <c r="Q223" s="507"/>
      <c r="R223" s="510"/>
      <c r="S223" s="510"/>
      <c r="T223" s="510"/>
      <c r="U223" s="510"/>
      <c r="V223" s="513"/>
      <c r="W223" s="510"/>
      <c r="X223" s="507"/>
      <c r="Y223" s="507"/>
      <c r="Z223" s="507"/>
      <c r="AA223" s="507"/>
      <c r="AB223" s="510"/>
    </row>
    <row r="224" ht="18.0" customHeight="1">
      <c r="A224" s="507"/>
      <c r="B224" s="508"/>
      <c r="C224" s="508"/>
      <c r="D224" s="508"/>
      <c r="E224" s="508"/>
      <c r="F224" s="515"/>
      <c r="G224" s="515"/>
      <c r="H224" s="508"/>
      <c r="I224" s="521"/>
      <c r="J224" s="521"/>
      <c r="K224" s="510"/>
      <c r="L224" s="510"/>
      <c r="M224" s="510"/>
      <c r="N224" s="510"/>
      <c r="O224" s="507"/>
      <c r="P224" s="507"/>
      <c r="Q224" s="507"/>
      <c r="R224" s="510"/>
      <c r="S224" s="510"/>
      <c r="T224" s="510"/>
      <c r="U224" s="510"/>
      <c r="V224" s="513"/>
      <c r="W224" s="510"/>
      <c r="X224" s="507"/>
      <c r="Y224" s="507"/>
      <c r="Z224" s="507"/>
      <c r="AA224" s="507"/>
      <c r="AB224" s="510"/>
    </row>
    <row r="225" ht="18.0" customHeight="1">
      <c r="A225" s="507"/>
      <c r="B225" s="508"/>
      <c r="C225" s="508"/>
      <c r="D225" s="508"/>
      <c r="E225" s="508"/>
      <c r="F225" s="515"/>
      <c r="G225" s="515"/>
      <c r="H225" s="508"/>
      <c r="I225" s="521"/>
      <c r="J225" s="521"/>
      <c r="K225" s="510"/>
      <c r="L225" s="510"/>
      <c r="M225" s="510"/>
      <c r="N225" s="510"/>
      <c r="O225" s="507"/>
      <c r="P225" s="507"/>
      <c r="Q225" s="507"/>
      <c r="R225" s="510"/>
      <c r="S225" s="510"/>
      <c r="T225" s="510"/>
      <c r="U225" s="510"/>
      <c r="V225" s="513"/>
      <c r="W225" s="510"/>
      <c r="X225" s="507"/>
      <c r="Y225" s="507"/>
      <c r="Z225" s="507"/>
      <c r="AA225" s="507"/>
      <c r="AB225" s="510"/>
    </row>
    <row r="226" ht="18.0" customHeight="1">
      <c r="A226" s="507"/>
      <c r="B226" s="508"/>
      <c r="C226" s="508"/>
      <c r="D226" s="508"/>
      <c r="E226" s="508"/>
      <c r="F226" s="515"/>
      <c r="G226" s="515"/>
      <c r="H226" s="508"/>
      <c r="I226" s="521"/>
      <c r="J226" s="521"/>
      <c r="K226" s="510"/>
      <c r="L226" s="510"/>
      <c r="M226" s="510"/>
      <c r="N226" s="510"/>
      <c r="O226" s="507"/>
      <c r="P226" s="507"/>
      <c r="Q226" s="507"/>
      <c r="R226" s="510"/>
      <c r="S226" s="510"/>
      <c r="T226" s="510"/>
      <c r="U226" s="510"/>
      <c r="V226" s="513"/>
      <c r="W226" s="510"/>
      <c r="X226" s="507"/>
      <c r="Y226" s="507"/>
      <c r="Z226" s="507"/>
      <c r="AA226" s="507"/>
      <c r="AB226" s="510"/>
    </row>
    <row r="227" ht="18.0" customHeight="1">
      <c r="A227" s="507"/>
      <c r="B227" s="508"/>
      <c r="C227" s="508"/>
      <c r="D227" s="508"/>
      <c r="E227" s="508"/>
      <c r="F227" s="515"/>
      <c r="G227" s="515"/>
      <c r="H227" s="508"/>
      <c r="I227" s="521"/>
      <c r="J227" s="521"/>
      <c r="K227" s="510"/>
      <c r="L227" s="510"/>
      <c r="M227" s="510"/>
      <c r="N227" s="510"/>
      <c r="O227" s="507"/>
      <c r="P227" s="507"/>
      <c r="Q227" s="507"/>
      <c r="R227" s="510"/>
      <c r="S227" s="510"/>
      <c r="T227" s="510"/>
      <c r="U227" s="510"/>
      <c r="V227" s="513"/>
      <c r="W227" s="510"/>
      <c r="X227" s="507"/>
      <c r="Y227" s="507"/>
      <c r="Z227" s="507"/>
      <c r="AA227" s="507"/>
      <c r="AB227" s="510"/>
    </row>
    <row r="228" ht="18.0" customHeight="1">
      <c r="A228" s="507"/>
      <c r="B228" s="508"/>
      <c r="C228" s="508"/>
      <c r="D228" s="508"/>
      <c r="E228" s="508"/>
      <c r="F228" s="515"/>
      <c r="G228" s="515"/>
      <c r="H228" s="508"/>
      <c r="I228" s="521"/>
      <c r="J228" s="521"/>
      <c r="K228" s="510"/>
      <c r="L228" s="510"/>
      <c r="M228" s="510"/>
      <c r="N228" s="510"/>
      <c r="O228" s="507"/>
      <c r="P228" s="507"/>
      <c r="Q228" s="507"/>
      <c r="R228" s="510"/>
      <c r="S228" s="510"/>
      <c r="T228" s="510"/>
      <c r="U228" s="510"/>
      <c r="V228" s="513"/>
      <c r="W228" s="510"/>
      <c r="X228" s="507"/>
      <c r="Y228" s="507"/>
      <c r="Z228" s="507"/>
      <c r="AA228" s="507"/>
      <c r="AB228" s="510"/>
    </row>
    <row r="229" ht="18.0" customHeight="1">
      <c r="A229" s="507"/>
      <c r="B229" s="508"/>
      <c r="C229" s="508"/>
      <c r="D229" s="508"/>
      <c r="E229" s="508"/>
      <c r="F229" s="515"/>
      <c r="G229" s="515"/>
      <c r="H229" s="508"/>
      <c r="I229" s="521"/>
      <c r="J229" s="521"/>
      <c r="K229" s="510"/>
      <c r="L229" s="510"/>
      <c r="M229" s="510"/>
      <c r="N229" s="510"/>
      <c r="O229" s="507"/>
      <c r="P229" s="507"/>
      <c r="Q229" s="507"/>
      <c r="R229" s="510"/>
      <c r="S229" s="510"/>
      <c r="T229" s="510"/>
      <c r="U229" s="510"/>
      <c r="V229" s="513"/>
      <c r="W229" s="510"/>
      <c r="X229" s="507"/>
      <c r="Y229" s="507"/>
      <c r="Z229" s="507"/>
      <c r="AA229" s="507"/>
      <c r="AB229" s="510"/>
    </row>
    <row r="230" ht="18.0" customHeight="1">
      <c r="A230" s="507"/>
      <c r="B230" s="508"/>
      <c r="C230" s="508"/>
      <c r="D230" s="508"/>
      <c r="E230" s="508"/>
      <c r="F230" s="515"/>
      <c r="G230" s="515"/>
      <c r="H230" s="508"/>
      <c r="I230" s="521"/>
      <c r="J230" s="521"/>
      <c r="K230" s="510"/>
      <c r="L230" s="510"/>
      <c r="M230" s="510"/>
      <c r="N230" s="510"/>
      <c r="O230" s="507"/>
      <c r="P230" s="507"/>
      <c r="Q230" s="507"/>
      <c r="R230" s="510"/>
      <c r="S230" s="510"/>
      <c r="T230" s="510"/>
      <c r="U230" s="510"/>
      <c r="V230" s="513"/>
      <c r="W230" s="510"/>
      <c r="X230" s="507"/>
      <c r="Y230" s="507"/>
      <c r="Z230" s="507"/>
      <c r="AA230" s="507"/>
      <c r="AB230" s="510"/>
    </row>
    <row r="231" ht="18.0" customHeight="1">
      <c r="A231" s="507"/>
      <c r="B231" s="508"/>
      <c r="C231" s="508"/>
      <c r="D231" s="508"/>
      <c r="E231" s="508"/>
      <c r="F231" s="515"/>
      <c r="G231" s="515"/>
      <c r="H231" s="508"/>
      <c r="I231" s="521"/>
      <c r="J231" s="521"/>
      <c r="K231" s="510"/>
      <c r="L231" s="510"/>
      <c r="M231" s="510"/>
      <c r="N231" s="510"/>
      <c r="O231" s="507"/>
      <c r="P231" s="507"/>
      <c r="Q231" s="507"/>
      <c r="R231" s="510"/>
      <c r="S231" s="510"/>
      <c r="T231" s="510"/>
      <c r="U231" s="510"/>
      <c r="V231" s="513"/>
      <c r="W231" s="510"/>
      <c r="X231" s="507"/>
      <c r="Y231" s="507"/>
      <c r="Z231" s="507"/>
      <c r="AA231" s="507"/>
      <c r="AB231" s="510"/>
    </row>
    <row r="232" ht="18.0" customHeight="1">
      <c r="A232" s="507"/>
      <c r="B232" s="508"/>
      <c r="C232" s="508"/>
      <c r="D232" s="508"/>
      <c r="E232" s="508"/>
      <c r="F232" s="515"/>
      <c r="G232" s="515"/>
      <c r="H232" s="508"/>
      <c r="I232" s="521"/>
      <c r="J232" s="521"/>
      <c r="K232" s="510"/>
      <c r="L232" s="510"/>
      <c r="M232" s="510"/>
      <c r="N232" s="510"/>
      <c r="O232" s="507"/>
      <c r="P232" s="507"/>
      <c r="Q232" s="507"/>
      <c r="R232" s="510"/>
      <c r="S232" s="510"/>
      <c r="T232" s="510"/>
      <c r="U232" s="510"/>
      <c r="V232" s="513"/>
      <c r="W232" s="510"/>
      <c r="X232" s="507"/>
      <c r="Y232" s="507"/>
      <c r="Z232" s="507"/>
      <c r="AA232" s="507"/>
      <c r="AB232" s="510"/>
    </row>
    <row r="233" ht="18.0" customHeight="1">
      <c r="A233" s="507"/>
      <c r="B233" s="508"/>
      <c r="C233" s="508"/>
      <c r="D233" s="508"/>
      <c r="E233" s="508"/>
      <c r="F233" s="515"/>
      <c r="G233" s="515"/>
      <c r="H233" s="508"/>
      <c r="I233" s="521"/>
      <c r="J233" s="521"/>
      <c r="K233" s="510"/>
      <c r="L233" s="510"/>
      <c r="M233" s="510"/>
      <c r="N233" s="510"/>
      <c r="O233" s="507"/>
      <c r="P233" s="507"/>
      <c r="Q233" s="507"/>
      <c r="R233" s="510"/>
      <c r="S233" s="510"/>
      <c r="T233" s="510"/>
      <c r="U233" s="510"/>
      <c r="V233" s="513"/>
      <c r="W233" s="510"/>
      <c r="X233" s="507"/>
      <c r="Y233" s="507"/>
      <c r="Z233" s="507"/>
      <c r="AA233" s="507"/>
      <c r="AB233" s="510"/>
    </row>
    <row r="234" ht="18.0" customHeight="1">
      <c r="A234" s="507"/>
      <c r="B234" s="508"/>
      <c r="C234" s="508"/>
      <c r="D234" s="508"/>
      <c r="E234" s="508"/>
      <c r="F234" s="515"/>
      <c r="G234" s="515"/>
      <c r="H234" s="508"/>
      <c r="I234" s="521"/>
      <c r="J234" s="521"/>
      <c r="K234" s="510"/>
      <c r="L234" s="510"/>
      <c r="M234" s="510"/>
      <c r="N234" s="510"/>
      <c r="O234" s="507"/>
      <c r="P234" s="507"/>
      <c r="Q234" s="507"/>
      <c r="R234" s="510"/>
      <c r="S234" s="510"/>
      <c r="T234" s="510"/>
      <c r="U234" s="510"/>
      <c r="V234" s="513"/>
      <c r="W234" s="510"/>
      <c r="X234" s="507"/>
      <c r="Y234" s="507"/>
      <c r="Z234" s="507"/>
      <c r="AA234" s="507"/>
      <c r="AB234" s="510"/>
    </row>
    <row r="235" ht="18.0" customHeight="1">
      <c r="A235" s="507"/>
      <c r="B235" s="508"/>
      <c r="C235" s="508"/>
      <c r="D235" s="508"/>
      <c r="E235" s="508"/>
      <c r="F235" s="515"/>
      <c r="G235" s="515"/>
      <c r="H235" s="508"/>
      <c r="I235" s="521"/>
      <c r="J235" s="521"/>
      <c r="K235" s="510"/>
      <c r="L235" s="510"/>
      <c r="M235" s="510"/>
      <c r="N235" s="510"/>
      <c r="O235" s="507"/>
      <c r="P235" s="507"/>
      <c r="Q235" s="507"/>
      <c r="R235" s="510"/>
      <c r="S235" s="510"/>
      <c r="T235" s="510"/>
      <c r="U235" s="510"/>
      <c r="V235" s="513"/>
      <c r="W235" s="510"/>
      <c r="X235" s="507"/>
      <c r="Y235" s="507"/>
      <c r="Z235" s="507"/>
      <c r="AA235" s="507"/>
      <c r="AB235" s="510"/>
    </row>
    <row r="236" ht="18.0" customHeight="1">
      <c r="A236" s="507"/>
      <c r="B236" s="508"/>
      <c r="C236" s="508"/>
      <c r="D236" s="508"/>
      <c r="E236" s="508"/>
      <c r="F236" s="515"/>
      <c r="G236" s="515"/>
      <c r="H236" s="508"/>
      <c r="I236" s="521"/>
      <c r="J236" s="521"/>
      <c r="K236" s="510"/>
      <c r="L236" s="510"/>
      <c r="M236" s="510"/>
      <c r="N236" s="510"/>
      <c r="O236" s="507"/>
      <c r="P236" s="507"/>
      <c r="Q236" s="507"/>
      <c r="R236" s="510"/>
      <c r="S236" s="510"/>
      <c r="T236" s="510"/>
      <c r="U236" s="510"/>
      <c r="V236" s="513"/>
      <c r="W236" s="510"/>
      <c r="X236" s="507"/>
      <c r="Y236" s="507"/>
      <c r="Z236" s="507"/>
      <c r="AA236" s="507"/>
      <c r="AB236" s="510"/>
    </row>
    <row r="237" ht="18.0" customHeight="1">
      <c r="A237" s="507"/>
      <c r="B237" s="508"/>
      <c r="C237" s="508"/>
      <c r="D237" s="508"/>
      <c r="E237" s="508"/>
      <c r="F237" s="515"/>
      <c r="G237" s="515"/>
      <c r="H237" s="508"/>
      <c r="I237" s="521"/>
      <c r="J237" s="521"/>
      <c r="K237" s="510"/>
      <c r="L237" s="510"/>
      <c r="M237" s="510"/>
      <c r="N237" s="510"/>
      <c r="O237" s="507"/>
      <c r="P237" s="507"/>
      <c r="Q237" s="507"/>
      <c r="R237" s="510"/>
      <c r="S237" s="510"/>
      <c r="T237" s="510"/>
      <c r="U237" s="510"/>
      <c r="V237" s="513"/>
      <c r="W237" s="510"/>
      <c r="X237" s="507"/>
      <c r="Y237" s="507"/>
      <c r="Z237" s="507"/>
      <c r="AA237" s="507"/>
      <c r="AB237" s="510"/>
    </row>
    <row r="238" ht="18.0" customHeight="1">
      <c r="A238" s="507"/>
      <c r="B238" s="508"/>
      <c r="C238" s="508"/>
      <c r="D238" s="508"/>
      <c r="E238" s="508"/>
      <c r="F238" s="515"/>
      <c r="G238" s="515"/>
      <c r="H238" s="508"/>
      <c r="I238" s="521"/>
      <c r="J238" s="521"/>
      <c r="K238" s="510"/>
      <c r="L238" s="510"/>
      <c r="M238" s="510"/>
      <c r="N238" s="510"/>
      <c r="O238" s="507"/>
      <c r="P238" s="507"/>
      <c r="Q238" s="507"/>
      <c r="R238" s="510"/>
      <c r="S238" s="510"/>
      <c r="T238" s="510"/>
      <c r="U238" s="510"/>
      <c r="V238" s="513"/>
      <c r="W238" s="510"/>
      <c r="X238" s="507"/>
      <c r="Y238" s="507"/>
      <c r="Z238" s="507"/>
      <c r="AA238" s="507"/>
      <c r="AB238" s="510"/>
    </row>
    <row r="239" ht="18.0" customHeight="1">
      <c r="A239" s="507"/>
      <c r="B239" s="508"/>
      <c r="C239" s="508"/>
      <c r="D239" s="508"/>
      <c r="E239" s="508"/>
      <c r="F239" s="515"/>
      <c r="G239" s="515"/>
      <c r="H239" s="508"/>
      <c r="I239" s="521"/>
      <c r="J239" s="521"/>
      <c r="K239" s="510"/>
      <c r="L239" s="510"/>
      <c r="M239" s="510"/>
      <c r="N239" s="510"/>
      <c r="O239" s="507"/>
      <c r="P239" s="507"/>
      <c r="Q239" s="507"/>
      <c r="R239" s="510"/>
      <c r="S239" s="510"/>
      <c r="T239" s="510"/>
      <c r="U239" s="510"/>
      <c r="V239" s="513"/>
      <c r="W239" s="510"/>
      <c r="X239" s="507"/>
      <c r="Y239" s="507"/>
      <c r="Z239" s="507"/>
      <c r="AA239" s="507"/>
      <c r="AB239" s="510"/>
    </row>
    <row r="240" ht="18.0" customHeight="1">
      <c r="A240" s="507"/>
      <c r="B240" s="508"/>
      <c r="C240" s="508"/>
      <c r="D240" s="508"/>
      <c r="E240" s="508"/>
      <c r="F240" s="515"/>
      <c r="G240" s="515"/>
      <c r="H240" s="508"/>
      <c r="I240" s="521"/>
      <c r="J240" s="521"/>
      <c r="K240" s="510"/>
      <c r="L240" s="510"/>
      <c r="M240" s="510"/>
      <c r="N240" s="510"/>
      <c r="O240" s="507"/>
      <c r="P240" s="507"/>
      <c r="Q240" s="507"/>
      <c r="R240" s="510"/>
      <c r="S240" s="510"/>
      <c r="T240" s="510"/>
      <c r="U240" s="510"/>
      <c r="V240" s="513"/>
      <c r="W240" s="510"/>
      <c r="X240" s="507"/>
      <c r="Y240" s="507"/>
      <c r="Z240" s="507"/>
      <c r="AA240" s="507"/>
      <c r="AB240" s="510"/>
    </row>
    <row r="241" ht="18.0" customHeight="1">
      <c r="A241" s="507"/>
      <c r="B241" s="508"/>
      <c r="C241" s="508"/>
      <c r="D241" s="508"/>
      <c r="E241" s="508"/>
      <c r="F241" s="515"/>
      <c r="G241" s="515"/>
      <c r="H241" s="508"/>
      <c r="I241" s="521"/>
      <c r="J241" s="521"/>
      <c r="K241" s="510"/>
      <c r="L241" s="510"/>
      <c r="M241" s="510"/>
      <c r="N241" s="510"/>
      <c r="O241" s="507"/>
      <c r="P241" s="507"/>
      <c r="Q241" s="507"/>
      <c r="R241" s="510"/>
      <c r="S241" s="510"/>
      <c r="T241" s="510"/>
      <c r="U241" s="510"/>
      <c r="V241" s="513"/>
      <c r="W241" s="510"/>
      <c r="X241" s="507"/>
      <c r="Y241" s="507"/>
      <c r="Z241" s="507"/>
      <c r="AA241" s="507"/>
      <c r="AB241" s="510"/>
    </row>
    <row r="242" ht="18.0" customHeight="1">
      <c r="A242" s="507"/>
      <c r="B242" s="508"/>
      <c r="C242" s="508"/>
      <c r="D242" s="508"/>
      <c r="E242" s="508"/>
      <c r="F242" s="515"/>
      <c r="G242" s="515"/>
      <c r="H242" s="508"/>
      <c r="I242" s="521"/>
      <c r="J242" s="521"/>
      <c r="K242" s="510"/>
      <c r="L242" s="510"/>
      <c r="M242" s="510"/>
      <c r="N242" s="510"/>
      <c r="O242" s="507"/>
      <c r="P242" s="507"/>
      <c r="Q242" s="507"/>
      <c r="R242" s="510"/>
      <c r="S242" s="510"/>
      <c r="T242" s="510"/>
      <c r="U242" s="510"/>
      <c r="V242" s="513"/>
      <c r="W242" s="510"/>
      <c r="X242" s="507"/>
      <c r="Y242" s="507"/>
      <c r="Z242" s="507"/>
      <c r="AA242" s="507"/>
      <c r="AB242" s="510"/>
    </row>
    <row r="243" ht="18.0" customHeight="1">
      <c r="A243" s="507"/>
      <c r="B243" s="508"/>
      <c r="C243" s="508"/>
      <c r="D243" s="508"/>
      <c r="E243" s="508"/>
      <c r="F243" s="515"/>
      <c r="G243" s="515"/>
      <c r="H243" s="508"/>
      <c r="I243" s="521"/>
      <c r="J243" s="521"/>
      <c r="K243" s="510"/>
      <c r="L243" s="510"/>
      <c r="M243" s="510"/>
      <c r="N243" s="510"/>
      <c r="O243" s="507"/>
      <c r="P243" s="507"/>
      <c r="Q243" s="507"/>
      <c r="R243" s="510"/>
      <c r="S243" s="510"/>
      <c r="T243" s="510"/>
      <c r="U243" s="510"/>
      <c r="V243" s="513"/>
      <c r="W243" s="510"/>
      <c r="X243" s="507"/>
      <c r="Y243" s="507"/>
      <c r="Z243" s="507"/>
      <c r="AA243" s="507"/>
      <c r="AB243" s="510"/>
    </row>
    <row r="244" ht="18.0" customHeight="1">
      <c r="A244" s="507"/>
      <c r="B244" s="508"/>
      <c r="C244" s="508"/>
      <c r="D244" s="508"/>
      <c r="E244" s="508"/>
      <c r="F244" s="515"/>
      <c r="G244" s="515"/>
      <c r="H244" s="508"/>
      <c r="I244" s="521"/>
      <c r="J244" s="521"/>
      <c r="K244" s="510"/>
      <c r="L244" s="510"/>
      <c r="M244" s="510"/>
      <c r="N244" s="510"/>
      <c r="O244" s="507"/>
      <c r="P244" s="507"/>
      <c r="Q244" s="507"/>
      <c r="R244" s="510"/>
      <c r="S244" s="510"/>
      <c r="T244" s="510"/>
      <c r="U244" s="510"/>
      <c r="V244" s="513"/>
      <c r="W244" s="510"/>
      <c r="X244" s="507"/>
      <c r="Y244" s="507"/>
      <c r="Z244" s="507"/>
      <c r="AA244" s="507"/>
      <c r="AB244" s="510"/>
    </row>
    <row r="245" ht="18.0" customHeight="1">
      <c r="A245" s="507"/>
      <c r="B245" s="508"/>
      <c r="C245" s="508"/>
      <c r="D245" s="508"/>
      <c r="E245" s="508"/>
      <c r="F245" s="515"/>
      <c r="G245" s="515"/>
      <c r="H245" s="508"/>
      <c r="I245" s="521"/>
      <c r="J245" s="521"/>
      <c r="K245" s="510"/>
      <c r="L245" s="510"/>
      <c r="M245" s="510"/>
      <c r="N245" s="510"/>
      <c r="O245" s="507"/>
      <c r="P245" s="507"/>
      <c r="Q245" s="507"/>
      <c r="R245" s="510"/>
      <c r="S245" s="510"/>
      <c r="T245" s="510"/>
      <c r="U245" s="510"/>
      <c r="V245" s="513"/>
      <c r="W245" s="510"/>
      <c r="X245" s="507"/>
      <c r="Y245" s="507"/>
      <c r="Z245" s="507"/>
      <c r="AA245" s="507"/>
      <c r="AB245" s="510"/>
    </row>
    <row r="246" ht="18.0" customHeight="1">
      <c r="A246" s="507"/>
      <c r="B246" s="508"/>
      <c r="C246" s="508"/>
      <c r="D246" s="508"/>
      <c r="E246" s="508"/>
      <c r="F246" s="515"/>
      <c r="G246" s="515"/>
      <c r="H246" s="508"/>
      <c r="I246" s="521"/>
      <c r="J246" s="521"/>
      <c r="K246" s="510"/>
      <c r="L246" s="510"/>
      <c r="M246" s="510"/>
      <c r="N246" s="510"/>
      <c r="O246" s="507"/>
      <c r="P246" s="507"/>
      <c r="Q246" s="507"/>
      <c r="R246" s="510"/>
      <c r="S246" s="510"/>
      <c r="T246" s="510"/>
      <c r="U246" s="510"/>
      <c r="V246" s="513"/>
      <c r="W246" s="510"/>
      <c r="X246" s="507"/>
      <c r="Y246" s="507"/>
      <c r="Z246" s="507"/>
      <c r="AA246" s="507"/>
      <c r="AB246" s="510"/>
    </row>
    <row r="247" ht="18.0" customHeight="1">
      <c r="A247" s="507"/>
      <c r="B247" s="508"/>
      <c r="C247" s="508"/>
      <c r="D247" s="508"/>
      <c r="E247" s="508"/>
      <c r="F247" s="515"/>
      <c r="G247" s="515"/>
      <c r="H247" s="508"/>
      <c r="I247" s="521"/>
      <c r="J247" s="521"/>
      <c r="K247" s="510"/>
      <c r="L247" s="510"/>
      <c r="M247" s="510"/>
      <c r="N247" s="510"/>
      <c r="O247" s="507"/>
      <c r="P247" s="507"/>
      <c r="Q247" s="507"/>
      <c r="R247" s="510"/>
      <c r="S247" s="510"/>
      <c r="T247" s="510"/>
      <c r="U247" s="510"/>
      <c r="V247" s="513"/>
      <c r="W247" s="510"/>
      <c r="X247" s="507"/>
      <c r="Y247" s="507"/>
      <c r="Z247" s="507"/>
      <c r="AA247" s="507"/>
      <c r="AB247" s="510"/>
    </row>
    <row r="248" ht="18.0" customHeight="1">
      <c r="A248" s="507"/>
      <c r="B248" s="508"/>
      <c r="C248" s="540"/>
      <c r="D248" s="508"/>
      <c r="E248" s="540"/>
      <c r="F248" s="541"/>
      <c r="G248" s="541"/>
      <c r="H248" s="540"/>
      <c r="I248" s="521"/>
      <c r="J248" s="521"/>
      <c r="K248" s="510"/>
      <c r="L248" s="510"/>
      <c r="M248" s="510"/>
      <c r="N248" s="510"/>
      <c r="O248" s="507"/>
      <c r="P248" s="507"/>
      <c r="Q248" s="507"/>
      <c r="R248" s="510"/>
      <c r="S248" s="510"/>
      <c r="T248" s="510"/>
      <c r="U248" s="510"/>
      <c r="V248" s="513"/>
      <c r="W248" s="510"/>
      <c r="X248" s="507"/>
      <c r="Y248" s="507"/>
      <c r="Z248" s="507"/>
      <c r="AA248" s="507"/>
      <c r="AB248" s="510"/>
    </row>
    <row r="249" ht="18.0" customHeight="1">
      <c r="A249" s="507"/>
      <c r="B249" s="540"/>
      <c r="C249" s="540"/>
      <c r="D249" s="540"/>
      <c r="E249" s="540"/>
      <c r="F249" s="541"/>
      <c r="G249" s="541"/>
      <c r="H249" s="540"/>
      <c r="I249" s="521"/>
      <c r="J249" s="521"/>
      <c r="K249" s="510"/>
      <c r="L249" s="510"/>
      <c r="M249" s="510"/>
      <c r="N249" s="510"/>
      <c r="O249" s="507"/>
      <c r="P249" s="507"/>
      <c r="Q249" s="507"/>
      <c r="R249" s="510"/>
      <c r="S249" s="510"/>
      <c r="T249" s="510"/>
      <c r="U249" s="510"/>
      <c r="V249" s="513"/>
      <c r="W249" s="510"/>
      <c r="X249" s="507"/>
      <c r="Y249" s="507"/>
      <c r="Z249" s="507"/>
      <c r="AA249" s="507"/>
      <c r="AB249" s="510"/>
    </row>
    <row r="250" ht="18.0" customHeight="1">
      <c r="A250" s="507"/>
      <c r="B250" s="540"/>
      <c r="C250" s="540"/>
      <c r="D250" s="540"/>
      <c r="E250" s="540"/>
      <c r="F250" s="541"/>
      <c r="G250" s="541"/>
      <c r="H250" s="540"/>
      <c r="I250" s="521"/>
      <c r="J250" s="521"/>
      <c r="K250" s="510"/>
      <c r="L250" s="510"/>
      <c r="M250" s="510"/>
      <c r="N250" s="510"/>
      <c r="O250" s="507"/>
      <c r="P250" s="507"/>
      <c r="Q250" s="507"/>
      <c r="R250" s="510"/>
      <c r="S250" s="510"/>
      <c r="T250" s="510"/>
      <c r="U250" s="510"/>
      <c r="V250" s="513"/>
      <c r="W250" s="510"/>
      <c r="X250" s="507"/>
      <c r="Y250" s="507"/>
      <c r="Z250" s="507"/>
      <c r="AA250" s="507"/>
      <c r="AB250" s="510"/>
    </row>
    <row r="251" ht="18.0" customHeight="1">
      <c r="A251" s="507"/>
      <c r="B251" s="540"/>
      <c r="C251" s="540"/>
      <c r="D251" s="540"/>
      <c r="E251" s="540"/>
      <c r="F251" s="541"/>
      <c r="G251" s="541"/>
      <c r="H251" s="540"/>
      <c r="I251" s="521"/>
      <c r="J251" s="521"/>
      <c r="K251" s="510"/>
      <c r="L251" s="510"/>
      <c r="M251" s="510"/>
      <c r="N251" s="510"/>
      <c r="O251" s="507"/>
      <c r="P251" s="507"/>
      <c r="Q251" s="507"/>
      <c r="R251" s="510"/>
      <c r="S251" s="510"/>
      <c r="T251" s="510"/>
      <c r="U251" s="510"/>
      <c r="V251" s="513"/>
      <c r="W251" s="510"/>
      <c r="X251" s="507"/>
      <c r="Y251" s="507"/>
      <c r="Z251" s="507"/>
      <c r="AA251" s="507"/>
      <c r="AB251" s="510"/>
    </row>
    <row r="252" ht="18.0" customHeight="1">
      <c r="A252" s="507"/>
      <c r="B252" s="540"/>
      <c r="C252" s="540"/>
      <c r="D252" s="540"/>
      <c r="E252" s="540"/>
      <c r="F252" s="541"/>
      <c r="G252" s="541"/>
      <c r="H252" s="540"/>
      <c r="I252" s="521"/>
      <c r="J252" s="521"/>
      <c r="K252" s="510"/>
      <c r="L252" s="510"/>
      <c r="M252" s="510"/>
      <c r="N252" s="510"/>
      <c r="O252" s="507"/>
      <c r="P252" s="507"/>
      <c r="Q252" s="507"/>
      <c r="R252" s="510"/>
      <c r="S252" s="510"/>
      <c r="T252" s="510"/>
      <c r="U252" s="510"/>
      <c r="V252" s="513"/>
      <c r="W252" s="510"/>
      <c r="X252" s="507"/>
      <c r="Y252" s="507"/>
      <c r="Z252" s="507"/>
      <c r="AA252" s="507"/>
      <c r="AB252" s="510"/>
    </row>
    <row r="253" ht="18.0" customHeight="1">
      <c r="A253" s="507"/>
      <c r="B253" s="540"/>
      <c r="C253" s="540"/>
      <c r="D253" s="540"/>
      <c r="E253" s="540"/>
      <c r="F253" s="541"/>
      <c r="G253" s="541"/>
      <c r="H253" s="540"/>
      <c r="I253" s="521"/>
      <c r="J253" s="521"/>
      <c r="K253" s="510"/>
      <c r="L253" s="510"/>
      <c r="M253" s="510"/>
      <c r="N253" s="510"/>
      <c r="O253" s="507"/>
      <c r="P253" s="507"/>
      <c r="Q253" s="507"/>
      <c r="R253" s="510"/>
      <c r="S253" s="510"/>
      <c r="T253" s="510"/>
      <c r="U253" s="510"/>
      <c r="V253" s="513"/>
      <c r="W253" s="510"/>
      <c r="X253" s="507"/>
      <c r="Y253" s="507"/>
      <c r="Z253" s="507"/>
      <c r="AA253" s="507"/>
      <c r="AB253" s="510"/>
    </row>
    <row r="254" ht="18.0" customHeight="1">
      <c r="A254" s="507"/>
      <c r="B254" s="540"/>
      <c r="C254" s="540"/>
      <c r="D254" s="540"/>
      <c r="E254" s="540"/>
      <c r="F254" s="541"/>
      <c r="G254" s="541"/>
      <c r="H254" s="540"/>
      <c r="I254" s="521"/>
      <c r="J254" s="521"/>
      <c r="K254" s="510"/>
      <c r="L254" s="510"/>
      <c r="M254" s="510"/>
      <c r="N254" s="510"/>
      <c r="O254" s="507"/>
      <c r="P254" s="507"/>
      <c r="Q254" s="507"/>
      <c r="R254" s="510"/>
      <c r="S254" s="510"/>
      <c r="T254" s="510"/>
      <c r="U254" s="510"/>
      <c r="V254" s="513"/>
      <c r="W254" s="510"/>
      <c r="X254" s="507"/>
      <c r="Y254" s="507"/>
      <c r="Z254" s="507"/>
      <c r="AA254" s="507"/>
      <c r="AB254" s="510"/>
    </row>
    <row r="255" ht="18.0" customHeight="1">
      <c r="A255" s="507"/>
      <c r="B255" s="540"/>
      <c r="C255" s="540"/>
      <c r="D255" s="540"/>
      <c r="E255" s="540"/>
      <c r="F255" s="541"/>
      <c r="G255" s="541"/>
      <c r="H255" s="540"/>
      <c r="I255" s="521"/>
      <c r="J255" s="521"/>
      <c r="K255" s="510"/>
      <c r="L255" s="510"/>
      <c r="M255" s="510"/>
      <c r="N255" s="510"/>
      <c r="O255" s="507"/>
      <c r="P255" s="507"/>
      <c r="Q255" s="507"/>
      <c r="R255" s="510"/>
      <c r="S255" s="510"/>
      <c r="T255" s="510"/>
      <c r="U255" s="510"/>
      <c r="V255" s="513"/>
      <c r="W255" s="510"/>
      <c r="X255" s="507"/>
      <c r="Y255" s="507"/>
      <c r="Z255" s="507"/>
      <c r="AA255" s="507"/>
      <c r="AB255" s="510"/>
    </row>
    <row r="256" ht="18.0" customHeight="1">
      <c r="A256" s="507"/>
      <c r="B256" s="540"/>
      <c r="C256" s="540"/>
      <c r="D256" s="540"/>
      <c r="E256" s="540"/>
      <c r="F256" s="541"/>
      <c r="G256" s="541"/>
      <c r="H256" s="540"/>
      <c r="I256" s="521"/>
      <c r="J256" s="521"/>
      <c r="K256" s="510"/>
      <c r="L256" s="510"/>
      <c r="M256" s="510"/>
      <c r="N256" s="510"/>
      <c r="O256" s="507"/>
      <c r="P256" s="507"/>
      <c r="Q256" s="507"/>
      <c r="R256" s="510"/>
      <c r="S256" s="510"/>
      <c r="T256" s="510"/>
      <c r="U256" s="510"/>
      <c r="V256" s="513"/>
      <c r="W256" s="510"/>
      <c r="X256" s="507"/>
      <c r="Y256" s="507"/>
      <c r="Z256" s="507"/>
      <c r="AA256" s="507"/>
      <c r="AB256" s="510"/>
    </row>
    <row r="257" ht="18.0" customHeight="1">
      <c r="A257" s="507"/>
      <c r="B257" s="540"/>
      <c r="C257" s="540"/>
      <c r="D257" s="540"/>
      <c r="E257" s="540"/>
      <c r="F257" s="541"/>
      <c r="G257" s="541"/>
      <c r="H257" s="540"/>
      <c r="I257" s="521"/>
      <c r="J257" s="521"/>
      <c r="K257" s="510"/>
      <c r="L257" s="510"/>
      <c r="M257" s="510"/>
      <c r="N257" s="510"/>
      <c r="O257" s="507"/>
      <c r="P257" s="507"/>
      <c r="Q257" s="507"/>
      <c r="R257" s="510"/>
      <c r="S257" s="510"/>
      <c r="T257" s="510"/>
      <c r="U257" s="510"/>
      <c r="V257" s="513"/>
      <c r="W257" s="510"/>
      <c r="X257" s="507"/>
      <c r="Y257" s="507"/>
      <c r="Z257" s="507"/>
      <c r="AA257" s="507"/>
      <c r="AB257" s="510"/>
    </row>
    <row r="258" ht="18.0" customHeight="1">
      <c r="A258" s="507"/>
      <c r="B258" s="540"/>
      <c r="C258" s="540"/>
      <c r="D258" s="540"/>
      <c r="E258" s="540"/>
      <c r="F258" s="541"/>
      <c r="G258" s="541"/>
      <c r="H258" s="540"/>
      <c r="I258" s="521"/>
      <c r="J258" s="521"/>
      <c r="K258" s="510"/>
      <c r="L258" s="510"/>
      <c r="M258" s="510"/>
      <c r="N258" s="510"/>
      <c r="O258" s="507"/>
      <c r="P258" s="507"/>
      <c r="Q258" s="507"/>
      <c r="R258" s="510"/>
      <c r="S258" s="510"/>
      <c r="T258" s="510"/>
      <c r="U258" s="510"/>
      <c r="V258" s="513"/>
      <c r="W258" s="510"/>
      <c r="X258" s="507"/>
      <c r="Y258" s="507"/>
      <c r="Z258" s="507"/>
      <c r="AA258" s="507"/>
      <c r="AB258" s="510"/>
    </row>
    <row r="259" ht="18.0" customHeight="1">
      <c r="A259" s="507"/>
      <c r="B259" s="540"/>
      <c r="C259" s="540"/>
      <c r="D259" s="540"/>
      <c r="E259" s="540"/>
      <c r="F259" s="541"/>
      <c r="G259" s="541"/>
      <c r="H259" s="540"/>
      <c r="I259" s="521"/>
      <c r="J259" s="521"/>
      <c r="K259" s="510"/>
      <c r="L259" s="510"/>
      <c r="M259" s="510"/>
      <c r="N259" s="510"/>
      <c r="O259" s="507"/>
      <c r="P259" s="507"/>
      <c r="Q259" s="507"/>
      <c r="R259" s="510"/>
      <c r="S259" s="510"/>
      <c r="T259" s="510"/>
      <c r="U259" s="510"/>
      <c r="V259" s="513"/>
      <c r="W259" s="510"/>
      <c r="X259" s="507"/>
      <c r="Y259" s="507"/>
      <c r="Z259" s="507"/>
      <c r="AA259" s="507"/>
      <c r="AB259" s="510"/>
    </row>
    <row r="260" ht="18.0" customHeight="1">
      <c r="A260" s="507"/>
      <c r="B260" s="540"/>
      <c r="C260" s="540"/>
      <c r="D260" s="540"/>
      <c r="E260" s="540"/>
      <c r="F260" s="541"/>
      <c r="G260" s="541"/>
      <c r="H260" s="540"/>
      <c r="I260" s="521"/>
      <c r="J260" s="521"/>
      <c r="K260" s="510"/>
      <c r="L260" s="510"/>
      <c r="M260" s="510"/>
      <c r="N260" s="510"/>
      <c r="O260" s="507"/>
      <c r="P260" s="507"/>
      <c r="Q260" s="507"/>
      <c r="R260" s="510"/>
      <c r="S260" s="510"/>
      <c r="T260" s="510"/>
      <c r="U260" s="510"/>
      <c r="V260" s="513"/>
      <c r="W260" s="510"/>
      <c r="X260" s="507"/>
      <c r="Y260" s="507"/>
      <c r="Z260" s="507"/>
      <c r="AA260" s="507"/>
      <c r="AB260" s="510"/>
    </row>
    <row r="261" ht="18.0" customHeight="1">
      <c r="A261" s="507"/>
      <c r="B261" s="540"/>
      <c r="C261" s="540"/>
      <c r="D261" s="540"/>
      <c r="E261" s="540"/>
      <c r="F261" s="541"/>
      <c r="G261" s="541"/>
      <c r="H261" s="540"/>
      <c r="I261" s="521"/>
      <c r="J261" s="521"/>
      <c r="K261" s="510"/>
      <c r="L261" s="510"/>
      <c r="M261" s="510"/>
      <c r="N261" s="510"/>
      <c r="O261" s="507"/>
      <c r="P261" s="507"/>
      <c r="Q261" s="507"/>
      <c r="R261" s="510"/>
      <c r="S261" s="510"/>
      <c r="T261" s="510"/>
      <c r="U261" s="510"/>
      <c r="V261" s="513"/>
      <c r="W261" s="510"/>
      <c r="X261" s="507"/>
      <c r="Y261" s="507"/>
      <c r="Z261" s="507"/>
      <c r="AA261" s="507"/>
      <c r="AB261" s="510"/>
    </row>
    <row r="262" ht="18.0" customHeight="1">
      <c r="A262" s="507"/>
      <c r="B262" s="540"/>
      <c r="C262" s="540"/>
      <c r="D262" s="540"/>
      <c r="E262" s="540"/>
      <c r="F262" s="541"/>
      <c r="G262" s="541"/>
      <c r="H262" s="540"/>
      <c r="I262" s="521"/>
      <c r="J262" s="521"/>
      <c r="K262" s="510"/>
      <c r="L262" s="510"/>
      <c r="M262" s="510"/>
      <c r="N262" s="510"/>
      <c r="O262" s="507"/>
      <c r="P262" s="507"/>
      <c r="Q262" s="507"/>
      <c r="R262" s="510"/>
      <c r="S262" s="510"/>
      <c r="T262" s="510"/>
      <c r="U262" s="510"/>
      <c r="V262" s="513"/>
      <c r="W262" s="510"/>
      <c r="X262" s="507"/>
      <c r="Y262" s="507"/>
      <c r="Z262" s="507"/>
      <c r="AA262" s="507"/>
      <c r="AB262" s="510"/>
    </row>
    <row r="263" ht="18.0" customHeight="1">
      <c r="A263" s="507"/>
      <c r="B263" s="540"/>
      <c r="C263" s="540"/>
      <c r="D263" s="540"/>
      <c r="E263" s="540"/>
      <c r="F263" s="541"/>
      <c r="G263" s="541"/>
      <c r="H263" s="540"/>
      <c r="I263" s="521"/>
      <c r="J263" s="521"/>
      <c r="K263" s="510"/>
      <c r="L263" s="510"/>
      <c r="M263" s="510"/>
      <c r="N263" s="510"/>
      <c r="O263" s="507"/>
      <c r="P263" s="507"/>
      <c r="Q263" s="507"/>
      <c r="R263" s="510"/>
      <c r="S263" s="510"/>
      <c r="T263" s="510"/>
      <c r="U263" s="510"/>
      <c r="V263" s="513"/>
      <c r="W263" s="510"/>
      <c r="X263" s="507"/>
      <c r="Y263" s="507"/>
      <c r="Z263" s="507"/>
      <c r="AA263" s="507"/>
      <c r="AB263" s="510"/>
    </row>
    <row r="264" ht="18.0" customHeight="1">
      <c r="A264" s="507"/>
      <c r="B264" s="540"/>
      <c r="C264" s="540"/>
      <c r="D264" s="540"/>
      <c r="E264" s="540"/>
      <c r="F264" s="541"/>
      <c r="G264" s="541"/>
      <c r="H264" s="540"/>
      <c r="I264" s="521"/>
      <c r="J264" s="521"/>
      <c r="K264" s="510"/>
      <c r="L264" s="510"/>
      <c r="M264" s="510"/>
      <c r="N264" s="510"/>
      <c r="O264" s="507"/>
      <c r="P264" s="507"/>
      <c r="Q264" s="507"/>
      <c r="R264" s="510"/>
      <c r="S264" s="510"/>
      <c r="T264" s="510"/>
      <c r="U264" s="510"/>
      <c r="V264" s="513"/>
      <c r="W264" s="510"/>
      <c r="X264" s="507"/>
      <c r="Y264" s="507"/>
      <c r="Z264" s="507"/>
      <c r="AA264" s="507"/>
      <c r="AB264" s="510"/>
    </row>
    <row r="265" ht="18.0" customHeight="1">
      <c r="A265" s="507"/>
      <c r="B265" s="540"/>
      <c r="C265" s="540"/>
      <c r="D265" s="540"/>
      <c r="E265" s="540"/>
      <c r="F265" s="541"/>
      <c r="G265" s="541"/>
      <c r="H265" s="540"/>
      <c r="I265" s="521"/>
      <c r="J265" s="521"/>
      <c r="K265" s="510"/>
      <c r="L265" s="510"/>
      <c r="M265" s="510"/>
      <c r="N265" s="510"/>
      <c r="O265" s="507"/>
      <c r="P265" s="507"/>
      <c r="Q265" s="507"/>
      <c r="R265" s="510"/>
      <c r="S265" s="510"/>
      <c r="T265" s="510"/>
      <c r="U265" s="510"/>
      <c r="V265" s="513"/>
      <c r="W265" s="510"/>
      <c r="X265" s="507"/>
      <c r="Y265" s="507"/>
      <c r="Z265" s="507"/>
      <c r="AA265" s="507"/>
      <c r="AB265" s="510"/>
    </row>
    <row r="266" ht="18.0" customHeight="1">
      <c r="A266" s="507"/>
      <c r="B266" s="540"/>
      <c r="C266" s="540"/>
      <c r="D266" s="540"/>
      <c r="E266" s="540"/>
      <c r="F266" s="541"/>
      <c r="G266" s="541"/>
      <c r="H266" s="540"/>
      <c r="I266" s="521"/>
      <c r="J266" s="521"/>
      <c r="K266" s="510"/>
      <c r="L266" s="510"/>
      <c r="M266" s="510"/>
      <c r="N266" s="510"/>
      <c r="O266" s="507"/>
      <c r="P266" s="507"/>
      <c r="Q266" s="507"/>
      <c r="R266" s="510"/>
      <c r="S266" s="510"/>
      <c r="T266" s="510"/>
      <c r="U266" s="510"/>
      <c r="V266" s="513"/>
      <c r="W266" s="510"/>
      <c r="X266" s="507"/>
      <c r="Y266" s="507"/>
      <c r="Z266" s="507"/>
      <c r="AA266" s="507"/>
      <c r="AB266" s="510"/>
    </row>
    <row r="267" ht="18.0" customHeight="1">
      <c r="A267" s="507"/>
      <c r="B267" s="542"/>
      <c r="C267" s="542"/>
      <c r="D267" s="542"/>
      <c r="E267" s="542"/>
      <c r="F267" s="543"/>
      <c r="G267" s="543"/>
      <c r="H267" s="542"/>
      <c r="I267" s="544"/>
      <c r="J267" s="544"/>
      <c r="K267" s="510"/>
      <c r="L267" s="510"/>
      <c r="M267" s="510"/>
      <c r="N267" s="510"/>
      <c r="O267" s="507"/>
      <c r="P267" s="507"/>
      <c r="Q267" s="507"/>
      <c r="R267" s="510"/>
      <c r="S267" s="510"/>
      <c r="T267" s="510"/>
      <c r="U267" s="510"/>
      <c r="V267" s="513"/>
      <c r="W267" s="510"/>
      <c r="X267" s="507"/>
      <c r="Y267" s="507"/>
      <c r="Z267" s="507"/>
      <c r="AA267" s="507"/>
      <c r="AB267" s="510"/>
    </row>
    <row r="268" ht="18.0" customHeight="1">
      <c r="A268" s="507"/>
      <c r="B268" s="542"/>
      <c r="C268" s="542"/>
      <c r="D268" s="542"/>
      <c r="E268" s="542"/>
      <c r="F268" s="543"/>
      <c r="G268" s="543"/>
      <c r="H268" s="542"/>
      <c r="I268" s="544"/>
      <c r="J268" s="544"/>
      <c r="K268" s="510"/>
      <c r="L268" s="510"/>
      <c r="M268" s="510"/>
      <c r="N268" s="510"/>
      <c r="O268" s="507"/>
      <c r="P268" s="507"/>
      <c r="Q268" s="507"/>
      <c r="R268" s="510"/>
      <c r="S268" s="510"/>
      <c r="T268" s="510"/>
      <c r="U268" s="510"/>
      <c r="V268" s="510"/>
      <c r="W268" s="510"/>
      <c r="X268" s="507"/>
      <c r="Y268" s="507"/>
      <c r="Z268" s="507"/>
      <c r="AA268" s="507"/>
      <c r="AB268" s="510"/>
    </row>
    <row r="269" ht="18.0" customHeight="1">
      <c r="A269" s="507"/>
      <c r="B269" s="542"/>
      <c r="C269" s="542"/>
      <c r="D269" s="542"/>
      <c r="E269" s="542"/>
      <c r="F269" s="543"/>
      <c r="G269" s="543"/>
      <c r="H269" s="542"/>
      <c r="I269" s="544"/>
      <c r="J269" s="544"/>
      <c r="K269" s="510"/>
      <c r="L269" s="510"/>
      <c r="M269" s="510"/>
      <c r="N269" s="510"/>
      <c r="O269" s="507"/>
      <c r="P269" s="507"/>
      <c r="Q269" s="507"/>
      <c r="R269" s="510"/>
      <c r="S269" s="510"/>
      <c r="T269" s="510"/>
      <c r="U269" s="510"/>
      <c r="V269" s="510"/>
      <c r="W269" s="510"/>
      <c r="X269" s="507"/>
      <c r="Y269" s="507"/>
      <c r="Z269" s="507"/>
      <c r="AA269" s="507"/>
      <c r="AB269" s="510"/>
    </row>
    <row r="270" ht="18.0" customHeight="1">
      <c r="A270" s="507"/>
      <c r="B270" s="542"/>
      <c r="C270" s="542"/>
      <c r="D270" s="542"/>
      <c r="E270" s="542"/>
      <c r="F270" s="543"/>
      <c r="G270" s="543"/>
      <c r="H270" s="542"/>
      <c r="I270" s="544"/>
      <c r="J270" s="544"/>
      <c r="K270" s="510"/>
      <c r="L270" s="510"/>
      <c r="M270" s="510"/>
      <c r="N270" s="510"/>
      <c r="O270" s="507"/>
      <c r="P270" s="507"/>
      <c r="Q270" s="507"/>
      <c r="R270" s="510"/>
      <c r="S270" s="510"/>
      <c r="T270" s="510"/>
      <c r="U270" s="510"/>
      <c r="V270" s="510"/>
      <c r="W270" s="510"/>
      <c r="X270" s="507"/>
      <c r="Y270" s="507"/>
      <c r="Z270" s="507"/>
      <c r="AA270" s="507"/>
      <c r="AB270" s="510"/>
    </row>
    <row r="271" ht="18.0" customHeight="1">
      <c r="A271" s="507"/>
      <c r="B271" s="542"/>
      <c r="C271" s="542"/>
      <c r="D271" s="542"/>
      <c r="E271" s="542"/>
      <c r="F271" s="543"/>
      <c r="G271" s="543"/>
      <c r="H271" s="542"/>
      <c r="I271" s="544"/>
      <c r="J271" s="544"/>
      <c r="K271" s="510"/>
      <c r="L271" s="510"/>
      <c r="M271" s="510"/>
      <c r="N271" s="510"/>
      <c r="O271" s="507"/>
      <c r="P271" s="507"/>
      <c r="Q271" s="507"/>
      <c r="R271" s="510"/>
      <c r="S271" s="510"/>
      <c r="T271" s="510"/>
      <c r="U271" s="510"/>
      <c r="V271" s="510"/>
      <c r="W271" s="510"/>
      <c r="X271" s="507"/>
      <c r="Y271" s="507"/>
      <c r="Z271" s="507"/>
      <c r="AA271" s="507"/>
      <c r="AB271" s="510"/>
    </row>
    <row r="272" ht="18.0" customHeight="1">
      <c r="A272" s="507"/>
      <c r="B272" s="545"/>
      <c r="C272" s="545"/>
      <c r="D272" s="545"/>
      <c r="E272" s="545"/>
      <c r="F272" s="546"/>
      <c r="G272" s="546"/>
      <c r="H272" s="545"/>
      <c r="I272" s="547"/>
      <c r="J272" s="547"/>
      <c r="K272" s="510"/>
      <c r="L272" s="510"/>
      <c r="M272" s="510"/>
      <c r="N272" s="510"/>
      <c r="O272" s="507"/>
      <c r="P272" s="507"/>
      <c r="Q272" s="507"/>
      <c r="R272" s="510"/>
      <c r="S272" s="510"/>
      <c r="T272" s="510"/>
      <c r="U272" s="510"/>
      <c r="V272" s="510"/>
      <c r="W272" s="510"/>
      <c r="X272" s="507"/>
      <c r="Y272" s="507"/>
      <c r="Z272" s="507"/>
      <c r="AA272" s="507"/>
      <c r="AB272" s="510"/>
    </row>
    <row r="273" ht="18.0" customHeight="1">
      <c r="A273" s="507"/>
      <c r="B273" s="545"/>
      <c r="C273" s="545"/>
      <c r="D273" s="545"/>
      <c r="E273" s="545"/>
      <c r="F273" s="546"/>
      <c r="G273" s="546"/>
      <c r="H273" s="545"/>
      <c r="I273" s="547"/>
      <c r="J273" s="547"/>
      <c r="K273" s="510"/>
      <c r="L273" s="510"/>
      <c r="M273" s="510"/>
      <c r="N273" s="510"/>
      <c r="O273" s="507"/>
      <c r="P273" s="507"/>
      <c r="Q273" s="507"/>
      <c r="R273" s="510"/>
      <c r="S273" s="510"/>
      <c r="T273" s="510"/>
      <c r="U273" s="510"/>
      <c r="V273" s="510"/>
      <c r="W273" s="510"/>
      <c r="X273" s="507"/>
      <c r="Y273" s="507"/>
      <c r="Z273" s="507"/>
      <c r="AA273" s="507"/>
      <c r="AB273" s="510"/>
    </row>
    <row r="274" ht="18.0" customHeight="1">
      <c r="A274" s="507"/>
      <c r="B274" s="545"/>
      <c r="C274" s="545"/>
      <c r="D274" s="545"/>
      <c r="E274" s="545"/>
      <c r="F274" s="546"/>
      <c r="G274" s="546"/>
      <c r="H274" s="545"/>
      <c r="I274" s="547"/>
      <c r="J274" s="547"/>
      <c r="K274" s="510"/>
      <c r="L274" s="510"/>
      <c r="M274" s="510"/>
      <c r="N274" s="510"/>
      <c r="O274" s="507"/>
      <c r="P274" s="507"/>
      <c r="Q274" s="507"/>
      <c r="R274" s="510"/>
      <c r="S274" s="510"/>
      <c r="T274" s="510"/>
      <c r="U274" s="510"/>
      <c r="V274" s="510"/>
      <c r="W274" s="510"/>
      <c r="X274" s="507"/>
      <c r="Y274" s="507"/>
      <c r="Z274" s="507"/>
      <c r="AA274" s="507"/>
      <c r="AB274" s="510"/>
    </row>
    <row r="275" ht="18.0" customHeight="1">
      <c r="A275" s="507"/>
      <c r="B275" s="545"/>
      <c r="C275" s="545"/>
      <c r="D275" s="545"/>
      <c r="E275" s="545"/>
      <c r="F275" s="546"/>
      <c r="G275" s="546"/>
      <c r="H275" s="545"/>
      <c r="I275" s="547"/>
      <c r="J275" s="547"/>
      <c r="K275" s="510"/>
      <c r="L275" s="510"/>
      <c r="M275" s="510"/>
      <c r="N275" s="510"/>
      <c r="O275" s="507"/>
      <c r="P275" s="507"/>
      <c r="Q275" s="507"/>
      <c r="R275" s="510"/>
      <c r="S275" s="510"/>
      <c r="T275" s="510"/>
      <c r="U275" s="510"/>
      <c r="V275" s="510"/>
      <c r="W275" s="510"/>
      <c r="X275" s="507"/>
      <c r="Y275" s="507"/>
      <c r="Z275" s="507"/>
      <c r="AA275" s="507"/>
      <c r="AB275" s="510"/>
    </row>
    <row r="276" ht="18.0" customHeight="1">
      <c r="A276" s="507"/>
      <c r="B276" s="545"/>
      <c r="C276" s="545"/>
      <c r="D276" s="545"/>
      <c r="E276" s="545"/>
      <c r="F276" s="546"/>
      <c r="G276" s="546"/>
      <c r="H276" s="545"/>
      <c r="I276" s="547"/>
      <c r="J276" s="547"/>
      <c r="K276" s="510"/>
      <c r="L276" s="510"/>
      <c r="M276" s="510"/>
      <c r="N276" s="510"/>
      <c r="O276" s="507"/>
      <c r="P276" s="507"/>
      <c r="Q276" s="507"/>
      <c r="R276" s="510"/>
      <c r="S276" s="510"/>
      <c r="T276" s="510"/>
      <c r="U276" s="510"/>
      <c r="V276" s="510"/>
      <c r="W276" s="510"/>
      <c r="X276" s="507"/>
      <c r="Y276" s="507"/>
      <c r="Z276" s="507"/>
      <c r="AA276" s="507"/>
      <c r="AB276" s="510"/>
    </row>
    <row r="277" ht="18.0" customHeight="1">
      <c r="A277" s="507"/>
      <c r="B277" s="545"/>
      <c r="C277" s="545"/>
      <c r="D277" s="545"/>
      <c r="E277" s="545"/>
      <c r="F277" s="546"/>
      <c r="G277" s="546"/>
      <c r="H277" s="545"/>
      <c r="I277" s="547"/>
      <c r="J277" s="547"/>
      <c r="K277" s="510"/>
      <c r="L277" s="510"/>
      <c r="M277" s="510"/>
      <c r="N277" s="510"/>
      <c r="O277" s="507"/>
      <c r="P277" s="507"/>
      <c r="Q277" s="507"/>
      <c r="R277" s="510"/>
      <c r="S277" s="510"/>
      <c r="T277" s="510"/>
      <c r="U277" s="510"/>
      <c r="V277" s="510"/>
      <c r="W277" s="510"/>
      <c r="X277" s="507"/>
      <c r="Y277" s="507"/>
      <c r="Z277" s="507"/>
      <c r="AA277" s="507"/>
      <c r="AB277" s="510"/>
    </row>
    <row r="278" ht="18.0" customHeight="1">
      <c r="A278" s="507"/>
      <c r="B278" s="545"/>
      <c r="C278" s="545"/>
      <c r="D278" s="545"/>
      <c r="E278" s="545"/>
      <c r="F278" s="546"/>
      <c r="G278" s="546"/>
      <c r="H278" s="545"/>
      <c r="I278" s="547"/>
      <c r="J278" s="547"/>
      <c r="K278" s="510"/>
      <c r="L278" s="510"/>
      <c r="M278" s="510"/>
      <c r="N278" s="510"/>
      <c r="O278" s="507"/>
      <c r="P278" s="507"/>
      <c r="Q278" s="507"/>
      <c r="R278" s="510"/>
      <c r="S278" s="510"/>
      <c r="T278" s="510"/>
      <c r="U278" s="510"/>
      <c r="V278" s="510"/>
      <c r="W278" s="510"/>
      <c r="X278" s="507"/>
      <c r="Y278" s="507"/>
      <c r="Z278" s="507"/>
      <c r="AA278" s="507"/>
      <c r="AB278" s="510"/>
    </row>
    <row r="279" ht="18.0" customHeight="1">
      <c r="A279" s="507"/>
      <c r="B279" s="545"/>
      <c r="C279" s="545"/>
      <c r="D279" s="545"/>
      <c r="E279" s="545"/>
      <c r="F279" s="546"/>
      <c r="G279" s="546"/>
      <c r="H279" s="545"/>
      <c r="I279" s="547"/>
      <c r="J279" s="547"/>
      <c r="K279" s="510"/>
      <c r="L279" s="510"/>
      <c r="M279" s="510"/>
      <c r="N279" s="510"/>
      <c r="O279" s="507"/>
      <c r="P279" s="507"/>
      <c r="Q279" s="507"/>
      <c r="R279" s="510"/>
      <c r="S279" s="510"/>
      <c r="T279" s="510"/>
      <c r="U279" s="510"/>
      <c r="V279" s="510"/>
      <c r="W279" s="510"/>
      <c r="X279" s="507"/>
      <c r="Y279" s="507"/>
      <c r="Z279" s="507"/>
      <c r="AA279" s="507"/>
      <c r="AB279" s="510"/>
    </row>
    <row r="280" ht="18.0" customHeight="1">
      <c r="A280" s="507"/>
      <c r="B280" s="545"/>
      <c r="C280" s="545"/>
      <c r="D280" s="545"/>
      <c r="E280" s="545"/>
      <c r="F280" s="546"/>
      <c r="G280" s="546"/>
      <c r="H280" s="545"/>
      <c r="I280" s="547"/>
      <c r="J280" s="547"/>
      <c r="K280" s="510"/>
      <c r="L280" s="510"/>
      <c r="M280" s="510"/>
      <c r="N280" s="510"/>
      <c r="O280" s="507"/>
      <c r="P280" s="507"/>
      <c r="Q280" s="507"/>
      <c r="R280" s="510"/>
      <c r="S280" s="510"/>
      <c r="T280" s="510"/>
      <c r="U280" s="510"/>
      <c r="V280" s="510"/>
      <c r="W280" s="510"/>
      <c r="X280" s="507"/>
      <c r="Y280" s="507"/>
      <c r="Z280" s="507"/>
      <c r="AA280" s="507"/>
      <c r="AB280" s="510"/>
    </row>
    <row r="281" ht="18.0" customHeight="1">
      <c r="A281" s="507"/>
      <c r="B281" s="545"/>
      <c r="C281" s="545"/>
      <c r="D281" s="545"/>
      <c r="E281" s="545"/>
      <c r="F281" s="546"/>
      <c r="G281" s="546"/>
      <c r="H281" s="545"/>
      <c r="I281" s="547"/>
      <c r="J281" s="547"/>
      <c r="K281" s="510"/>
      <c r="L281" s="510"/>
      <c r="M281" s="510"/>
      <c r="N281" s="510"/>
      <c r="O281" s="507"/>
      <c r="P281" s="507"/>
      <c r="Q281" s="507"/>
      <c r="R281" s="510"/>
      <c r="S281" s="510"/>
      <c r="T281" s="510"/>
      <c r="U281" s="510"/>
      <c r="V281" s="510"/>
      <c r="W281" s="510"/>
      <c r="X281" s="507"/>
      <c r="Y281" s="507"/>
      <c r="Z281" s="507"/>
      <c r="AA281" s="507"/>
      <c r="AB281" s="510"/>
    </row>
    <row r="282" ht="18.0" customHeight="1">
      <c r="A282" s="507"/>
      <c r="B282" s="545"/>
      <c r="C282" s="545"/>
      <c r="D282" s="545"/>
      <c r="E282" s="545"/>
      <c r="F282" s="546"/>
      <c r="G282" s="546"/>
      <c r="H282" s="545"/>
      <c r="I282" s="547"/>
      <c r="J282" s="547"/>
      <c r="K282" s="510"/>
      <c r="L282" s="510"/>
      <c r="M282" s="510"/>
      <c r="N282" s="510"/>
      <c r="O282" s="507"/>
      <c r="P282" s="507"/>
      <c r="Q282" s="507"/>
      <c r="R282" s="510"/>
      <c r="S282" s="510"/>
      <c r="T282" s="510"/>
      <c r="U282" s="510"/>
      <c r="V282" s="510"/>
      <c r="W282" s="510"/>
      <c r="X282" s="507"/>
      <c r="Y282" s="507"/>
      <c r="Z282" s="507"/>
      <c r="AA282" s="507"/>
      <c r="AB282" s="510"/>
    </row>
    <row r="283" ht="18.0" customHeight="1">
      <c r="A283" s="507"/>
      <c r="B283" s="545"/>
      <c r="C283" s="545"/>
      <c r="D283" s="545"/>
      <c r="E283" s="545"/>
      <c r="F283" s="546"/>
      <c r="G283" s="546"/>
      <c r="H283" s="545"/>
      <c r="I283" s="547"/>
      <c r="J283" s="547"/>
      <c r="K283" s="510"/>
      <c r="L283" s="510"/>
      <c r="M283" s="510"/>
      <c r="N283" s="510"/>
      <c r="O283" s="507"/>
      <c r="P283" s="507"/>
      <c r="Q283" s="507"/>
      <c r="R283" s="510"/>
      <c r="S283" s="510"/>
      <c r="T283" s="510"/>
      <c r="U283" s="510"/>
      <c r="V283" s="510"/>
      <c r="W283" s="510"/>
      <c r="X283" s="507"/>
      <c r="Y283" s="507"/>
      <c r="Z283" s="507"/>
      <c r="AA283" s="507"/>
      <c r="AB283" s="510"/>
    </row>
    <row r="284" ht="18.0" customHeight="1">
      <c r="A284" s="507"/>
      <c r="B284" s="545"/>
      <c r="C284" s="545"/>
      <c r="D284" s="545"/>
      <c r="E284" s="545"/>
      <c r="F284" s="546"/>
      <c r="G284" s="546"/>
      <c r="H284" s="545"/>
      <c r="I284" s="547"/>
      <c r="J284" s="547"/>
      <c r="K284" s="510"/>
      <c r="L284" s="510"/>
      <c r="M284" s="510"/>
      <c r="N284" s="510"/>
      <c r="O284" s="507"/>
      <c r="P284" s="507"/>
      <c r="Q284" s="507"/>
      <c r="R284" s="510"/>
      <c r="S284" s="510"/>
      <c r="T284" s="510"/>
      <c r="U284" s="510"/>
      <c r="V284" s="510"/>
      <c r="W284" s="510"/>
      <c r="X284" s="507"/>
      <c r="Y284" s="507"/>
      <c r="Z284" s="507"/>
      <c r="AA284" s="507"/>
      <c r="AB284" s="510"/>
    </row>
    <row r="285" ht="18.0" customHeight="1">
      <c r="A285" s="507"/>
      <c r="B285" s="545"/>
      <c r="C285" s="545"/>
      <c r="D285" s="545"/>
      <c r="E285" s="545"/>
      <c r="F285" s="546"/>
      <c r="G285" s="546"/>
      <c r="H285" s="545"/>
      <c r="I285" s="547"/>
      <c r="J285" s="547"/>
      <c r="K285" s="510"/>
      <c r="L285" s="510"/>
      <c r="M285" s="510"/>
      <c r="N285" s="510"/>
      <c r="O285" s="507"/>
      <c r="P285" s="507"/>
      <c r="Q285" s="507"/>
      <c r="R285" s="510"/>
      <c r="S285" s="510"/>
      <c r="T285" s="510"/>
      <c r="U285" s="510"/>
      <c r="V285" s="510"/>
      <c r="W285" s="510"/>
      <c r="X285" s="507"/>
      <c r="Y285" s="507"/>
      <c r="Z285" s="507"/>
      <c r="AA285" s="507"/>
      <c r="AB285" s="510"/>
    </row>
    <row r="286" ht="18.0" customHeight="1">
      <c r="A286" s="507"/>
      <c r="B286" s="545"/>
      <c r="C286" s="545"/>
      <c r="D286" s="545"/>
      <c r="E286" s="545"/>
      <c r="F286" s="546"/>
      <c r="G286" s="546"/>
      <c r="H286" s="545"/>
      <c r="I286" s="547"/>
      <c r="J286" s="547"/>
      <c r="K286" s="510"/>
      <c r="L286" s="510"/>
      <c r="M286" s="510"/>
      <c r="N286" s="510"/>
      <c r="O286" s="507"/>
      <c r="P286" s="507"/>
      <c r="Q286" s="507"/>
      <c r="R286" s="510"/>
      <c r="S286" s="510"/>
      <c r="T286" s="510"/>
      <c r="U286" s="510"/>
      <c r="V286" s="510"/>
      <c r="W286" s="510"/>
      <c r="X286" s="507"/>
      <c r="Y286" s="507"/>
      <c r="Z286" s="507"/>
      <c r="AA286" s="507"/>
      <c r="AB286" s="510"/>
    </row>
    <row r="287" ht="18.0" customHeight="1">
      <c r="A287" s="507"/>
      <c r="B287" s="545"/>
      <c r="C287" s="545"/>
      <c r="D287" s="545"/>
      <c r="E287" s="545"/>
      <c r="F287" s="546"/>
      <c r="G287" s="546"/>
      <c r="H287" s="545"/>
      <c r="I287" s="547"/>
      <c r="J287" s="547"/>
      <c r="K287" s="510"/>
      <c r="L287" s="510"/>
      <c r="M287" s="510"/>
      <c r="N287" s="510"/>
      <c r="O287" s="507"/>
      <c r="P287" s="507"/>
      <c r="Q287" s="507"/>
      <c r="R287" s="510"/>
      <c r="S287" s="510"/>
      <c r="T287" s="510"/>
      <c r="U287" s="510"/>
      <c r="V287" s="510"/>
      <c r="W287" s="510"/>
      <c r="X287" s="507"/>
      <c r="Y287" s="507"/>
      <c r="Z287" s="507"/>
      <c r="AA287" s="507"/>
      <c r="AB287" s="510"/>
    </row>
    <row r="288" ht="18.0" customHeight="1">
      <c r="A288" s="507"/>
      <c r="B288" s="545"/>
      <c r="C288" s="545"/>
      <c r="D288" s="545"/>
      <c r="E288" s="545"/>
      <c r="F288" s="546"/>
      <c r="G288" s="546"/>
      <c r="H288" s="545"/>
      <c r="I288" s="547"/>
      <c r="J288" s="547"/>
      <c r="K288" s="510"/>
      <c r="L288" s="510"/>
      <c r="M288" s="510"/>
      <c r="N288" s="510"/>
      <c r="O288" s="507"/>
      <c r="P288" s="507"/>
      <c r="Q288" s="507"/>
      <c r="R288" s="510"/>
      <c r="S288" s="510"/>
      <c r="T288" s="510"/>
      <c r="U288" s="510"/>
      <c r="V288" s="510"/>
      <c r="W288" s="510"/>
      <c r="X288" s="507"/>
      <c r="Y288" s="507"/>
      <c r="Z288" s="507"/>
      <c r="AA288" s="507"/>
      <c r="AB288" s="510"/>
    </row>
    <row r="289" ht="18.0" customHeight="1">
      <c r="A289" s="507"/>
      <c r="B289" s="545"/>
      <c r="C289" s="545"/>
      <c r="D289" s="545"/>
      <c r="E289" s="545"/>
      <c r="F289" s="546"/>
      <c r="G289" s="546"/>
      <c r="H289" s="545"/>
      <c r="I289" s="547"/>
      <c r="J289" s="547"/>
      <c r="K289" s="510"/>
      <c r="L289" s="510"/>
      <c r="M289" s="510"/>
      <c r="N289" s="510"/>
      <c r="O289" s="507"/>
      <c r="P289" s="507"/>
      <c r="Q289" s="507"/>
      <c r="R289" s="510"/>
      <c r="S289" s="510"/>
      <c r="T289" s="510"/>
      <c r="U289" s="510"/>
      <c r="V289" s="510"/>
      <c r="W289" s="510"/>
      <c r="X289" s="507"/>
      <c r="Y289" s="507"/>
      <c r="Z289" s="507"/>
      <c r="AA289" s="507"/>
      <c r="AB289" s="510"/>
    </row>
    <row r="290" ht="18.0" customHeight="1">
      <c r="A290" s="507"/>
      <c r="B290" s="545"/>
      <c r="C290" s="545"/>
      <c r="D290" s="545"/>
      <c r="E290" s="545"/>
      <c r="F290" s="546"/>
      <c r="G290" s="546"/>
      <c r="H290" s="545"/>
      <c r="I290" s="547"/>
      <c r="J290" s="547"/>
      <c r="K290" s="510"/>
      <c r="L290" s="510"/>
      <c r="M290" s="510"/>
      <c r="N290" s="510"/>
      <c r="O290" s="507"/>
      <c r="P290" s="507"/>
      <c r="Q290" s="507"/>
      <c r="R290" s="510"/>
      <c r="S290" s="510"/>
      <c r="T290" s="510"/>
      <c r="U290" s="510"/>
      <c r="V290" s="510"/>
      <c r="W290" s="510"/>
      <c r="X290" s="507"/>
      <c r="Y290" s="507"/>
      <c r="Z290" s="507"/>
      <c r="AA290" s="507"/>
      <c r="AB290" s="510"/>
    </row>
    <row r="291" ht="18.0" customHeight="1">
      <c r="A291" s="507"/>
      <c r="B291" s="545"/>
      <c r="C291" s="545"/>
      <c r="D291" s="545"/>
      <c r="E291" s="545"/>
      <c r="F291" s="546"/>
      <c r="G291" s="546"/>
      <c r="H291" s="545"/>
      <c r="I291" s="547"/>
      <c r="J291" s="547"/>
      <c r="K291" s="510"/>
      <c r="L291" s="510"/>
      <c r="M291" s="510"/>
      <c r="N291" s="510"/>
      <c r="O291" s="507"/>
      <c r="P291" s="507"/>
      <c r="Q291" s="507"/>
      <c r="R291" s="510"/>
      <c r="S291" s="510"/>
      <c r="T291" s="510"/>
      <c r="U291" s="510"/>
      <c r="V291" s="510"/>
      <c r="W291" s="510"/>
      <c r="X291" s="507"/>
      <c r="Y291" s="507"/>
      <c r="Z291" s="507"/>
      <c r="AA291" s="507"/>
      <c r="AB291" s="510"/>
    </row>
    <row r="292" ht="18.0" customHeight="1">
      <c r="A292" s="507"/>
      <c r="B292" s="545"/>
      <c r="C292" s="545"/>
      <c r="D292" s="545"/>
      <c r="E292" s="545"/>
      <c r="F292" s="546"/>
      <c r="G292" s="546"/>
      <c r="H292" s="545"/>
      <c r="I292" s="547"/>
      <c r="J292" s="547"/>
      <c r="K292" s="510"/>
      <c r="L292" s="510"/>
      <c r="M292" s="510"/>
      <c r="N292" s="510"/>
      <c r="O292" s="507"/>
      <c r="P292" s="507"/>
      <c r="Q292" s="507"/>
      <c r="R292" s="510"/>
      <c r="S292" s="510"/>
      <c r="T292" s="510"/>
      <c r="U292" s="510"/>
      <c r="V292" s="510"/>
      <c r="W292" s="510"/>
      <c r="X292" s="507"/>
      <c r="Y292" s="507"/>
      <c r="Z292" s="507"/>
      <c r="AA292" s="507"/>
      <c r="AB292" s="510"/>
    </row>
    <row r="293" ht="18.0" customHeight="1">
      <c r="A293" s="507"/>
      <c r="B293" s="545"/>
      <c r="C293" s="545"/>
      <c r="D293" s="545"/>
      <c r="E293" s="545"/>
      <c r="F293" s="546"/>
      <c r="G293" s="546"/>
      <c r="H293" s="545"/>
      <c r="I293" s="547"/>
      <c r="J293" s="547"/>
      <c r="K293" s="510"/>
      <c r="L293" s="510"/>
      <c r="M293" s="510"/>
      <c r="N293" s="510"/>
      <c r="O293" s="507"/>
      <c r="P293" s="507"/>
      <c r="Q293" s="507"/>
      <c r="R293" s="510"/>
      <c r="S293" s="510"/>
      <c r="T293" s="510"/>
      <c r="U293" s="510"/>
      <c r="V293" s="510"/>
      <c r="W293" s="510"/>
      <c r="X293" s="507"/>
      <c r="Y293" s="507"/>
      <c r="Z293" s="507"/>
      <c r="AA293" s="507"/>
      <c r="AB293" s="510"/>
    </row>
    <row r="294" ht="18.0" customHeight="1">
      <c r="A294" s="507"/>
      <c r="B294" s="545"/>
      <c r="C294" s="545"/>
      <c r="D294" s="545"/>
      <c r="E294" s="545"/>
      <c r="F294" s="546"/>
      <c r="G294" s="546"/>
      <c r="H294" s="545"/>
      <c r="I294" s="547"/>
      <c r="J294" s="547"/>
      <c r="K294" s="510"/>
      <c r="L294" s="510"/>
      <c r="M294" s="510"/>
      <c r="N294" s="510"/>
      <c r="O294" s="507"/>
      <c r="P294" s="507"/>
      <c r="Q294" s="507"/>
      <c r="R294" s="510"/>
      <c r="S294" s="510"/>
      <c r="T294" s="510"/>
      <c r="U294" s="510"/>
      <c r="V294" s="510"/>
      <c r="W294" s="510"/>
      <c r="X294" s="507"/>
      <c r="Y294" s="507"/>
      <c r="Z294" s="507"/>
      <c r="AA294" s="507"/>
      <c r="AB294" s="510"/>
    </row>
    <row r="295" ht="18.0" customHeight="1">
      <c r="A295" s="507"/>
      <c r="B295" s="545"/>
      <c r="C295" s="545"/>
      <c r="D295" s="545"/>
      <c r="E295" s="545"/>
      <c r="F295" s="546"/>
      <c r="G295" s="546"/>
      <c r="H295" s="545"/>
      <c r="I295" s="547"/>
      <c r="J295" s="547"/>
      <c r="K295" s="510"/>
      <c r="L295" s="510"/>
      <c r="M295" s="510"/>
      <c r="N295" s="510"/>
      <c r="O295" s="507"/>
      <c r="P295" s="507"/>
      <c r="Q295" s="507"/>
      <c r="R295" s="510"/>
      <c r="S295" s="510"/>
      <c r="T295" s="510"/>
      <c r="U295" s="510"/>
      <c r="V295" s="510"/>
      <c r="W295" s="510"/>
      <c r="X295" s="507"/>
      <c r="Y295" s="507"/>
      <c r="Z295" s="507"/>
      <c r="AA295" s="507"/>
      <c r="AB295" s="510"/>
    </row>
    <row r="296" ht="18.0" customHeight="1">
      <c r="A296" s="507"/>
      <c r="B296" s="545"/>
      <c r="C296" s="545"/>
      <c r="D296" s="545"/>
      <c r="E296" s="545"/>
      <c r="F296" s="546"/>
      <c r="G296" s="546"/>
      <c r="H296" s="545"/>
      <c r="I296" s="547"/>
      <c r="J296" s="547"/>
      <c r="K296" s="510"/>
      <c r="L296" s="510"/>
      <c r="M296" s="510"/>
      <c r="N296" s="510"/>
      <c r="O296" s="507"/>
      <c r="P296" s="507"/>
      <c r="Q296" s="507"/>
      <c r="R296" s="510"/>
      <c r="S296" s="510"/>
      <c r="T296" s="510"/>
      <c r="U296" s="510"/>
      <c r="V296" s="510"/>
      <c r="W296" s="510"/>
      <c r="X296" s="507"/>
      <c r="Y296" s="507"/>
      <c r="Z296" s="507"/>
      <c r="AA296" s="507"/>
      <c r="AB296" s="510"/>
    </row>
    <row r="297" ht="18.0" customHeight="1">
      <c r="A297" s="507"/>
      <c r="B297" s="545"/>
      <c r="C297" s="545"/>
      <c r="D297" s="545"/>
      <c r="E297" s="545"/>
      <c r="F297" s="546"/>
      <c r="G297" s="546"/>
      <c r="H297" s="545"/>
      <c r="I297" s="547"/>
      <c r="J297" s="547"/>
      <c r="K297" s="510"/>
      <c r="L297" s="510"/>
      <c r="M297" s="510"/>
      <c r="N297" s="510"/>
      <c r="O297" s="507"/>
      <c r="P297" s="507"/>
      <c r="Q297" s="507"/>
      <c r="R297" s="510"/>
      <c r="S297" s="510"/>
      <c r="T297" s="510"/>
      <c r="U297" s="510"/>
      <c r="V297" s="510"/>
      <c r="W297" s="510"/>
      <c r="X297" s="507"/>
      <c r="Y297" s="507"/>
      <c r="Z297" s="507"/>
      <c r="AA297" s="507"/>
      <c r="AB297" s="510"/>
    </row>
    <row r="298" ht="18.0" customHeight="1">
      <c r="A298" s="507"/>
      <c r="B298" s="545"/>
      <c r="C298" s="545"/>
      <c r="D298" s="545"/>
      <c r="E298" s="545"/>
      <c r="F298" s="546"/>
      <c r="G298" s="546"/>
      <c r="H298" s="545"/>
      <c r="I298" s="547"/>
      <c r="J298" s="547"/>
      <c r="K298" s="510"/>
      <c r="L298" s="510"/>
      <c r="M298" s="510"/>
      <c r="N298" s="510"/>
      <c r="O298" s="507"/>
      <c r="P298" s="507"/>
      <c r="Q298" s="507"/>
      <c r="R298" s="510"/>
      <c r="S298" s="510"/>
      <c r="T298" s="510"/>
      <c r="U298" s="510"/>
      <c r="V298" s="510"/>
      <c r="W298" s="510"/>
      <c r="X298" s="507"/>
      <c r="Y298" s="507"/>
      <c r="Z298" s="507"/>
      <c r="AA298" s="507"/>
      <c r="AB298" s="510"/>
    </row>
    <row r="299" ht="18.0" customHeight="1">
      <c r="A299" s="507"/>
      <c r="B299" s="545"/>
      <c r="C299" s="545"/>
      <c r="D299" s="545"/>
      <c r="E299" s="545"/>
      <c r="F299" s="546"/>
      <c r="G299" s="546"/>
      <c r="H299" s="545"/>
      <c r="I299" s="547"/>
      <c r="J299" s="547"/>
      <c r="K299" s="510"/>
      <c r="L299" s="510"/>
      <c r="M299" s="510"/>
      <c r="N299" s="510"/>
      <c r="O299" s="507"/>
      <c r="P299" s="507"/>
      <c r="Q299" s="507"/>
      <c r="R299" s="510"/>
      <c r="S299" s="510"/>
      <c r="T299" s="510"/>
      <c r="U299" s="510"/>
      <c r="V299" s="510"/>
      <c r="W299" s="510"/>
      <c r="X299" s="507"/>
      <c r="Y299" s="507"/>
      <c r="Z299" s="507"/>
      <c r="AA299" s="507"/>
      <c r="AB299" s="510"/>
    </row>
    <row r="300" ht="18.0" customHeight="1">
      <c r="A300" s="507"/>
      <c r="B300" s="545"/>
      <c r="C300" s="545"/>
      <c r="D300" s="545"/>
      <c r="E300" s="545"/>
      <c r="F300" s="546"/>
      <c r="G300" s="546"/>
      <c r="H300" s="545"/>
      <c r="I300" s="547"/>
      <c r="J300" s="547"/>
      <c r="K300" s="510"/>
      <c r="L300" s="510"/>
      <c r="M300" s="510"/>
      <c r="N300" s="510"/>
      <c r="O300" s="507"/>
      <c r="P300" s="507"/>
      <c r="Q300" s="507"/>
      <c r="R300" s="510"/>
      <c r="S300" s="510"/>
      <c r="T300" s="510"/>
      <c r="U300" s="510"/>
      <c r="V300" s="510"/>
      <c r="W300" s="510"/>
      <c r="X300" s="507"/>
      <c r="Y300" s="507"/>
      <c r="Z300" s="507"/>
      <c r="AA300" s="507"/>
      <c r="AB300" s="510"/>
    </row>
    <row r="301" ht="18.0" customHeight="1">
      <c r="A301" s="507"/>
      <c r="B301" s="545"/>
      <c r="C301" s="545"/>
      <c r="D301" s="545"/>
      <c r="E301" s="545"/>
      <c r="F301" s="546"/>
      <c r="G301" s="546"/>
      <c r="H301" s="545"/>
      <c r="I301" s="547"/>
      <c r="J301" s="547"/>
      <c r="K301" s="510"/>
      <c r="L301" s="510"/>
      <c r="M301" s="510"/>
      <c r="N301" s="510"/>
      <c r="O301" s="507"/>
      <c r="P301" s="507"/>
      <c r="Q301" s="507"/>
      <c r="R301" s="510"/>
      <c r="S301" s="510"/>
      <c r="T301" s="510"/>
      <c r="U301" s="510"/>
      <c r="V301" s="510"/>
      <c r="W301" s="510"/>
      <c r="X301" s="507"/>
      <c r="Y301" s="507"/>
      <c r="Z301" s="507"/>
      <c r="AA301" s="507"/>
      <c r="AB301" s="510"/>
    </row>
    <row r="302" ht="18.0" customHeight="1">
      <c r="A302" s="507"/>
      <c r="B302" s="545"/>
      <c r="C302" s="545"/>
      <c r="D302" s="545"/>
      <c r="E302" s="545"/>
      <c r="F302" s="546"/>
      <c r="G302" s="546"/>
      <c r="H302" s="545"/>
      <c r="I302" s="547"/>
      <c r="J302" s="547"/>
      <c r="K302" s="510"/>
      <c r="L302" s="510"/>
      <c r="M302" s="510"/>
      <c r="N302" s="510"/>
      <c r="O302" s="507"/>
      <c r="P302" s="507"/>
      <c r="Q302" s="507"/>
      <c r="R302" s="510"/>
      <c r="S302" s="510"/>
      <c r="T302" s="510"/>
      <c r="U302" s="510"/>
      <c r="V302" s="510"/>
      <c r="W302" s="510"/>
      <c r="X302" s="507"/>
      <c r="Y302" s="507"/>
      <c r="Z302" s="507"/>
      <c r="AA302" s="507"/>
      <c r="AB302" s="510"/>
    </row>
    <row r="303" ht="18.0" customHeight="1">
      <c r="A303" s="401"/>
      <c r="B303" s="510"/>
      <c r="C303" s="510"/>
      <c r="D303" s="510"/>
      <c r="E303" s="510"/>
      <c r="F303" s="548"/>
      <c r="G303" s="548"/>
      <c r="H303" s="527"/>
      <c r="I303" s="527"/>
      <c r="J303" s="527"/>
      <c r="K303" s="509"/>
      <c r="L303" s="509"/>
      <c r="M303" s="509"/>
      <c r="N303" s="509"/>
      <c r="O303" s="509"/>
      <c r="P303" s="509"/>
      <c r="Q303" s="509"/>
      <c r="R303" s="401"/>
      <c r="S303" s="401"/>
      <c r="T303" s="401"/>
      <c r="U303" s="401"/>
      <c r="V303" s="401"/>
      <c r="W303" s="401"/>
      <c r="X303" s="401"/>
      <c r="Y303" s="401"/>
      <c r="Z303" s="401"/>
      <c r="AA303" s="401"/>
      <c r="AB303" s="401"/>
    </row>
    <row r="304" ht="18.0" customHeight="1">
      <c r="A304" s="401"/>
      <c r="B304" s="510"/>
      <c r="C304" s="510"/>
      <c r="D304" s="510"/>
      <c r="E304" s="510"/>
      <c r="F304" s="549"/>
      <c r="G304" s="549"/>
      <c r="H304" s="510"/>
      <c r="I304" s="401"/>
      <c r="J304" s="401"/>
      <c r="K304" s="401"/>
      <c r="L304" s="401"/>
      <c r="M304" s="401"/>
      <c r="N304" s="401"/>
      <c r="O304" s="401"/>
      <c r="P304" s="401"/>
      <c r="Q304" s="401"/>
      <c r="R304" s="401"/>
      <c r="S304" s="401"/>
      <c r="T304" s="401"/>
      <c r="U304" s="401"/>
      <c r="V304" s="401"/>
      <c r="W304" s="401"/>
      <c r="X304" s="401"/>
      <c r="Y304" s="401"/>
      <c r="Z304" s="401"/>
      <c r="AA304" s="401"/>
      <c r="AB304" s="401"/>
    </row>
    <row r="305" ht="18.0" customHeight="1">
      <c r="A305" s="401"/>
      <c r="B305" s="401"/>
      <c r="C305" s="401"/>
      <c r="D305" s="401"/>
      <c r="E305" s="401"/>
      <c r="F305" s="550"/>
      <c r="G305" s="550"/>
      <c r="H305" s="401"/>
      <c r="I305" s="401"/>
      <c r="J305" s="401"/>
      <c r="K305" s="401"/>
      <c r="L305" s="401"/>
      <c r="M305" s="401"/>
      <c r="N305" s="401"/>
      <c r="O305" s="401"/>
      <c r="P305" s="401"/>
      <c r="Q305" s="401"/>
      <c r="R305" s="401"/>
      <c r="S305" s="401"/>
      <c r="T305" s="401"/>
      <c r="U305" s="401"/>
      <c r="V305" s="401"/>
      <c r="W305" s="401"/>
      <c r="X305" s="401"/>
      <c r="Y305" s="401"/>
      <c r="Z305" s="401"/>
      <c r="AA305" s="401"/>
      <c r="AB305" s="401"/>
    </row>
    <row r="306" ht="18.0" customHeight="1">
      <c r="A306" s="401"/>
      <c r="B306" s="401"/>
      <c r="C306" s="401"/>
      <c r="D306" s="401"/>
      <c r="E306" s="401"/>
      <c r="F306" s="550"/>
      <c r="G306" s="550"/>
      <c r="H306" s="401"/>
      <c r="I306" s="401"/>
      <c r="J306" s="401"/>
      <c r="K306" s="401"/>
      <c r="L306" s="401"/>
      <c r="M306" s="401"/>
      <c r="N306" s="401"/>
      <c r="O306" s="401"/>
      <c r="P306" s="401"/>
      <c r="Q306" s="401"/>
      <c r="R306" s="401"/>
      <c r="S306" s="401"/>
      <c r="T306" s="401"/>
      <c r="U306" s="401"/>
      <c r="V306" s="401"/>
      <c r="W306" s="401"/>
      <c r="X306" s="401"/>
      <c r="Y306" s="401"/>
      <c r="Z306" s="401"/>
      <c r="AA306" s="401"/>
      <c r="AB306" s="401"/>
    </row>
    <row r="307" ht="18.0" customHeight="1">
      <c r="A307" s="401"/>
      <c r="B307" s="401"/>
      <c r="C307" s="401"/>
      <c r="D307" s="401"/>
      <c r="E307" s="401"/>
      <c r="F307" s="550"/>
      <c r="G307" s="550"/>
      <c r="H307" s="401"/>
      <c r="I307" s="401"/>
      <c r="J307" s="401"/>
      <c r="K307" s="401"/>
      <c r="L307" s="401"/>
      <c r="M307" s="401"/>
      <c r="N307" s="401"/>
      <c r="O307" s="401"/>
      <c r="P307" s="401"/>
      <c r="Q307" s="401"/>
      <c r="R307" s="401"/>
      <c r="S307" s="401"/>
      <c r="T307" s="401"/>
      <c r="U307" s="401"/>
      <c r="V307" s="401"/>
      <c r="W307" s="401"/>
      <c r="X307" s="401"/>
      <c r="Y307" s="401"/>
      <c r="Z307" s="401"/>
      <c r="AA307" s="401"/>
      <c r="AB307" s="401"/>
    </row>
    <row r="308" ht="18.0" customHeight="1">
      <c r="A308" s="139"/>
      <c r="B308" s="401"/>
      <c r="C308" s="401"/>
      <c r="D308" s="401"/>
      <c r="E308" s="401"/>
      <c r="F308" s="550"/>
      <c r="G308" s="550"/>
      <c r="H308" s="401"/>
      <c r="I308" s="401"/>
      <c r="J308" s="401"/>
      <c r="K308" s="401"/>
      <c r="L308" s="401"/>
      <c r="M308" s="401"/>
      <c r="N308" s="401"/>
      <c r="O308" s="401"/>
      <c r="P308" s="401"/>
      <c r="Q308" s="401"/>
      <c r="R308" s="401"/>
      <c r="S308" s="401"/>
      <c r="T308" s="401"/>
      <c r="U308" s="401"/>
      <c r="V308" s="401"/>
      <c r="W308" s="401"/>
      <c r="X308" s="401"/>
      <c r="Y308" s="401"/>
      <c r="Z308" s="401"/>
      <c r="AA308" s="401"/>
      <c r="AB308" s="401"/>
    </row>
    <row r="309" ht="18.0" customHeight="1">
      <c r="A309" s="401"/>
      <c r="B309" s="401"/>
      <c r="C309" s="401"/>
      <c r="D309" s="401"/>
      <c r="E309" s="401"/>
      <c r="F309" s="550"/>
      <c r="G309" s="550"/>
      <c r="H309" s="401"/>
      <c r="I309" s="401"/>
      <c r="J309" s="401"/>
      <c r="K309" s="401"/>
      <c r="L309" s="401"/>
      <c r="M309" s="401"/>
      <c r="N309" s="401"/>
      <c r="O309" s="401"/>
      <c r="P309" s="401"/>
      <c r="Q309" s="401"/>
      <c r="R309" s="401"/>
      <c r="S309" s="401"/>
      <c r="T309" s="401"/>
      <c r="U309" s="401"/>
      <c r="V309" s="401"/>
      <c r="W309" s="401"/>
      <c r="X309" s="401"/>
      <c r="Y309" s="401"/>
      <c r="Z309" s="401"/>
      <c r="AA309" s="401"/>
      <c r="AB309" s="401"/>
    </row>
    <row r="310" ht="18.0" customHeight="1">
      <c r="A310" s="401"/>
      <c r="B310" s="527"/>
      <c r="C310" s="551"/>
      <c r="D310" s="551"/>
      <c r="E310" s="551"/>
      <c r="F310" s="552"/>
      <c r="G310" s="552"/>
      <c r="H310" s="527"/>
      <c r="I310" s="527"/>
      <c r="J310" s="527"/>
      <c r="K310" s="401"/>
      <c r="L310" s="401"/>
      <c r="M310" s="401"/>
      <c r="N310" s="401"/>
      <c r="O310" s="401"/>
      <c r="P310" s="401"/>
      <c r="Q310" s="401"/>
      <c r="R310" s="401"/>
      <c r="S310" s="401"/>
      <c r="T310" s="401"/>
      <c r="U310" s="401"/>
      <c r="V310" s="401"/>
      <c r="W310" s="401"/>
      <c r="X310" s="401"/>
      <c r="Y310" s="401"/>
      <c r="Z310" s="401"/>
      <c r="AA310" s="401"/>
      <c r="AB310" s="401"/>
    </row>
    <row r="311" ht="18.0" customHeight="1">
      <c r="A311" s="553"/>
      <c r="B311" s="508"/>
      <c r="C311" s="508"/>
      <c r="D311" s="508"/>
      <c r="E311" s="508"/>
      <c r="F311" s="515"/>
      <c r="G311" s="515"/>
      <c r="H311" s="508"/>
      <c r="I311" s="521"/>
      <c r="J311" s="521"/>
      <c r="K311" s="401"/>
      <c r="L311" s="401"/>
      <c r="M311" s="401"/>
      <c r="N311" s="401"/>
      <c r="O311" s="554"/>
      <c r="P311" s="554"/>
      <c r="Q311" s="554"/>
      <c r="R311" s="401"/>
      <c r="S311" s="401"/>
      <c r="T311" s="401"/>
      <c r="U311" s="401"/>
      <c r="V311" s="401"/>
      <c r="W311" s="401"/>
      <c r="X311" s="401"/>
      <c r="Y311" s="401"/>
      <c r="Z311" s="401"/>
      <c r="AA311" s="401"/>
      <c r="AB311" s="401"/>
    </row>
    <row r="312" ht="18.0" customHeight="1">
      <c r="A312" s="553"/>
      <c r="B312" s="508"/>
      <c r="C312" s="508"/>
      <c r="D312" s="508"/>
      <c r="E312" s="508"/>
      <c r="F312" s="515"/>
      <c r="G312" s="515"/>
      <c r="H312" s="508"/>
      <c r="I312" s="521"/>
      <c r="J312" s="521"/>
      <c r="K312" s="401"/>
      <c r="L312" s="401"/>
      <c r="M312" s="401"/>
      <c r="N312" s="401"/>
      <c r="O312" s="554"/>
      <c r="P312" s="554"/>
      <c r="Q312" s="554"/>
      <c r="R312" s="401"/>
      <c r="S312" s="401"/>
      <c r="T312" s="401"/>
      <c r="U312" s="401"/>
      <c r="V312" s="401"/>
      <c r="W312" s="401"/>
      <c r="X312" s="545"/>
      <c r="Y312" s="545"/>
      <c r="Z312" s="401"/>
      <c r="AA312" s="401"/>
      <c r="AB312" s="401"/>
    </row>
    <row r="313" ht="18.0" customHeight="1">
      <c r="A313" s="553"/>
      <c r="B313" s="508"/>
      <c r="C313" s="508"/>
      <c r="D313" s="508"/>
      <c r="E313" s="508"/>
      <c r="F313" s="515"/>
      <c r="G313" s="515"/>
      <c r="H313" s="508"/>
      <c r="I313" s="521"/>
      <c r="J313" s="521"/>
      <c r="K313" s="401"/>
      <c r="L313" s="401"/>
      <c r="M313" s="401"/>
      <c r="N313" s="401"/>
      <c r="O313" s="554"/>
      <c r="P313" s="554"/>
      <c r="Q313" s="554"/>
      <c r="R313" s="401"/>
      <c r="S313" s="401"/>
      <c r="T313" s="401"/>
      <c r="U313" s="401"/>
      <c r="V313" s="401"/>
      <c r="W313" s="401"/>
      <c r="X313" s="545"/>
      <c r="Y313" s="545"/>
      <c r="Z313" s="401"/>
      <c r="AA313" s="401"/>
      <c r="AB313" s="401"/>
    </row>
    <row r="314" ht="18.0" customHeight="1">
      <c r="A314" s="553"/>
      <c r="B314" s="508"/>
      <c r="C314" s="508"/>
      <c r="D314" s="508"/>
      <c r="E314" s="508"/>
      <c r="F314" s="515"/>
      <c r="G314" s="515"/>
      <c r="H314" s="508"/>
      <c r="I314" s="521"/>
      <c r="J314" s="521"/>
      <c r="K314" s="401"/>
      <c r="L314" s="401"/>
      <c r="M314" s="401"/>
      <c r="N314" s="401"/>
      <c r="O314" s="554"/>
      <c r="P314" s="554"/>
      <c r="Q314" s="554"/>
      <c r="R314" s="401"/>
      <c r="S314" s="401"/>
      <c r="T314" s="401"/>
      <c r="U314" s="401"/>
      <c r="V314" s="401"/>
      <c r="W314" s="401"/>
      <c r="X314" s="545"/>
      <c r="Y314" s="545"/>
      <c r="Z314" s="401"/>
      <c r="AA314" s="401"/>
      <c r="AB314" s="401"/>
    </row>
    <row r="315" ht="18.0" customHeight="1">
      <c r="A315" s="553"/>
      <c r="B315" s="508"/>
      <c r="C315" s="508"/>
      <c r="D315" s="508"/>
      <c r="E315" s="508"/>
      <c r="F315" s="515"/>
      <c r="G315" s="515"/>
      <c r="H315" s="508"/>
      <c r="I315" s="521"/>
      <c r="J315" s="521"/>
      <c r="K315" s="401"/>
      <c r="L315" s="401"/>
      <c r="M315" s="401"/>
      <c r="N315" s="401"/>
      <c r="O315" s="554"/>
      <c r="P315" s="554"/>
      <c r="Q315" s="554"/>
      <c r="R315" s="401"/>
      <c r="S315" s="401"/>
      <c r="T315" s="401"/>
      <c r="U315" s="401"/>
      <c r="V315" s="401"/>
      <c r="W315" s="401"/>
      <c r="X315" s="401"/>
      <c r="Y315" s="401"/>
      <c r="Z315" s="401"/>
      <c r="AA315" s="401"/>
      <c r="AB315" s="401"/>
    </row>
    <row r="316" ht="18.0" customHeight="1">
      <c r="A316" s="553"/>
      <c r="B316" s="508"/>
      <c r="C316" s="508"/>
      <c r="D316" s="508"/>
      <c r="E316" s="508"/>
      <c r="F316" s="515"/>
      <c r="G316" s="515"/>
      <c r="H316" s="508"/>
      <c r="I316" s="521"/>
      <c r="J316" s="521"/>
      <c r="K316" s="401"/>
      <c r="L316" s="401"/>
      <c r="M316" s="401"/>
      <c r="N316" s="401"/>
      <c r="O316" s="554"/>
      <c r="P316" s="554"/>
      <c r="Q316" s="554"/>
      <c r="R316" s="401"/>
      <c r="S316" s="401"/>
      <c r="T316" s="401"/>
      <c r="U316" s="401"/>
      <c r="V316" s="401"/>
      <c r="W316" s="401"/>
      <c r="X316" s="401"/>
      <c r="Y316" s="401"/>
      <c r="Z316" s="401"/>
      <c r="AA316" s="401"/>
      <c r="AB316" s="401"/>
    </row>
    <row r="317" ht="18.0" customHeight="1">
      <c r="A317" s="553"/>
      <c r="B317" s="508"/>
      <c r="C317" s="508"/>
      <c r="D317" s="508"/>
      <c r="E317" s="508"/>
      <c r="F317" s="515"/>
      <c r="G317" s="515"/>
      <c r="H317" s="508"/>
      <c r="I317" s="521"/>
      <c r="J317" s="521"/>
      <c r="K317" s="401"/>
      <c r="L317" s="401"/>
      <c r="M317" s="401"/>
      <c r="N317" s="401"/>
      <c r="O317" s="554"/>
      <c r="P317" s="554"/>
      <c r="Q317" s="554"/>
      <c r="R317" s="401"/>
      <c r="S317" s="401"/>
      <c r="T317" s="401"/>
      <c r="U317" s="401"/>
      <c r="V317" s="401"/>
      <c r="W317" s="401"/>
      <c r="X317" s="401"/>
      <c r="Y317" s="401"/>
      <c r="Z317" s="401"/>
      <c r="AA317" s="401"/>
      <c r="AB317" s="401"/>
    </row>
    <row r="318" ht="18.0" customHeight="1">
      <c r="A318" s="553"/>
      <c r="B318" s="508"/>
      <c r="C318" s="508"/>
      <c r="D318" s="508"/>
      <c r="E318" s="508"/>
      <c r="F318" s="515"/>
      <c r="G318" s="515"/>
      <c r="H318" s="508"/>
      <c r="I318" s="521"/>
      <c r="J318" s="521"/>
      <c r="K318" s="401"/>
      <c r="L318" s="401"/>
      <c r="M318" s="401"/>
      <c r="N318" s="401"/>
      <c r="O318" s="554"/>
      <c r="P318" s="554"/>
      <c r="Q318" s="554"/>
      <c r="R318" s="401"/>
      <c r="S318" s="401"/>
      <c r="T318" s="401"/>
      <c r="U318" s="401"/>
      <c r="V318" s="401"/>
      <c r="W318" s="401"/>
      <c r="X318" s="401"/>
      <c r="Y318" s="401"/>
      <c r="Z318" s="401"/>
      <c r="AA318" s="401"/>
      <c r="AB318" s="401"/>
    </row>
    <row r="319" ht="18.0" customHeight="1">
      <c r="A319" s="553"/>
      <c r="B319" s="508"/>
      <c r="C319" s="508"/>
      <c r="D319" s="508"/>
      <c r="E319" s="508"/>
      <c r="F319" s="515"/>
      <c r="G319" s="515"/>
      <c r="H319" s="508"/>
      <c r="I319" s="521"/>
      <c r="J319" s="521"/>
      <c r="K319" s="401"/>
      <c r="L319" s="401"/>
      <c r="M319" s="401"/>
      <c r="N319" s="401"/>
      <c r="O319" s="554"/>
      <c r="P319" s="554"/>
      <c r="Q319" s="554"/>
      <c r="R319" s="401"/>
      <c r="S319" s="401"/>
      <c r="T319" s="401"/>
      <c r="U319" s="401"/>
      <c r="V319" s="401"/>
      <c r="W319" s="401"/>
      <c r="X319" s="401"/>
      <c r="Y319" s="401"/>
      <c r="Z319" s="401"/>
      <c r="AA319" s="401"/>
      <c r="AB319" s="401"/>
    </row>
    <row r="320" ht="18.0" customHeight="1">
      <c r="A320" s="553"/>
      <c r="B320" s="508"/>
      <c r="C320" s="508"/>
      <c r="D320" s="508"/>
      <c r="E320" s="508"/>
      <c r="F320" s="515"/>
      <c r="G320" s="515"/>
      <c r="H320" s="508"/>
      <c r="I320" s="521"/>
      <c r="J320" s="521"/>
      <c r="K320" s="401"/>
      <c r="L320" s="401"/>
      <c r="M320" s="401"/>
      <c r="N320" s="401"/>
      <c r="O320" s="401"/>
      <c r="P320" s="401"/>
      <c r="Q320" s="401"/>
      <c r="R320" s="401"/>
      <c r="S320" s="401"/>
      <c r="T320" s="401"/>
      <c r="U320" s="401"/>
      <c r="V320" s="401"/>
      <c r="W320" s="555"/>
      <c r="X320" s="401"/>
      <c r="Y320" s="401"/>
      <c r="Z320" s="401"/>
      <c r="AA320" s="401"/>
      <c r="AB320" s="401"/>
    </row>
    <row r="321" ht="18.0" customHeight="1">
      <c r="A321" s="553"/>
      <c r="B321" s="401"/>
      <c r="C321" s="401"/>
      <c r="D321" s="401"/>
      <c r="E321" s="401"/>
      <c r="F321" s="552"/>
      <c r="G321" s="552"/>
      <c r="H321" s="401"/>
      <c r="I321" s="556"/>
      <c r="J321" s="556"/>
      <c r="K321" s="401"/>
      <c r="L321" s="401"/>
      <c r="M321" s="401"/>
      <c r="N321" s="401"/>
      <c r="O321" s="401"/>
      <c r="P321" s="401"/>
      <c r="Q321" s="401"/>
      <c r="R321" s="401"/>
      <c r="S321" s="401"/>
      <c r="T321" s="401"/>
      <c r="U321" s="401"/>
      <c r="V321" s="401"/>
      <c r="W321" s="555"/>
      <c r="X321" s="401"/>
      <c r="Y321" s="401"/>
      <c r="Z321" s="401"/>
      <c r="AA321" s="401"/>
      <c r="AB321" s="401"/>
    </row>
    <row r="322" ht="18.0" customHeight="1">
      <c r="A322" s="401"/>
      <c r="B322" s="401"/>
      <c r="C322" s="401"/>
      <c r="D322" s="401"/>
      <c r="E322" s="401"/>
      <c r="F322" s="550"/>
      <c r="G322" s="550"/>
      <c r="H322" s="401"/>
      <c r="I322" s="401"/>
      <c r="J322" s="401"/>
      <c r="K322" s="401"/>
      <c r="L322" s="401"/>
      <c r="M322" s="401"/>
      <c r="N322" s="401"/>
      <c r="O322" s="401"/>
      <c r="P322" s="401"/>
      <c r="Q322" s="401"/>
      <c r="R322" s="401"/>
      <c r="S322" s="401"/>
      <c r="T322" s="401"/>
      <c r="U322" s="401"/>
      <c r="V322" s="401"/>
      <c r="W322" s="555"/>
      <c r="X322" s="401"/>
      <c r="Y322" s="401"/>
      <c r="Z322" s="401"/>
      <c r="AA322" s="401"/>
      <c r="AB322" s="401"/>
    </row>
    <row r="323" ht="18.0" customHeight="1">
      <c r="A323" s="401"/>
      <c r="B323" s="401"/>
      <c r="C323" s="401"/>
      <c r="D323" s="401"/>
      <c r="E323" s="401"/>
      <c r="F323" s="550"/>
      <c r="G323" s="550"/>
      <c r="H323" s="401"/>
      <c r="I323" s="401"/>
      <c r="J323" s="401"/>
      <c r="K323" s="401"/>
      <c r="L323" s="401"/>
      <c r="M323" s="401"/>
      <c r="N323" s="401"/>
      <c r="O323" s="401"/>
      <c r="P323" s="401"/>
      <c r="Q323" s="401"/>
      <c r="R323" s="401"/>
      <c r="S323" s="401"/>
      <c r="T323" s="401"/>
      <c r="U323" s="401"/>
      <c r="V323" s="401"/>
      <c r="W323" s="555"/>
      <c r="X323" s="401"/>
      <c r="Y323" s="401"/>
      <c r="Z323" s="401"/>
      <c r="AA323" s="401"/>
      <c r="AB323" s="401"/>
    </row>
    <row r="324" ht="18.0" customHeight="1">
      <c r="A324" s="401"/>
      <c r="B324" s="401"/>
      <c r="C324" s="401"/>
      <c r="D324" s="401"/>
      <c r="E324" s="401"/>
      <c r="F324" s="550"/>
      <c r="G324" s="550"/>
      <c r="H324" s="401"/>
      <c r="I324" s="401"/>
      <c r="J324" s="401"/>
      <c r="K324" s="401"/>
      <c r="L324" s="401"/>
      <c r="M324" s="401"/>
      <c r="N324" s="401"/>
      <c r="O324" s="401"/>
      <c r="P324" s="401"/>
      <c r="Q324" s="401"/>
      <c r="R324" s="401"/>
      <c r="S324" s="401"/>
      <c r="T324" s="401"/>
      <c r="U324" s="401"/>
      <c r="V324" s="401"/>
      <c r="W324" s="555"/>
      <c r="X324" s="401"/>
      <c r="Y324" s="401"/>
      <c r="Z324" s="401"/>
      <c r="AA324" s="401"/>
      <c r="AB324" s="401"/>
    </row>
    <row r="325" ht="18.0" customHeight="1">
      <c r="A325" s="139"/>
      <c r="B325" s="401"/>
      <c r="C325" s="401"/>
      <c r="D325" s="401"/>
      <c r="E325" s="401"/>
      <c r="F325" s="550"/>
      <c r="G325" s="550"/>
      <c r="H325" s="401"/>
      <c r="I325" s="401"/>
      <c r="J325" s="401"/>
      <c r="K325" s="401"/>
      <c r="L325" s="401"/>
      <c r="M325" s="401"/>
      <c r="N325" s="401"/>
      <c r="O325" s="401"/>
      <c r="P325" s="401"/>
      <c r="Q325" s="401"/>
      <c r="R325" s="401"/>
      <c r="S325" s="401"/>
      <c r="T325" s="401"/>
      <c r="U325" s="401"/>
      <c r="V325" s="401"/>
      <c r="W325" s="555"/>
      <c r="X325" s="401"/>
      <c r="Y325" s="401"/>
      <c r="Z325" s="401"/>
      <c r="AA325" s="401"/>
      <c r="AB325" s="401"/>
    </row>
    <row r="326" ht="18.0" customHeight="1">
      <c r="A326" s="401"/>
      <c r="B326" s="401"/>
      <c r="C326" s="401"/>
      <c r="D326" s="401"/>
      <c r="E326" s="401"/>
      <c r="F326" s="550"/>
      <c r="G326" s="550"/>
      <c r="H326" s="401"/>
      <c r="I326" s="401"/>
      <c r="J326" s="401"/>
      <c r="K326" s="401"/>
      <c r="L326" s="401"/>
      <c r="M326" s="401"/>
      <c r="N326" s="401"/>
      <c r="O326" s="401"/>
      <c r="P326" s="401"/>
      <c r="Q326" s="401"/>
      <c r="R326" s="401"/>
      <c r="S326" s="401"/>
      <c r="T326" s="401"/>
      <c r="U326" s="401"/>
      <c r="V326" s="401"/>
      <c r="W326" s="555"/>
      <c r="X326" s="401"/>
      <c r="Y326" s="401"/>
      <c r="Z326" s="401"/>
      <c r="AA326" s="401"/>
      <c r="AB326" s="401"/>
    </row>
    <row r="327" ht="18.0" customHeight="1">
      <c r="A327" s="401"/>
      <c r="B327" s="527"/>
      <c r="C327" s="551"/>
      <c r="D327" s="551"/>
      <c r="E327" s="551"/>
      <c r="F327" s="552"/>
      <c r="G327" s="552"/>
      <c r="H327" s="527"/>
      <c r="I327" s="527"/>
      <c r="J327" s="527"/>
      <c r="K327" s="401"/>
      <c r="L327" s="401"/>
      <c r="M327" s="401"/>
      <c r="N327" s="401"/>
      <c r="O327" s="401"/>
      <c r="P327" s="401"/>
      <c r="Q327" s="401"/>
      <c r="R327" s="401"/>
      <c r="S327" s="401"/>
      <c r="T327" s="401"/>
      <c r="U327" s="401"/>
      <c r="V327" s="401"/>
      <c r="W327" s="555"/>
      <c r="X327" s="401"/>
      <c r="Y327" s="401"/>
      <c r="Z327" s="401"/>
      <c r="AA327" s="401"/>
      <c r="AB327" s="401"/>
    </row>
    <row r="328" ht="18.0" customHeight="1">
      <c r="A328" s="553"/>
      <c r="B328" s="557"/>
      <c r="C328" s="556"/>
      <c r="D328" s="556"/>
      <c r="E328" s="556"/>
      <c r="F328" s="558"/>
      <c r="G328" s="558"/>
      <c r="H328" s="556"/>
      <c r="I328" s="556"/>
      <c r="J328" s="556"/>
      <c r="K328" s="401"/>
      <c r="L328" s="401"/>
      <c r="M328" s="401"/>
      <c r="N328" s="401"/>
      <c r="O328" s="401"/>
      <c r="P328" s="401"/>
      <c r="Q328" s="401"/>
      <c r="R328" s="401"/>
      <c r="S328" s="401"/>
      <c r="T328" s="401"/>
      <c r="U328" s="401"/>
      <c r="V328" s="401"/>
      <c r="W328" s="555"/>
      <c r="X328" s="401"/>
      <c r="Y328" s="401"/>
      <c r="Z328" s="401"/>
      <c r="AA328" s="401"/>
      <c r="AB328" s="401"/>
    </row>
    <row r="329" ht="18.0" customHeight="1">
      <c r="A329" s="553"/>
      <c r="B329" s="557"/>
      <c r="C329" s="556"/>
      <c r="D329" s="556"/>
      <c r="E329" s="556"/>
      <c r="F329" s="558"/>
      <c r="G329" s="558"/>
      <c r="H329" s="556"/>
      <c r="I329" s="556"/>
      <c r="J329" s="556"/>
      <c r="K329" s="401"/>
      <c r="L329" s="401"/>
      <c r="M329" s="401"/>
      <c r="N329" s="401"/>
      <c r="O329" s="401"/>
      <c r="P329" s="401"/>
      <c r="Q329" s="401"/>
      <c r="R329" s="401"/>
      <c r="S329" s="401"/>
      <c r="T329" s="401"/>
      <c r="U329" s="401"/>
      <c r="V329" s="401"/>
      <c r="W329" s="555"/>
      <c r="X329" s="401"/>
      <c r="Y329" s="401"/>
      <c r="Z329" s="401"/>
      <c r="AA329" s="401"/>
      <c r="AB329" s="401"/>
    </row>
    <row r="330" ht="18.0" customHeight="1">
      <c r="A330" s="553"/>
      <c r="B330" s="557"/>
      <c r="C330" s="556"/>
      <c r="D330" s="556"/>
      <c r="E330" s="556"/>
      <c r="F330" s="558"/>
      <c r="G330" s="558"/>
      <c r="H330" s="556"/>
      <c r="I330" s="556"/>
      <c r="J330" s="556"/>
      <c r="K330" s="401"/>
      <c r="L330" s="401"/>
      <c r="M330" s="401"/>
      <c r="N330" s="401"/>
      <c r="O330" s="401"/>
      <c r="P330" s="401"/>
      <c r="Q330" s="401"/>
      <c r="R330" s="401"/>
      <c r="S330" s="401"/>
      <c r="T330" s="401"/>
      <c r="U330" s="401"/>
      <c r="V330" s="401"/>
      <c r="W330" s="555"/>
      <c r="X330" s="401"/>
      <c r="Y330" s="401"/>
      <c r="Z330" s="401"/>
      <c r="AA330" s="401"/>
      <c r="AB330" s="401"/>
    </row>
    <row r="331" ht="18.0" customHeight="1">
      <c r="A331" s="553"/>
      <c r="B331" s="557"/>
      <c r="C331" s="556"/>
      <c r="D331" s="556"/>
      <c r="E331" s="556"/>
      <c r="F331" s="559"/>
      <c r="G331" s="559"/>
      <c r="H331" s="556"/>
      <c r="I331" s="556"/>
      <c r="J331" s="556"/>
      <c r="K331" s="401"/>
      <c r="L331" s="401"/>
      <c r="M331" s="401"/>
      <c r="N331" s="401"/>
      <c r="O331" s="401"/>
      <c r="P331" s="401"/>
      <c r="Q331" s="401"/>
      <c r="R331" s="401"/>
      <c r="S331" s="401"/>
      <c r="T331" s="401"/>
      <c r="U331" s="401"/>
      <c r="V331" s="401"/>
      <c r="W331" s="550"/>
      <c r="X331" s="401"/>
      <c r="Y331" s="401"/>
      <c r="Z331" s="401"/>
      <c r="AA331" s="401"/>
      <c r="AB331" s="401"/>
    </row>
    <row r="332" ht="18.0" customHeight="1">
      <c r="A332" s="553"/>
      <c r="B332" s="557"/>
      <c r="C332" s="556"/>
      <c r="D332" s="556"/>
      <c r="E332" s="556"/>
      <c r="F332" s="559"/>
      <c r="G332" s="559"/>
      <c r="H332" s="556"/>
      <c r="I332" s="556"/>
      <c r="J332" s="556"/>
      <c r="K332" s="401"/>
      <c r="L332" s="401"/>
      <c r="M332" s="401"/>
      <c r="N332" s="401"/>
      <c r="O332" s="401"/>
      <c r="P332" s="401"/>
      <c r="Q332" s="401"/>
      <c r="R332" s="401"/>
      <c r="S332" s="401"/>
      <c r="T332" s="401"/>
      <c r="U332" s="401"/>
      <c r="V332" s="401"/>
      <c r="W332" s="555"/>
      <c r="X332" s="401"/>
      <c r="Y332" s="401"/>
      <c r="Z332" s="401"/>
      <c r="AA332" s="401"/>
      <c r="AB332" s="401"/>
    </row>
    <row r="333" ht="18.0" customHeight="1">
      <c r="A333" s="553"/>
      <c r="B333" s="557"/>
      <c r="C333" s="560"/>
      <c r="D333" s="556"/>
      <c r="E333" s="556"/>
      <c r="F333" s="559"/>
      <c r="G333" s="559"/>
      <c r="H333" s="556"/>
      <c r="I333" s="556"/>
      <c r="J333" s="556"/>
      <c r="K333" s="401"/>
      <c r="L333" s="401"/>
      <c r="M333" s="401"/>
      <c r="N333" s="401"/>
      <c r="O333" s="401"/>
      <c r="P333" s="401"/>
      <c r="Q333" s="401"/>
      <c r="R333" s="401"/>
      <c r="S333" s="401"/>
      <c r="T333" s="401"/>
      <c r="U333" s="401"/>
      <c r="V333" s="401"/>
      <c r="W333" s="555"/>
      <c r="X333" s="401"/>
      <c r="Y333" s="401"/>
      <c r="Z333" s="401"/>
      <c r="AA333" s="401"/>
      <c r="AB333" s="401"/>
    </row>
    <row r="334" ht="18.0" customHeight="1">
      <c r="A334" s="401"/>
      <c r="B334" s="401"/>
      <c r="C334" s="401"/>
      <c r="D334" s="401"/>
      <c r="E334" s="401"/>
      <c r="F334" s="552"/>
      <c r="G334" s="552"/>
      <c r="H334" s="401"/>
      <c r="I334" s="556"/>
      <c r="J334" s="556"/>
      <c r="K334" s="401"/>
      <c r="L334" s="401"/>
      <c r="M334" s="401"/>
      <c r="N334" s="401"/>
      <c r="O334" s="401"/>
      <c r="P334" s="401"/>
      <c r="Q334" s="401"/>
      <c r="R334" s="401"/>
      <c r="S334" s="401"/>
      <c r="T334" s="401"/>
      <c r="U334" s="401"/>
      <c r="V334" s="401"/>
      <c r="W334" s="555"/>
      <c r="X334" s="401"/>
      <c r="Y334" s="401"/>
      <c r="Z334" s="401"/>
      <c r="AA334" s="401"/>
      <c r="AB334" s="401"/>
    </row>
    <row r="335" ht="18.0" customHeight="1">
      <c r="A335" s="401"/>
      <c r="B335" s="401"/>
      <c r="C335" s="401"/>
      <c r="D335" s="401"/>
      <c r="E335" s="401"/>
      <c r="F335" s="550"/>
      <c r="G335" s="550"/>
      <c r="H335" s="401"/>
      <c r="I335" s="401"/>
      <c r="J335" s="401"/>
      <c r="K335" s="401"/>
      <c r="L335" s="401"/>
      <c r="M335" s="401"/>
      <c r="N335" s="401"/>
      <c r="O335" s="401"/>
      <c r="P335" s="401"/>
      <c r="Q335" s="401"/>
      <c r="R335" s="401"/>
      <c r="S335" s="401"/>
      <c r="T335" s="401"/>
      <c r="U335" s="401"/>
      <c r="V335" s="401"/>
      <c r="W335" s="555"/>
      <c r="X335" s="401"/>
      <c r="Y335" s="401"/>
      <c r="Z335" s="401"/>
      <c r="AA335" s="401"/>
      <c r="AB335" s="401"/>
    </row>
    <row r="336" ht="18.0" customHeight="1">
      <c r="A336" s="401"/>
      <c r="B336" s="401"/>
      <c r="C336" s="401"/>
      <c r="D336" s="401"/>
      <c r="E336" s="401"/>
      <c r="F336" s="550"/>
      <c r="G336" s="550"/>
      <c r="H336" s="401"/>
      <c r="I336" s="401"/>
      <c r="J336" s="401"/>
      <c r="K336" s="401"/>
      <c r="L336" s="401"/>
      <c r="M336" s="401"/>
      <c r="N336" s="401"/>
      <c r="O336" s="401"/>
      <c r="P336" s="401"/>
      <c r="Q336" s="401"/>
      <c r="R336" s="401"/>
      <c r="S336" s="401"/>
      <c r="T336" s="401"/>
      <c r="U336" s="401"/>
      <c r="V336" s="401"/>
      <c r="W336" s="555"/>
      <c r="X336" s="401"/>
      <c r="Y336" s="401"/>
      <c r="Z336" s="401"/>
      <c r="AA336" s="401"/>
      <c r="AB336" s="401"/>
    </row>
    <row r="337" ht="18.0" customHeight="1">
      <c r="A337" s="401"/>
      <c r="B337" s="401"/>
      <c r="C337" s="401"/>
      <c r="D337" s="401"/>
      <c r="E337" s="401"/>
      <c r="F337" s="550"/>
      <c r="G337" s="550"/>
      <c r="H337" s="401"/>
      <c r="I337" s="401"/>
      <c r="J337" s="401"/>
      <c r="K337" s="401"/>
      <c r="L337" s="401"/>
      <c r="M337" s="401"/>
      <c r="N337" s="401"/>
      <c r="O337" s="401"/>
      <c r="P337" s="401"/>
      <c r="Q337" s="401"/>
      <c r="R337" s="401"/>
      <c r="S337" s="401"/>
      <c r="T337" s="401"/>
      <c r="U337" s="401"/>
      <c r="V337" s="401"/>
      <c r="W337" s="555"/>
      <c r="X337" s="401"/>
      <c r="Y337" s="401"/>
      <c r="Z337" s="401"/>
      <c r="AA337" s="401"/>
      <c r="AB337" s="401"/>
    </row>
    <row r="338" ht="18.0" customHeight="1">
      <c r="A338" s="561"/>
      <c r="B338" s="401"/>
      <c r="C338" s="401"/>
      <c r="D338" s="401"/>
      <c r="E338" s="401"/>
      <c r="F338" s="550"/>
      <c r="G338" s="550"/>
      <c r="H338" s="401"/>
      <c r="I338" s="401"/>
      <c r="J338" s="401"/>
      <c r="K338" s="401"/>
      <c r="L338" s="401"/>
      <c r="M338" s="401"/>
      <c r="N338" s="401"/>
      <c r="O338" s="401"/>
      <c r="P338" s="401"/>
      <c r="Q338" s="401"/>
      <c r="R338" s="401"/>
      <c r="S338" s="401"/>
      <c r="T338" s="401"/>
      <c r="U338" s="401"/>
      <c r="V338" s="401"/>
      <c r="W338" s="555"/>
      <c r="X338" s="401"/>
      <c r="Y338" s="401"/>
      <c r="Z338" s="401"/>
      <c r="AA338" s="401"/>
      <c r="AB338" s="401"/>
    </row>
    <row r="339" ht="18.0" customHeight="1">
      <c r="A339" s="562"/>
      <c r="B339" s="508"/>
      <c r="C339" s="508"/>
      <c r="D339" s="508"/>
      <c r="E339" s="508"/>
      <c r="F339" s="563"/>
      <c r="G339" s="563"/>
      <c r="H339" s="508"/>
      <c r="I339" s="562"/>
      <c r="J339" s="562"/>
      <c r="K339" s="562"/>
      <c r="L339" s="562"/>
      <c r="M339" s="562"/>
      <c r="N339" s="562"/>
      <c r="O339" s="562"/>
      <c r="P339" s="562"/>
      <c r="Q339" s="562"/>
      <c r="R339" s="562"/>
      <c r="S339" s="562"/>
      <c r="T339" s="562"/>
      <c r="U339" s="562"/>
      <c r="V339" s="562"/>
      <c r="W339" s="555"/>
      <c r="X339" s="562"/>
      <c r="Y339" s="562"/>
      <c r="Z339" s="562"/>
      <c r="AA339" s="562"/>
      <c r="AB339" s="562"/>
    </row>
    <row r="340" ht="18.0" customHeight="1">
      <c r="A340" s="527"/>
      <c r="B340" s="527"/>
      <c r="C340" s="527"/>
      <c r="D340" s="527"/>
      <c r="E340" s="527"/>
      <c r="F340" s="564"/>
      <c r="G340" s="564"/>
      <c r="H340" s="527"/>
      <c r="I340" s="401"/>
      <c r="J340" s="401"/>
      <c r="K340" s="401"/>
      <c r="L340" s="401"/>
      <c r="M340" s="401"/>
      <c r="N340" s="401"/>
      <c r="O340" s="401"/>
      <c r="P340" s="401"/>
      <c r="Q340" s="401"/>
      <c r="R340" s="401"/>
      <c r="S340" s="401"/>
      <c r="T340" s="401"/>
      <c r="U340" s="401"/>
      <c r="V340" s="401"/>
      <c r="W340" s="555"/>
      <c r="X340" s="401"/>
      <c r="Y340" s="401"/>
      <c r="Z340" s="401"/>
      <c r="AA340" s="401"/>
      <c r="AB340" s="401"/>
    </row>
    <row r="341" ht="18.0" customHeight="1">
      <c r="A341" s="527"/>
      <c r="B341" s="527"/>
      <c r="C341" s="565"/>
      <c r="D341" s="566"/>
      <c r="E341" s="566"/>
      <c r="F341" s="567"/>
      <c r="G341" s="567"/>
      <c r="H341" s="566"/>
      <c r="I341" s="401"/>
      <c r="J341" s="401"/>
      <c r="K341" s="401"/>
      <c r="L341" s="401"/>
      <c r="M341" s="401"/>
      <c r="N341" s="401"/>
      <c r="O341" s="401"/>
      <c r="P341" s="401"/>
      <c r="Q341" s="401"/>
      <c r="R341" s="401"/>
      <c r="S341" s="401"/>
      <c r="T341" s="401"/>
      <c r="U341" s="401"/>
      <c r="V341" s="401"/>
      <c r="W341" s="555"/>
      <c r="X341" s="401"/>
      <c r="Y341" s="401"/>
      <c r="Z341" s="401"/>
      <c r="AA341" s="401"/>
      <c r="AB341" s="401"/>
    </row>
    <row r="342" ht="18.0" customHeight="1">
      <c r="A342" s="527"/>
      <c r="B342" s="553"/>
      <c r="C342" s="568"/>
      <c r="D342" s="568"/>
      <c r="E342" s="568"/>
      <c r="F342" s="569"/>
      <c r="G342" s="569"/>
      <c r="H342" s="568"/>
      <c r="I342" s="401"/>
      <c r="J342" s="401"/>
      <c r="K342" s="401"/>
      <c r="L342" s="401"/>
      <c r="M342" s="401"/>
      <c r="N342" s="401"/>
      <c r="O342" s="401"/>
      <c r="P342" s="401"/>
      <c r="Q342" s="401"/>
      <c r="R342" s="401"/>
      <c r="S342" s="401"/>
      <c r="T342" s="401"/>
      <c r="U342" s="401"/>
      <c r="V342" s="401"/>
      <c r="W342" s="555"/>
      <c r="X342" s="401"/>
      <c r="Y342" s="401"/>
      <c r="Z342" s="401"/>
      <c r="AA342" s="401"/>
      <c r="AB342" s="401"/>
    </row>
    <row r="343" ht="18.0" customHeight="1">
      <c r="A343" s="401"/>
      <c r="B343" s="401"/>
      <c r="C343" s="401"/>
      <c r="D343" s="509" t="s">
        <v>50</v>
      </c>
      <c r="E343" s="509" t="s">
        <v>48</v>
      </c>
      <c r="F343" s="564">
        <f>+D340+E340+F340+H340</f>
        <v>0</v>
      </c>
      <c r="G343" s="552"/>
      <c r="H343" s="401"/>
      <c r="I343" s="401"/>
      <c r="J343" s="401"/>
      <c r="K343" s="401"/>
      <c r="L343" s="401"/>
      <c r="M343" s="401"/>
      <c r="N343" s="401"/>
      <c r="O343" s="401"/>
      <c r="P343" s="401"/>
      <c r="Q343" s="401"/>
      <c r="R343" s="401"/>
      <c r="S343" s="401"/>
      <c r="T343" s="401"/>
      <c r="U343" s="401"/>
      <c r="V343" s="401"/>
      <c r="W343" s="559"/>
      <c r="X343" s="401"/>
      <c r="Y343" s="401"/>
      <c r="Z343" s="401"/>
      <c r="AA343" s="401"/>
      <c r="AB343" s="401"/>
    </row>
    <row r="344" ht="18.0" customHeight="1">
      <c r="A344" s="401"/>
      <c r="B344" s="401"/>
      <c r="C344" s="401"/>
      <c r="D344" s="560"/>
      <c r="E344" s="509" t="s">
        <v>49</v>
      </c>
      <c r="F344" s="567" t="str">
        <f>+F343/B340</f>
        <v>#DIV/0!</v>
      </c>
      <c r="G344" s="567"/>
      <c r="H344" s="401"/>
      <c r="I344" s="401"/>
      <c r="J344" s="401"/>
      <c r="K344" s="401"/>
      <c r="L344" s="401"/>
      <c r="M344" s="401"/>
      <c r="N344" s="401"/>
      <c r="O344" s="401"/>
      <c r="P344" s="401"/>
      <c r="Q344" s="401"/>
      <c r="R344" s="401"/>
      <c r="S344" s="401"/>
      <c r="T344" s="401"/>
      <c r="U344" s="401"/>
      <c r="V344" s="401"/>
      <c r="W344" s="559"/>
      <c r="X344" s="401"/>
      <c r="Y344" s="401"/>
      <c r="Z344" s="401"/>
      <c r="AA344" s="401"/>
      <c r="AB344" s="401"/>
    </row>
    <row r="345" ht="18.0" customHeight="1">
      <c r="A345" s="562"/>
      <c r="B345" s="562"/>
      <c r="C345" s="509" t="s">
        <v>51</v>
      </c>
      <c r="D345" s="562"/>
      <c r="E345" s="562"/>
      <c r="F345" s="570"/>
      <c r="G345" s="570"/>
      <c r="H345" s="562"/>
      <c r="I345" s="401"/>
      <c r="J345" s="401"/>
      <c r="K345" s="401"/>
      <c r="L345" s="401"/>
      <c r="M345" s="401"/>
      <c r="N345" s="401"/>
      <c r="O345" s="401"/>
      <c r="P345" s="401"/>
      <c r="Q345" s="401"/>
      <c r="R345" s="401"/>
      <c r="S345" s="401"/>
      <c r="T345" s="401"/>
      <c r="U345" s="401"/>
      <c r="V345" s="401"/>
      <c r="W345" s="550"/>
      <c r="X345" s="401"/>
      <c r="Y345" s="401"/>
      <c r="Z345" s="401"/>
      <c r="AA345" s="401"/>
      <c r="AB345" s="401"/>
    </row>
    <row r="346" ht="18.0" customHeight="1">
      <c r="A346" s="562"/>
      <c r="B346" s="562"/>
      <c r="C346" s="562"/>
      <c r="D346" s="509" t="s">
        <v>52</v>
      </c>
      <c r="E346" s="562"/>
      <c r="F346" s="570">
        <f>+F345*(F343-F340)</f>
        <v>0</v>
      </c>
      <c r="G346" s="570"/>
      <c r="H346" s="562"/>
      <c r="I346" s="401"/>
      <c r="J346" s="401"/>
      <c r="K346" s="401"/>
      <c r="L346" s="401"/>
      <c r="M346" s="401"/>
      <c r="N346" s="401"/>
      <c r="O346" s="401"/>
      <c r="P346" s="401"/>
      <c r="Q346" s="401"/>
      <c r="R346" s="401"/>
      <c r="S346" s="401"/>
      <c r="T346" s="401"/>
      <c r="U346" s="401"/>
      <c r="V346" s="401"/>
      <c r="W346" s="401"/>
      <c r="X346" s="401"/>
      <c r="Y346" s="401"/>
      <c r="Z346" s="401"/>
      <c r="AA346" s="401"/>
      <c r="AB346" s="401"/>
    </row>
    <row r="347" ht="18.0" customHeight="1">
      <c r="A347" s="401"/>
      <c r="B347" s="401"/>
      <c r="C347" s="401"/>
      <c r="D347" s="401"/>
      <c r="E347" s="401"/>
      <c r="F347" s="550"/>
      <c r="G347" s="550"/>
      <c r="H347" s="401"/>
      <c r="I347" s="401"/>
      <c r="J347" s="401"/>
      <c r="K347" s="401"/>
      <c r="L347" s="401"/>
      <c r="M347" s="401"/>
      <c r="N347" s="401"/>
      <c r="O347" s="401"/>
      <c r="P347" s="401"/>
      <c r="Q347" s="401"/>
      <c r="R347" s="401"/>
      <c r="S347" s="401"/>
      <c r="T347" s="401"/>
      <c r="U347" s="401"/>
      <c r="V347" s="401"/>
      <c r="W347" s="401"/>
      <c r="X347" s="401"/>
      <c r="Y347" s="401"/>
      <c r="Z347" s="401"/>
      <c r="AA347" s="401"/>
      <c r="AB347" s="401"/>
    </row>
    <row r="348" ht="18.0" customHeight="1">
      <c r="A348" s="401"/>
      <c r="B348" s="401"/>
      <c r="C348" s="401"/>
      <c r="D348" s="401"/>
      <c r="E348" s="401"/>
      <c r="F348" s="550"/>
      <c r="G348" s="550"/>
      <c r="H348" s="401"/>
      <c r="I348" s="401"/>
      <c r="J348" s="401"/>
      <c r="K348" s="401"/>
      <c r="L348" s="401"/>
      <c r="M348" s="401"/>
      <c r="N348" s="401"/>
      <c r="O348" s="401"/>
      <c r="P348" s="401"/>
      <c r="Q348" s="401"/>
      <c r="R348" s="401"/>
      <c r="S348" s="401"/>
      <c r="T348" s="401"/>
      <c r="U348" s="401"/>
      <c r="V348" s="401"/>
      <c r="W348" s="401"/>
      <c r="X348" s="401"/>
      <c r="Y348" s="401"/>
      <c r="Z348" s="401"/>
      <c r="AA348" s="401"/>
      <c r="AB348" s="401"/>
    </row>
    <row r="349" ht="18.0" customHeight="1">
      <c r="A349" s="401"/>
      <c r="B349" s="401"/>
      <c r="C349" s="401"/>
      <c r="D349" s="401"/>
      <c r="E349" s="401"/>
      <c r="F349" s="550"/>
      <c r="G349" s="550"/>
      <c r="H349" s="401"/>
      <c r="I349" s="401"/>
      <c r="J349" s="401"/>
      <c r="K349" s="401"/>
      <c r="L349" s="401"/>
      <c r="M349" s="401"/>
      <c r="N349" s="401"/>
      <c r="O349" s="401"/>
      <c r="P349" s="401"/>
      <c r="Q349" s="401"/>
      <c r="R349" s="401"/>
      <c r="S349" s="401"/>
      <c r="T349" s="401"/>
      <c r="U349" s="401"/>
      <c r="V349" s="401"/>
      <c r="W349" s="401"/>
      <c r="X349" s="401"/>
      <c r="Y349" s="401"/>
      <c r="Z349" s="401"/>
      <c r="AA349" s="401"/>
      <c r="AB349" s="401"/>
    </row>
    <row r="350" ht="18.0" customHeight="1">
      <c r="A350" s="401"/>
      <c r="B350" s="401"/>
      <c r="C350" s="401"/>
      <c r="D350" s="401"/>
      <c r="E350" s="401"/>
      <c r="F350" s="550"/>
      <c r="G350" s="550"/>
      <c r="H350" s="401"/>
      <c r="I350" s="401"/>
      <c r="J350" s="401"/>
      <c r="K350" s="401"/>
      <c r="L350" s="401"/>
      <c r="M350" s="401"/>
      <c r="N350" s="401"/>
      <c r="O350" s="401"/>
      <c r="P350" s="401"/>
      <c r="Q350" s="401"/>
      <c r="R350" s="401"/>
      <c r="S350" s="401"/>
      <c r="T350" s="401"/>
      <c r="U350" s="401"/>
      <c r="V350" s="401"/>
      <c r="W350" s="401"/>
      <c r="X350" s="401"/>
      <c r="Y350" s="401"/>
      <c r="Z350" s="401"/>
      <c r="AA350" s="401"/>
      <c r="AB350" s="401"/>
    </row>
    <row r="351" ht="18.0" customHeight="1">
      <c r="A351" s="401"/>
      <c r="B351" s="401"/>
      <c r="C351" s="401"/>
      <c r="D351" s="401"/>
      <c r="E351" s="401"/>
      <c r="F351" s="550"/>
      <c r="G351" s="550"/>
      <c r="H351" s="401"/>
      <c r="I351" s="401"/>
      <c r="J351" s="401"/>
      <c r="K351" s="401"/>
      <c r="L351" s="401"/>
      <c r="M351" s="401"/>
      <c r="N351" s="401"/>
      <c r="O351" s="401"/>
      <c r="P351" s="401"/>
      <c r="Q351" s="401"/>
      <c r="R351" s="401"/>
      <c r="S351" s="401"/>
      <c r="T351" s="401"/>
      <c r="U351" s="401"/>
      <c r="V351" s="401"/>
      <c r="W351" s="401"/>
      <c r="X351" s="401"/>
      <c r="Y351" s="401"/>
      <c r="Z351" s="401"/>
      <c r="AA351" s="401"/>
      <c r="AB351" s="401"/>
    </row>
    <row r="352" ht="18.0" customHeight="1">
      <c r="A352" s="401"/>
      <c r="B352" s="401"/>
      <c r="C352" s="401"/>
      <c r="D352" s="401"/>
      <c r="E352" s="401"/>
      <c r="F352" s="550"/>
      <c r="G352" s="550"/>
      <c r="H352" s="401"/>
      <c r="I352" s="401"/>
      <c r="J352" s="401"/>
      <c r="K352" s="401"/>
      <c r="L352" s="401"/>
      <c r="M352" s="401"/>
      <c r="N352" s="401"/>
      <c r="O352" s="401"/>
      <c r="P352" s="401"/>
      <c r="Q352" s="401"/>
      <c r="R352" s="401"/>
      <c r="S352" s="401"/>
      <c r="T352" s="401"/>
      <c r="U352" s="401"/>
      <c r="V352" s="401"/>
      <c r="W352" s="401"/>
      <c r="X352" s="401"/>
      <c r="Y352" s="401"/>
      <c r="Z352" s="401"/>
      <c r="AA352" s="401"/>
      <c r="AB352" s="401"/>
    </row>
    <row r="353" ht="18.0" customHeight="1">
      <c r="A353" s="401"/>
      <c r="B353" s="401"/>
      <c r="C353" s="401"/>
      <c r="D353" s="401"/>
      <c r="E353" s="401"/>
      <c r="F353" s="550"/>
      <c r="G353" s="550"/>
      <c r="H353" s="401"/>
      <c r="I353" s="401"/>
      <c r="J353" s="401"/>
      <c r="K353" s="401"/>
      <c r="L353" s="401"/>
      <c r="M353" s="401"/>
      <c r="N353" s="401"/>
      <c r="O353" s="401"/>
      <c r="P353" s="401"/>
      <c r="Q353" s="401"/>
      <c r="R353" s="401"/>
      <c r="S353" s="401"/>
      <c r="T353" s="401"/>
      <c r="U353" s="401"/>
      <c r="V353" s="401"/>
      <c r="W353" s="401"/>
      <c r="X353" s="401"/>
      <c r="Y353" s="401"/>
      <c r="Z353" s="401"/>
      <c r="AA353" s="401"/>
      <c r="AB353" s="401"/>
    </row>
    <row r="354" ht="18.0" customHeight="1">
      <c r="A354" s="401"/>
      <c r="B354" s="401"/>
      <c r="C354" s="401"/>
      <c r="D354" s="401"/>
      <c r="E354" s="401"/>
      <c r="F354" s="550"/>
      <c r="G354" s="550"/>
      <c r="H354" s="401"/>
      <c r="I354" s="401"/>
      <c r="J354" s="401"/>
      <c r="K354" s="401"/>
      <c r="L354" s="401"/>
      <c r="M354" s="401"/>
      <c r="N354" s="401"/>
      <c r="O354" s="401"/>
      <c r="P354" s="401"/>
      <c r="Q354" s="401"/>
      <c r="R354" s="401"/>
      <c r="S354" s="401"/>
      <c r="T354" s="401"/>
      <c r="U354" s="401"/>
      <c r="V354" s="401"/>
      <c r="W354" s="401"/>
      <c r="X354" s="401"/>
      <c r="Y354" s="401"/>
      <c r="Z354" s="401"/>
      <c r="AA354" s="401"/>
      <c r="AB354" s="401"/>
    </row>
    <row r="355" ht="18.0" customHeight="1">
      <c r="A355" s="401"/>
      <c r="B355" s="401"/>
      <c r="C355" s="401"/>
      <c r="D355" s="401"/>
      <c r="E355" s="401"/>
      <c r="F355" s="550"/>
      <c r="G355" s="550"/>
      <c r="H355" s="401"/>
      <c r="I355" s="401"/>
      <c r="J355" s="401"/>
      <c r="K355" s="401"/>
      <c r="L355" s="401"/>
      <c r="M355" s="401"/>
      <c r="N355" s="401"/>
      <c r="O355" s="401"/>
      <c r="P355" s="401"/>
      <c r="Q355" s="401"/>
      <c r="R355" s="401"/>
      <c r="S355" s="401"/>
      <c r="T355" s="401"/>
      <c r="U355" s="401"/>
      <c r="V355" s="401"/>
      <c r="W355" s="401"/>
      <c r="X355" s="401"/>
      <c r="Y355" s="401"/>
      <c r="Z355" s="401"/>
      <c r="AA355" s="401"/>
      <c r="AB355" s="401"/>
    </row>
    <row r="356" ht="18.0" customHeight="1">
      <c r="A356" s="401"/>
      <c r="B356" s="401"/>
      <c r="C356" s="401"/>
      <c r="D356" s="401"/>
      <c r="E356" s="401"/>
      <c r="F356" s="550"/>
      <c r="G356" s="550"/>
      <c r="H356" s="401"/>
      <c r="I356" s="401"/>
      <c r="J356" s="401"/>
      <c r="K356" s="401"/>
      <c r="L356" s="401"/>
      <c r="M356" s="401"/>
      <c r="N356" s="401"/>
      <c r="O356" s="401"/>
      <c r="P356" s="401"/>
      <c r="Q356" s="401"/>
      <c r="R356" s="401"/>
      <c r="S356" s="401"/>
      <c r="T356" s="401"/>
      <c r="U356" s="401"/>
      <c r="V356" s="401"/>
      <c r="W356" s="401"/>
      <c r="X356" s="401"/>
      <c r="Y356" s="401"/>
      <c r="Z356" s="401"/>
      <c r="AA356" s="401"/>
      <c r="AB356" s="401"/>
    </row>
    <row r="357" ht="18.0" customHeight="1">
      <c r="A357" s="401"/>
      <c r="B357" s="401"/>
      <c r="C357" s="401"/>
      <c r="D357" s="401"/>
      <c r="E357" s="401"/>
      <c r="F357" s="550"/>
      <c r="G357" s="550"/>
      <c r="H357" s="401"/>
      <c r="I357" s="401"/>
      <c r="J357" s="401"/>
      <c r="K357" s="401"/>
      <c r="L357" s="401"/>
      <c r="M357" s="401"/>
      <c r="N357" s="401"/>
      <c r="O357" s="401"/>
      <c r="P357" s="401"/>
      <c r="Q357" s="401"/>
      <c r="R357" s="401"/>
      <c r="S357" s="401"/>
      <c r="T357" s="401"/>
      <c r="U357" s="401"/>
      <c r="V357" s="401"/>
      <c r="W357" s="401"/>
      <c r="X357" s="401"/>
      <c r="Y357" s="401"/>
      <c r="Z357" s="401"/>
      <c r="AA357" s="401"/>
      <c r="AB357" s="401"/>
    </row>
    <row r="358" ht="18.0" customHeight="1">
      <c r="A358" s="401"/>
      <c r="B358" s="401"/>
      <c r="C358" s="401"/>
      <c r="D358" s="401"/>
      <c r="E358" s="401"/>
      <c r="F358" s="550"/>
      <c r="G358" s="550"/>
      <c r="H358" s="401"/>
      <c r="I358" s="401"/>
      <c r="J358" s="401"/>
      <c r="K358" s="401"/>
      <c r="L358" s="401"/>
      <c r="M358" s="401"/>
      <c r="N358" s="401"/>
      <c r="O358" s="401"/>
      <c r="P358" s="401"/>
      <c r="Q358" s="401"/>
      <c r="R358" s="401"/>
      <c r="S358" s="401"/>
      <c r="T358" s="401"/>
      <c r="U358" s="401"/>
      <c r="V358" s="401"/>
      <c r="W358" s="401"/>
      <c r="X358" s="401"/>
      <c r="Y358" s="401"/>
      <c r="Z358" s="401"/>
      <c r="AA358" s="401"/>
      <c r="AB358" s="401"/>
    </row>
    <row r="359" ht="18.0" customHeight="1">
      <c r="A359" s="401"/>
      <c r="B359" s="401"/>
      <c r="C359" s="401"/>
      <c r="D359" s="401"/>
      <c r="E359" s="401"/>
      <c r="F359" s="550"/>
      <c r="G359" s="550"/>
      <c r="H359" s="401"/>
      <c r="I359" s="401"/>
      <c r="J359" s="401"/>
      <c r="K359" s="401"/>
      <c r="L359" s="401"/>
      <c r="M359" s="401"/>
      <c r="N359" s="401"/>
      <c r="O359" s="401"/>
      <c r="P359" s="401"/>
      <c r="Q359" s="401"/>
      <c r="R359" s="401"/>
      <c r="S359" s="401"/>
      <c r="T359" s="401"/>
      <c r="U359" s="401"/>
      <c r="V359" s="401"/>
      <c r="W359" s="401"/>
      <c r="X359" s="401"/>
      <c r="Y359" s="401"/>
      <c r="Z359" s="401"/>
      <c r="AA359" s="401"/>
      <c r="AB359" s="401"/>
    </row>
    <row r="360" ht="18.0" customHeight="1">
      <c r="A360" s="401"/>
      <c r="B360" s="401"/>
      <c r="C360" s="401"/>
      <c r="D360" s="401"/>
      <c r="E360" s="401"/>
      <c r="F360" s="550"/>
      <c r="G360" s="550"/>
      <c r="H360" s="401"/>
      <c r="I360" s="401"/>
      <c r="J360" s="401"/>
      <c r="K360" s="401"/>
      <c r="L360" s="401"/>
      <c r="M360" s="401"/>
      <c r="N360" s="401"/>
      <c r="O360" s="401"/>
      <c r="P360" s="401"/>
      <c r="Q360" s="401"/>
      <c r="R360" s="401"/>
      <c r="S360" s="401"/>
      <c r="T360" s="401"/>
      <c r="U360" s="401"/>
      <c r="V360" s="401"/>
      <c r="W360" s="401"/>
      <c r="X360" s="401"/>
      <c r="Y360" s="401"/>
      <c r="Z360" s="401"/>
      <c r="AA360" s="401"/>
      <c r="AB360" s="401"/>
    </row>
    <row r="361" ht="18.0" customHeight="1">
      <c r="A361" s="401"/>
      <c r="B361" s="401"/>
      <c r="C361" s="401"/>
      <c r="D361" s="401"/>
      <c r="E361" s="401"/>
      <c r="F361" s="550"/>
      <c r="G361" s="550"/>
      <c r="H361" s="401"/>
      <c r="I361" s="401"/>
      <c r="J361" s="401"/>
      <c r="K361" s="401"/>
      <c r="L361" s="401"/>
      <c r="M361" s="401"/>
      <c r="N361" s="401"/>
      <c r="O361" s="401"/>
      <c r="P361" s="401"/>
      <c r="Q361" s="401"/>
      <c r="R361" s="401"/>
      <c r="S361" s="401"/>
      <c r="T361" s="401"/>
      <c r="U361" s="401"/>
      <c r="V361" s="401"/>
      <c r="W361" s="401"/>
      <c r="X361" s="401"/>
      <c r="Y361" s="401"/>
      <c r="Z361" s="401"/>
      <c r="AA361" s="401"/>
      <c r="AB361" s="401"/>
    </row>
    <row r="362" ht="18.0" customHeight="1">
      <c r="A362" s="401"/>
      <c r="B362" s="401"/>
      <c r="C362" s="401"/>
      <c r="D362" s="401"/>
      <c r="E362" s="401"/>
      <c r="F362" s="550"/>
      <c r="G362" s="550"/>
      <c r="H362" s="401"/>
      <c r="I362" s="401"/>
      <c r="J362" s="401"/>
      <c r="K362" s="401"/>
      <c r="L362" s="401"/>
      <c r="M362" s="401"/>
      <c r="N362" s="401"/>
      <c r="O362" s="401"/>
      <c r="P362" s="401"/>
      <c r="Q362" s="401"/>
      <c r="R362" s="401"/>
      <c r="S362" s="401"/>
      <c r="T362" s="401"/>
      <c r="U362" s="401"/>
      <c r="V362" s="401"/>
      <c r="W362" s="401"/>
      <c r="X362" s="401"/>
      <c r="Y362" s="401"/>
      <c r="Z362" s="401"/>
      <c r="AA362" s="401"/>
      <c r="AB362" s="401"/>
    </row>
    <row r="363" ht="18.0" customHeight="1">
      <c r="A363" s="401"/>
      <c r="B363" s="401"/>
      <c r="C363" s="401"/>
      <c r="D363" s="401"/>
      <c r="E363" s="401"/>
      <c r="F363" s="550"/>
      <c r="G363" s="550"/>
      <c r="H363" s="401"/>
      <c r="I363" s="401"/>
      <c r="J363" s="401"/>
      <c r="K363" s="401"/>
      <c r="L363" s="401"/>
      <c r="M363" s="401"/>
      <c r="N363" s="401"/>
      <c r="O363" s="401"/>
      <c r="P363" s="401"/>
      <c r="Q363" s="401"/>
      <c r="R363" s="401"/>
      <c r="S363" s="401"/>
      <c r="T363" s="401"/>
      <c r="U363" s="401"/>
      <c r="V363" s="401"/>
      <c r="W363" s="401"/>
      <c r="X363" s="401"/>
      <c r="Y363" s="401"/>
      <c r="Z363" s="401"/>
      <c r="AA363" s="401"/>
      <c r="AB363" s="401"/>
    </row>
    <row r="364" ht="18.0" customHeight="1">
      <c r="A364" s="401"/>
      <c r="B364" s="401"/>
      <c r="C364" s="401"/>
      <c r="D364" s="401"/>
      <c r="E364" s="401"/>
      <c r="F364" s="550"/>
      <c r="G364" s="550"/>
      <c r="H364" s="401"/>
      <c r="I364" s="401"/>
      <c r="J364" s="401"/>
      <c r="K364" s="401"/>
      <c r="L364" s="401"/>
      <c r="M364" s="401"/>
      <c r="N364" s="401"/>
      <c r="O364" s="401"/>
      <c r="P364" s="401"/>
      <c r="Q364" s="401"/>
      <c r="R364" s="401"/>
      <c r="S364" s="401"/>
      <c r="T364" s="401"/>
      <c r="U364" s="401"/>
      <c r="V364" s="401"/>
      <c r="W364" s="401"/>
      <c r="X364" s="401"/>
      <c r="Y364" s="401"/>
      <c r="Z364" s="401"/>
      <c r="AA364" s="401"/>
      <c r="AB364" s="401"/>
    </row>
    <row r="365" ht="18.0" customHeight="1">
      <c r="A365" s="401"/>
      <c r="B365" s="401"/>
      <c r="C365" s="401"/>
      <c r="D365" s="401"/>
      <c r="E365" s="401"/>
      <c r="F365" s="550"/>
      <c r="G365" s="550"/>
      <c r="H365" s="401"/>
      <c r="I365" s="401"/>
      <c r="J365" s="401"/>
      <c r="K365" s="401"/>
      <c r="L365" s="401"/>
      <c r="M365" s="401"/>
      <c r="N365" s="401"/>
      <c r="O365" s="401"/>
      <c r="P365" s="401"/>
      <c r="Q365" s="401"/>
      <c r="R365" s="401"/>
      <c r="S365" s="401"/>
      <c r="T365" s="401"/>
      <c r="U365" s="401"/>
      <c r="V365" s="401"/>
      <c r="W365" s="401"/>
      <c r="X365" s="401"/>
      <c r="Y365" s="401"/>
      <c r="Z365" s="401"/>
      <c r="AA365" s="401"/>
      <c r="AB365" s="401"/>
    </row>
    <row r="366" ht="18.0" customHeight="1">
      <c r="A366" s="401"/>
      <c r="B366" s="401"/>
      <c r="C366" s="401"/>
      <c r="D366" s="401"/>
      <c r="E366" s="401"/>
      <c r="F366" s="550"/>
      <c r="G366" s="550"/>
      <c r="H366" s="401"/>
      <c r="I366" s="401"/>
      <c r="J366" s="401"/>
      <c r="K366" s="401"/>
      <c r="L366" s="401"/>
      <c r="M366" s="401"/>
      <c r="N366" s="401"/>
      <c r="O366" s="401"/>
      <c r="P366" s="401"/>
      <c r="Q366" s="401"/>
      <c r="R366" s="401"/>
      <c r="S366" s="401"/>
      <c r="T366" s="401"/>
      <c r="U366" s="401"/>
      <c r="V366" s="401"/>
      <c r="W366" s="401"/>
      <c r="X366" s="401"/>
      <c r="Y366" s="401"/>
      <c r="Z366" s="401"/>
      <c r="AA366" s="401"/>
      <c r="AB366" s="401"/>
    </row>
    <row r="367" ht="18.0" customHeight="1">
      <c r="A367" s="401"/>
      <c r="B367" s="401"/>
      <c r="C367" s="401"/>
      <c r="D367" s="401"/>
      <c r="E367" s="401"/>
      <c r="F367" s="550"/>
      <c r="G367" s="550"/>
      <c r="H367" s="401"/>
      <c r="I367" s="401"/>
      <c r="J367" s="401"/>
      <c r="K367" s="401"/>
      <c r="L367" s="401"/>
      <c r="M367" s="401"/>
      <c r="N367" s="401"/>
      <c r="O367" s="401"/>
      <c r="P367" s="401"/>
      <c r="Q367" s="401"/>
      <c r="R367" s="401"/>
      <c r="S367" s="401"/>
      <c r="T367" s="401"/>
      <c r="U367" s="401"/>
      <c r="V367" s="401"/>
      <c r="W367" s="401"/>
      <c r="X367" s="401"/>
      <c r="Y367" s="401"/>
      <c r="Z367" s="401"/>
      <c r="AA367" s="401"/>
      <c r="AB367" s="401"/>
    </row>
    <row r="368" ht="18.0" customHeight="1">
      <c r="A368" s="401"/>
      <c r="B368" s="401"/>
      <c r="C368" s="401"/>
      <c r="D368" s="401"/>
      <c r="E368" s="401"/>
      <c r="F368" s="550"/>
      <c r="G368" s="550"/>
      <c r="H368" s="401"/>
      <c r="I368" s="401"/>
      <c r="J368" s="401"/>
      <c r="K368" s="401"/>
      <c r="L368" s="401"/>
      <c r="M368" s="401"/>
      <c r="N368" s="401"/>
      <c r="O368" s="401"/>
      <c r="P368" s="401"/>
      <c r="Q368" s="401"/>
      <c r="R368" s="401"/>
      <c r="S368" s="401"/>
      <c r="T368" s="401"/>
      <c r="U368" s="401"/>
      <c r="V368" s="401"/>
      <c r="W368" s="401"/>
      <c r="X368" s="401"/>
      <c r="Y368" s="401"/>
      <c r="Z368" s="401"/>
      <c r="AA368" s="401"/>
      <c r="AB368" s="401"/>
    </row>
    <row r="369" ht="18.0" customHeight="1">
      <c r="A369" s="401"/>
      <c r="B369" s="401"/>
      <c r="C369" s="401"/>
      <c r="D369" s="401"/>
      <c r="E369" s="401"/>
      <c r="F369" s="550"/>
      <c r="G369" s="550"/>
      <c r="H369" s="401"/>
      <c r="I369" s="401"/>
      <c r="J369" s="401"/>
      <c r="K369" s="401"/>
      <c r="L369" s="401"/>
      <c r="M369" s="401"/>
      <c r="N369" s="401"/>
      <c r="O369" s="401"/>
      <c r="P369" s="401"/>
      <c r="Q369" s="401"/>
      <c r="R369" s="401"/>
      <c r="S369" s="401"/>
      <c r="T369" s="401"/>
      <c r="U369" s="401"/>
      <c r="V369" s="401"/>
      <c r="W369" s="401"/>
      <c r="X369" s="401"/>
      <c r="Y369" s="401"/>
      <c r="Z369" s="401"/>
      <c r="AA369" s="401"/>
      <c r="AB369" s="401"/>
    </row>
    <row r="370" ht="18.0" customHeight="1">
      <c r="A370" s="401"/>
      <c r="B370" s="401"/>
      <c r="C370" s="401"/>
      <c r="D370" s="401"/>
      <c r="E370" s="401"/>
      <c r="F370" s="550"/>
      <c r="G370" s="550"/>
      <c r="H370" s="401"/>
      <c r="I370" s="401"/>
      <c r="J370" s="401"/>
      <c r="K370" s="401"/>
      <c r="L370" s="401"/>
      <c r="M370" s="401"/>
      <c r="N370" s="401"/>
      <c r="O370" s="401"/>
      <c r="P370" s="401"/>
      <c r="Q370" s="401"/>
      <c r="R370" s="401"/>
      <c r="S370" s="401"/>
      <c r="T370" s="401"/>
      <c r="U370" s="401"/>
      <c r="V370" s="401"/>
      <c r="W370" s="401"/>
      <c r="X370" s="401"/>
      <c r="Y370" s="401"/>
      <c r="Z370" s="401"/>
      <c r="AA370" s="401"/>
      <c r="AB370" s="401"/>
    </row>
    <row r="371" ht="18.0" customHeight="1">
      <c r="A371" s="401"/>
      <c r="B371" s="401"/>
      <c r="C371" s="401"/>
      <c r="D371" s="401"/>
      <c r="E371" s="401"/>
      <c r="F371" s="550"/>
      <c r="G371" s="550"/>
      <c r="H371" s="401"/>
      <c r="I371" s="401"/>
      <c r="J371" s="401"/>
      <c r="K371" s="401"/>
      <c r="L371" s="401"/>
      <c r="M371" s="401"/>
      <c r="N371" s="401"/>
      <c r="O371" s="401"/>
      <c r="P371" s="401"/>
      <c r="Q371" s="401"/>
      <c r="R371" s="401"/>
      <c r="S371" s="401"/>
      <c r="T371" s="401"/>
      <c r="U371" s="401"/>
      <c r="V371" s="401"/>
      <c r="W371" s="401"/>
      <c r="X371" s="401"/>
      <c r="Y371" s="401"/>
      <c r="Z371" s="401"/>
      <c r="AA371" s="401"/>
      <c r="AB371" s="401"/>
    </row>
    <row r="372" ht="18.0" customHeight="1">
      <c r="A372" s="401"/>
      <c r="B372" s="401"/>
      <c r="C372" s="401"/>
      <c r="D372" s="401"/>
      <c r="E372" s="401"/>
      <c r="F372" s="550"/>
      <c r="G372" s="550"/>
      <c r="H372" s="401"/>
      <c r="I372" s="401"/>
      <c r="J372" s="401"/>
      <c r="K372" s="401"/>
      <c r="L372" s="401"/>
      <c r="M372" s="401"/>
      <c r="N372" s="401"/>
      <c r="O372" s="401"/>
      <c r="P372" s="401"/>
      <c r="Q372" s="401"/>
      <c r="R372" s="401"/>
      <c r="S372" s="401"/>
      <c r="T372" s="401"/>
      <c r="U372" s="401"/>
      <c r="V372" s="401"/>
      <c r="W372" s="401"/>
      <c r="X372" s="401"/>
      <c r="Y372" s="401"/>
      <c r="Z372" s="401"/>
      <c r="AA372" s="401"/>
      <c r="AB372" s="401"/>
    </row>
    <row r="373" ht="18.0" customHeight="1">
      <c r="A373" s="401"/>
      <c r="B373" s="401"/>
      <c r="C373" s="401"/>
      <c r="D373" s="401"/>
      <c r="E373" s="401"/>
      <c r="F373" s="550"/>
      <c r="G373" s="550"/>
      <c r="H373" s="401"/>
      <c r="I373" s="401"/>
      <c r="J373" s="401"/>
      <c r="K373" s="401"/>
      <c r="L373" s="401"/>
      <c r="M373" s="401"/>
      <c r="N373" s="401"/>
      <c r="O373" s="401"/>
      <c r="P373" s="401"/>
      <c r="Q373" s="401"/>
      <c r="R373" s="401"/>
      <c r="S373" s="401"/>
      <c r="T373" s="401"/>
      <c r="U373" s="401"/>
      <c r="V373" s="401"/>
      <c r="W373" s="401"/>
      <c r="X373" s="401"/>
      <c r="Y373" s="401"/>
      <c r="Z373" s="401"/>
      <c r="AA373" s="401"/>
      <c r="AB373" s="401"/>
    </row>
    <row r="374" ht="18.0" customHeight="1">
      <c r="A374" s="401"/>
      <c r="B374" s="401"/>
      <c r="C374" s="401"/>
      <c r="D374" s="401"/>
      <c r="E374" s="401"/>
      <c r="F374" s="550"/>
      <c r="G374" s="550"/>
      <c r="H374" s="401"/>
      <c r="I374" s="401"/>
      <c r="J374" s="401"/>
      <c r="K374" s="401"/>
      <c r="L374" s="401"/>
      <c r="M374" s="401"/>
      <c r="N374" s="401"/>
      <c r="O374" s="401"/>
      <c r="P374" s="401"/>
      <c r="Q374" s="401"/>
      <c r="R374" s="401"/>
      <c r="S374" s="401"/>
      <c r="T374" s="401"/>
      <c r="U374" s="401"/>
      <c r="V374" s="401"/>
      <c r="W374" s="401"/>
      <c r="X374" s="401"/>
      <c r="Y374" s="401"/>
      <c r="Z374" s="401"/>
      <c r="AA374" s="401"/>
      <c r="AB374" s="401"/>
    </row>
    <row r="375" ht="18.0" customHeight="1">
      <c r="A375" s="401"/>
      <c r="B375" s="401"/>
      <c r="C375" s="401"/>
      <c r="D375" s="401"/>
      <c r="E375" s="401"/>
      <c r="F375" s="550"/>
      <c r="G375" s="550"/>
      <c r="H375" s="401"/>
      <c r="I375" s="401"/>
      <c r="J375" s="401"/>
      <c r="K375" s="401"/>
      <c r="L375" s="401"/>
      <c r="M375" s="401"/>
      <c r="N375" s="401"/>
      <c r="O375" s="401"/>
      <c r="P375" s="401"/>
      <c r="Q375" s="401"/>
      <c r="R375" s="401"/>
      <c r="S375" s="401"/>
      <c r="T375" s="401"/>
      <c r="U375" s="401"/>
      <c r="V375" s="401"/>
      <c r="W375" s="401"/>
      <c r="X375" s="401"/>
      <c r="Y375" s="401"/>
      <c r="Z375" s="401"/>
      <c r="AA375" s="401"/>
      <c r="AB375" s="401"/>
    </row>
    <row r="376" ht="18.0" customHeight="1">
      <c r="A376" s="401"/>
      <c r="B376" s="401"/>
      <c r="C376" s="401"/>
      <c r="D376" s="401"/>
      <c r="E376" s="401"/>
      <c r="F376" s="550"/>
      <c r="G376" s="550"/>
      <c r="H376" s="401"/>
      <c r="I376" s="401"/>
      <c r="J376" s="401"/>
      <c r="K376" s="401"/>
      <c r="L376" s="401"/>
      <c r="M376" s="401"/>
      <c r="N376" s="401"/>
      <c r="O376" s="401"/>
      <c r="P376" s="401"/>
      <c r="Q376" s="401"/>
      <c r="R376" s="401"/>
      <c r="S376" s="401"/>
      <c r="T376" s="401"/>
      <c r="U376" s="401"/>
      <c r="V376" s="401"/>
      <c r="W376" s="401"/>
      <c r="X376" s="401"/>
      <c r="Y376" s="401"/>
      <c r="Z376" s="401"/>
      <c r="AA376" s="401"/>
      <c r="AB376" s="401"/>
    </row>
    <row r="377" ht="18.0" customHeight="1">
      <c r="A377" s="401"/>
      <c r="B377" s="401"/>
      <c r="C377" s="401"/>
      <c r="D377" s="401"/>
      <c r="E377" s="401"/>
      <c r="F377" s="550"/>
      <c r="G377" s="550"/>
      <c r="H377" s="401"/>
      <c r="I377" s="401"/>
      <c r="J377" s="401"/>
      <c r="K377" s="401"/>
      <c r="L377" s="401"/>
      <c r="M377" s="401"/>
      <c r="N377" s="401"/>
      <c r="O377" s="401"/>
      <c r="P377" s="401"/>
      <c r="Q377" s="401"/>
      <c r="R377" s="401"/>
      <c r="S377" s="401"/>
      <c r="T377" s="401"/>
      <c r="U377" s="401"/>
      <c r="V377" s="401"/>
      <c r="W377" s="401"/>
      <c r="X377" s="401"/>
      <c r="Y377" s="401"/>
      <c r="Z377" s="401"/>
      <c r="AA377" s="401"/>
      <c r="AB377" s="401"/>
    </row>
    <row r="378" ht="18.0" customHeight="1">
      <c r="A378" s="401"/>
      <c r="B378" s="401"/>
      <c r="C378" s="401"/>
      <c r="D378" s="401"/>
      <c r="E378" s="401"/>
      <c r="F378" s="550"/>
      <c r="G378" s="550"/>
      <c r="H378" s="401"/>
      <c r="I378" s="401"/>
      <c r="J378" s="401"/>
      <c r="K378" s="401"/>
      <c r="L378" s="401"/>
      <c r="M378" s="401"/>
      <c r="N378" s="401"/>
      <c r="O378" s="401"/>
      <c r="P378" s="401"/>
      <c r="Q378" s="401"/>
      <c r="R378" s="401"/>
      <c r="S378" s="401"/>
      <c r="T378" s="401"/>
      <c r="U378" s="401"/>
      <c r="V378" s="401"/>
      <c r="W378" s="401"/>
      <c r="X378" s="401"/>
      <c r="Y378" s="401"/>
      <c r="Z378" s="401"/>
      <c r="AA378" s="401"/>
      <c r="AB378" s="401"/>
    </row>
    <row r="379" ht="18.0" customHeight="1">
      <c r="A379" s="401"/>
      <c r="B379" s="401"/>
      <c r="C379" s="401"/>
      <c r="D379" s="401"/>
      <c r="E379" s="401"/>
      <c r="F379" s="550"/>
      <c r="G379" s="550"/>
      <c r="H379" s="401"/>
      <c r="I379" s="401"/>
      <c r="J379" s="401"/>
      <c r="K379" s="401"/>
      <c r="L379" s="401"/>
      <c r="M379" s="401"/>
      <c r="N379" s="401"/>
      <c r="O379" s="401"/>
      <c r="P379" s="401"/>
      <c r="Q379" s="401"/>
      <c r="R379" s="401"/>
      <c r="S379" s="401"/>
      <c r="T379" s="401"/>
      <c r="U379" s="401"/>
      <c r="V379" s="401"/>
      <c r="W379" s="401"/>
      <c r="X379" s="401"/>
      <c r="Y379" s="401"/>
      <c r="Z379" s="401"/>
      <c r="AA379" s="401"/>
      <c r="AB379" s="401"/>
    </row>
    <row r="380" ht="18.0" customHeight="1">
      <c r="A380" s="401"/>
      <c r="B380" s="401"/>
      <c r="C380" s="401"/>
      <c r="D380" s="401"/>
      <c r="E380" s="401"/>
      <c r="F380" s="550"/>
      <c r="G380" s="550"/>
      <c r="H380" s="401"/>
      <c r="I380" s="401"/>
      <c r="J380" s="401"/>
      <c r="K380" s="401"/>
      <c r="L380" s="401"/>
      <c r="M380" s="401"/>
      <c r="N380" s="401"/>
      <c r="O380" s="401"/>
      <c r="P380" s="401"/>
      <c r="Q380" s="401"/>
      <c r="R380" s="401"/>
      <c r="S380" s="401"/>
      <c r="T380" s="401"/>
      <c r="U380" s="401"/>
      <c r="V380" s="401"/>
      <c r="W380" s="401"/>
      <c r="X380" s="401"/>
      <c r="Y380" s="401"/>
      <c r="Z380" s="401"/>
      <c r="AA380" s="401"/>
      <c r="AB380" s="401"/>
    </row>
    <row r="381" ht="18.0" customHeight="1">
      <c r="A381" s="401"/>
      <c r="B381" s="401"/>
      <c r="C381" s="401"/>
      <c r="D381" s="401"/>
      <c r="E381" s="401"/>
      <c r="F381" s="550"/>
      <c r="G381" s="550"/>
      <c r="H381" s="401"/>
      <c r="I381" s="401"/>
      <c r="J381" s="401"/>
      <c r="K381" s="401"/>
      <c r="L381" s="401"/>
      <c r="M381" s="401"/>
      <c r="N381" s="401"/>
      <c r="O381" s="401"/>
      <c r="P381" s="401"/>
      <c r="Q381" s="401"/>
      <c r="R381" s="401"/>
      <c r="S381" s="401"/>
      <c r="T381" s="401"/>
      <c r="U381" s="401"/>
      <c r="V381" s="401"/>
      <c r="W381" s="401"/>
      <c r="X381" s="401"/>
      <c r="Y381" s="401"/>
      <c r="Z381" s="401"/>
      <c r="AA381" s="401"/>
      <c r="AB381" s="401"/>
    </row>
    <row r="382" ht="18.0" customHeight="1">
      <c r="A382" s="401"/>
      <c r="B382" s="401"/>
      <c r="C382" s="401"/>
      <c r="D382" s="401"/>
      <c r="E382" s="401"/>
      <c r="F382" s="550"/>
      <c r="G382" s="550"/>
      <c r="H382" s="401"/>
      <c r="I382" s="401"/>
      <c r="J382" s="401"/>
      <c r="K382" s="401"/>
      <c r="L382" s="401"/>
      <c r="M382" s="401"/>
      <c r="N382" s="401"/>
      <c r="O382" s="401"/>
      <c r="P382" s="401"/>
      <c r="Q382" s="401"/>
      <c r="R382" s="401"/>
      <c r="S382" s="401"/>
      <c r="T382" s="401"/>
      <c r="U382" s="401"/>
      <c r="V382" s="401"/>
      <c r="W382" s="401"/>
      <c r="X382" s="401"/>
      <c r="Y382" s="401"/>
      <c r="Z382" s="401"/>
      <c r="AA382" s="401"/>
      <c r="AB382" s="401"/>
    </row>
    <row r="383" ht="18.0" customHeight="1">
      <c r="A383" s="401"/>
      <c r="B383" s="401"/>
      <c r="C383" s="401"/>
      <c r="D383" s="401"/>
      <c r="E383" s="401"/>
      <c r="F383" s="550"/>
      <c r="G383" s="550"/>
      <c r="H383" s="401"/>
      <c r="I383" s="401"/>
      <c r="J383" s="401"/>
      <c r="K383" s="401"/>
      <c r="L383" s="401"/>
      <c r="M383" s="401"/>
      <c r="N383" s="401"/>
      <c r="O383" s="401"/>
      <c r="P383" s="401"/>
      <c r="Q383" s="401"/>
      <c r="R383" s="401"/>
      <c r="S383" s="401"/>
      <c r="T383" s="401"/>
      <c r="U383" s="401"/>
      <c r="V383" s="401"/>
      <c r="W383" s="401"/>
      <c r="X383" s="401"/>
      <c r="Y383" s="401"/>
      <c r="Z383" s="401"/>
      <c r="AA383" s="401"/>
      <c r="AB383" s="401"/>
    </row>
    <row r="384" ht="18.0" customHeight="1">
      <c r="A384" s="401"/>
      <c r="B384" s="401"/>
      <c r="C384" s="401"/>
      <c r="D384" s="401"/>
      <c r="E384" s="401"/>
      <c r="F384" s="550"/>
      <c r="G384" s="550"/>
      <c r="H384" s="401"/>
      <c r="I384" s="401"/>
      <c r="J384" s="401"/>
      <c r="K384" s="401"/>
      <c r="L384" s="401"/>
      <c r="M384" s="401"/>
      <c r="N384" s="401"/>
      <c r="O384" s="401"/>
      <c r="P384" s="401"/>
      <c r="Q384" s="401"/>
      <c r="R384" s="401"/>
      <c r="S384" s="401"/>
      <c r="T384" s="401"/>
      <c r="U384" s="401"/>
      <c r="V384" s="401"/>
      <c r="W384" s="401"/>
      <c r="X384" s="401"/>
      <c r="Y384" s="401"/>
      <c r="Z384" s="401"/>
      <c r="AA384" s="401"/>
      <c r="AB384" s="401"/>
    </row>
    <row r="385" ht="18.0" customHeight="1">
      <c r="A385" s="401"/>
      <c r="B385" s="401"/>
      <c r="C385" s="401"/>
      <c r="D385" s="401"/>
      <c r="E385" s="401"/>
      <c r="F385" s="550"/>
      <c r="G385" s="550"/>
      <c r="H385" s="401"/>
      <c r="I385" s="401"/>
      <c r="J385" s="401"/>
      <c r="K385" s="401"/>
      <c r="L385" s="401"/>
      <c r="M385" s="401"/>
      <c r="N385" s="401"/>
      <c r="O385" s="401"/>
      <c r="P385" s="401"/>
      <c r="Q385" s="401"/>
      <c r="R385" s="401"/>
      <c r="S385" s="401"/>
      <c r="T385" s="401"/>
      <c r="U385" s="401"/>
      <c r="V385" s="401"/>
      <c r="W385" s="401"/>
      <c r="X385" s="401"/>
      <c r="Y385" s="401"/>
      <c r="Z385" s="401"/>
      <c r="AA385" s="401"/>
      <c r="AB385" s="401"/>
    </row>
    <row r="386" ht="18.0" customHeight="1">
      <c r="A386" s="401"/>
      <c r="B386" s="401"/>
      <c r="C386" s="401"/>
      <c r="D386" s="401"/>
      <c r="E386" s="401"/>
      <c r="F386" s="550"/>
      <c r="G386" s="550"/>
      <c r="H386" s="401"/>
      <c r="I386" s="401"/>
      <c r="J386" s="401"/>
      <c r="K386" s="401"/>
      <c r="L386" s="401"/>
      <c r="M386" s="401"/>
      <c r="N386" s="401"/>
      <c r="O386" s="401"/>
      <c r="P386" s="401"/>
      <c r="Q386" s="401"/>
      <c r="R386" s="401"/>
      <c r="S386" s="401"/>
      <c r="T386" s="401"/>
      <c r="U386" s="401"/>
      <c r="V386" s="401"/>
      <c r="W386" s="401"/>
      <c r="X386" s="401"/>
      <c r="Y386" s="401"/>
      <c r="Z386" s="401"/>
      <c r="AA386" s="401"/>
      <c r="AB386" s="401"/>
    </row>
    <row r="387" ht="18.0" customHeight="1">
      <c r="A387" s="401"/>
      <c r="B387" s="401"/>
      <c r="C387" s="401"/>
      <c r="D387" s="401"/>
      <c r="E387" s="401"/>
      <c r="F387" s="550"/>
      <c r="G387" s="550"/>
      <c r="H387" s="401"/>
      <c r="I387" s="401"/>
      <c r="J387" s="401"/>
      <c r="K387" s="401"/>
      <c r="L387" s="401"/>
      <c r="M387" s="401"/>
      <c r="N387" s="401"/>
      <c r="O387" s="401"/>
      <c r="P387" s="401"/>
      <c r="Q387" s="401"/>
      <c r="R387" s="401"/>
      <c r="S387" s="401"/>
      <c r="T387" s="401"/>
      <c r="U387" s="401"/>
      <c r="V387" s="401"/>
      <c r="W387" s="401"/>
      <c r="X387" s="401"/>
      <c r="Y387" s="401"/>
      <c r="Z387" s="401"/>
      <c r="AA387" s="401"/>
      <c r="AB387" s="401"/>
    </row>
    <row r="388" ht="18.0" customHeight="1">
      <c r="A388" s="401"/>
      <c r="B388" s="401"/>
      <c r="C388" s="401"/>
      <c r="D388" s="401"/>
      <c r="E388" s="401"/>
      <c r="F388" s="550"/>
      <c r="G388" s="550"/>
      <c r="H388" s="401"/>
      <c r="I388" s="401"/>
      <c r="J388" s="401"/>
      <c r="K388" s="401"/>
      <c r="L388" s="401"/>
      <c r="M388" s="401"/>
      <c r="N388" s="401"/>
      <c r="O388" s="401"/>
      <c r="P388" s="401"/>
      <c r="Q388" s="401"/>
      <c r="R388" s="401"/>
      <c r="S388" s="401"/>
      <c r="T388" s="401"/>
      <c r="U388" s="401"/>
      <c r="V388" s="401"/>
      <c r="W388" s="401"/>
      <c r="X388" s="401"/>
      <c r="Y388" s="401"/>
      <c r="Z388" s="401"/>
      <c r="AA388" s="401"/>
      <c r="AB388" s="401"/>
    </row>
    <row r="389" ht="18.0" customHeight="1">
      <c r="A389" s="401"/>
      <c r="B389" s="401"/>
      <c r="C389" s="401"/>
      <c r="D389" s="401"/>
      <c r="E389" s="401"/>
      <c r="F389" s="550"/>
      <c r="G389" s="550"/>
      <c r="H389" s="401"/>
      <c r="I389" s="401"/>
      <c r="J389" s="401"/>
      <c r="K389" s="401"/>
      <c r="L389" s="401"/>
      <c r="M389" s="401"/>
      <c r="N389" s="401"/>
      <c r="O389" s="401"/>
      <c r="P389" s="401"/>
      <c r="Q389" s="401"/>
      <c r="R389" s="401"/>
      <c r="S389" s="401"/>
      <c r="T389" s="401"/>
      <c r="U389" s="401"/>
      <c r="V389" s="401"/>
      <c r="W389" s="401"/>
      <c r="X389" s="401"/>
      <c r="Y389" s="401"/>
      <c r="Z389" s="401"/>
      <c r="AA389" s="401"/>
      <c r="AB389" s="401"/>
    </row>
    <row r="390" ht="18.0" customHeight="1">
      <c r="A390" s="401"/>
      <c r="B390" s="401"/>
      <c r="C390" s="401"/>
      <c r="D390" s="401"/>
      <c r="E390" s="401"/>
      <c r="F390" s="550"/>
      <c r="G390" s="550"/>
      <c r="H390" s="401"/>
      <c r="I390" s="401"/>
      <c r="J390" s="401"/>
      <c r="K390" s="401"/>
      <c r="L390" s="401"/>
      <c r="M390" s="401"/>
      <c r="N390" s="401"/>
      <c r="O390" s="401"/>
      <c r="P390" s="401"/>
      <c r="Q390" s="401"/>
      <c r="R390" s="401"/>
      <c r="S390" s="401"/>
      <c r="T390" s="401"/>
      <c r="U390" s="401"/>
      <c r="V390" s="401"/>
      <c r="W390" s="401"/>
      <c r="X390" s="401"/>
      <c r="Y390" s="401"/>
      <c r="Z390" s="401"/>
      <c r="AA390" s="401"/>
      <c r="AB390" s="401"/>
    </row>
    <row r="391" ht="18.0" customHeight="1">
      <c r="A391" s="401"/>
      <c r="B391" s="401"/>
      <c r="C391" s="401"/>
      <c r="D391" s="401"/>
      <c r="E391" s="401"/>
      <c r="F391" s="550"/>
      <c r="G391" s="550"/>
      <c r="H391" s="401"/>
      <c r="I391" s="401"/>
      <c r="J391" s="401"/>
      <c r="K391" s="401"/>
      <c r="L391" s="401"/>
      <c r="M391" s="401"/>
      <c r="N391" s="401"/>
      <c r="O391" s="401"/>
      <c r="P391" s="401"/>
      <c r="Q391" s="401"/>
      <c r="R391" s="401"/>
      <c r="S391" s="401"/>
      <c r="T391" s="401"/>
      <c r="U391" s="401"/>
      <c r="V391" s="401"/>
      <c r="W391" s="401"/>
      <c r="X391" s="401"/>
      <c r="Y391" s="401"/>
      <c r="Z391" s="401"/>
      <c r="AA391" s="401"/>
      <c r="AB391" s="401"/>
    </row>
    <row r="392" ht="18.0" customHeight="1">
      <c r="A392" s="401"/>
      <c r="B392" s="401"/>
      <c r="C392" s="401"/>
      <c r="D392" s="401"/>
      <c r="E392" s="401"/>
      <c r="F392" s="550"/>
      <c r="G392" s="550"/>
      <c r="H392" s="401"/>
      <c r="I392" s="401"/>
      <c r="J392" s="401"/>
      <c r="K392" s="401"/>
      <c r="L392" s="401"/>
      <c r="M392" s="401"/>
      <c r="N392" s="401"/>
      <c r="O392" s="401"/>
      <c r="P392" s="401"/>
      <c r="Q392" s="401"/>
      <c r="R392" s="401"/>
      <c r="S392" s="401"/>
      <c r="T392" s="401"/>
      <c r="U392" s="401"/>
      <c r="V392" s="401"/>
      <c r="W392" s="401"/>
      <c r="X392" s="401"/>
      <c r="Y392" s="401"/>
      <c r="Z392" s="401"/>
      <c r="AA392" s="401"/>
      <c r="AB392" s="401"/>
    </row>
    <row r="393" ht="18.0" customHeight="1">
      <c r="A393" s="401"/>
      <c r="B393" s="401"/>
      <c r="C393" s="401"/>
      <c r="D393" s="401"/>
      <c r="E393" s="401"/>
      <c r="F393" s="550"/>
      <c r="G393" s="550"/>
      <c r="H393" s="401"/>
      <c r="I393" s="401"/>
      <c r="J393" s="401"/>
      <c r="K393" s="401"/>
      <c r="L393" s="401"/>
      <c r="M393" s="401"/>
      <c r="N393" s="401"/>
      <c r="O393" s="401"/>
      <c r="P393" s="401"/>
      <c r="Q393" s="401"/>
      <c r="R393" s="401"/>
      <c r="S393" s="401"/>
      <c r="T393" s="401"/>
      <c r="U393" s="401"/>
      <c r="V393" s="401"/>
      <c r="W393" s="401"/>
      <c r="X393" s="401"/>
      <c r="Y393" s="401"/>
      <c r="Z393" s="401"/>
      <c r="AA393" s="401"/>
      <c r="AB393" s="401"/>
    </row>
    <row r="394" ht="18.0" customHeight="1">
      <c r="A394" s="401"/>
      <c r="B394" s="401"/>
      <c r="C394" s="401"/>
      <c r="D394" s="401"/>
      <c r="E394" s="401"/>
      <c r="F394" s="550"/>
      <c r="G394" s="550"/>
      <c r="H394" s="401"/>
      <c r="I394" s="401"/>
      <c r="J394" s="401"/>
      <c r="K394" s="401"/>
      <c r="L394" s="401"/>
      <c r="M394" s="401"/>
      <c r="N394" s="401"/>
      <c r="O394" s="401"/>
      <c r="P394" s="401"/>
      <c r="Q394" s="401"/>
      <c r="R394" s="401"/>
      <c r="S394" s="401"/>
      <c r="T394" s="401"/>
      <c r="U394" s="401"/>
      <c r="V394" s="401"/>
      <c r="W394" s="401"/>
      <c r="X394" s="401"/>
      <c r="Y394" s="401"/>
      <c r="Z394" s="401"/>
      <c r="AA394" s="401"/>
      <c r="AB394" s="401"/>
    </row>
    <row r="395" ht="18.0" customHeight="1">
      <c r="A395" s="401"/>
      <c r="B395" s="401"/>
      <c r="C395" s="401"/>
      <c r="D395" s="401"/>
      <c r="E395" s="401"/>
      <c r="F395" s="550"/>
      <c r="G395" s="550"/>
      <c r="H395" s="401"/>
      <c r="I395" s="401"/>
      <c r="J395" s="401"/>
      <c r="K395" s="401"/>
      <c r="L395" s="401"/>
      <c r="M395" s="401"/>
      <c r="N395" s="401"/>
      <c r="O395" s="401"/>
      <c r="P395" s="401"/>
      <c r="Q395" s="401"/>
      <c r="R395" s="401"/>
      <c r="S395" s="401"/>
      <c r="T395" s="401"/>
      <c r="U395" s="401"/>
      <c r="V395" s="401"/>
      <c r="W395" s="401"/>
      <c r="X395" s="401"/>
      <c r="Y395" s="401"/>
      <c r="Z395" s="401"/>
      <c r="AA395" s="401"/>
      <c r="AB395" s="401"/>
    </row>
    <row r="396" ht="18.0" customHeight="1">
      <c r="A396" s="401"/>
      <c r="B396" s="401"/>
      <c r="C396" s="401"/>
      <c r="D396" s="401"/>
      <c r="E396" s="401"/>
      <c r="F396" s="550"/>
      <c r="G396" s="550"/>
      <c r="H396" s="401"/>
      <c r="I396" s="401"/>
      <c r="J396" s="401"/>
      <c r="K396" s="401"/>
      <c r="L396" s="401"/>
      <c r="M396" s="401"/>
      <c r="N396" s="401"/>
      <c r="O396" s="401"/>
      <c r="P396" s="401"/>
      <c r="Q396" s="401"/>
      <c r="R396" s="401"/>
      <c r="S396" s="401"/>
      <c r="T396" s="401"/>
      <c r="U396" s="401"/>
      <c r="V396" s="401"/>
      <c r="W396" s="401"/>
      <c r="X396" s="401"/>
      <c r="Y396" s="401"/>
      <c r="Z396" s="401"/>
      <c r="AA396" s="401"/>
      <c r="AB396" s="401"/>
    </row>
    <row r="397" ht="18.0" customHeight="1">
      <c r="A397" s="401"/>
      <c r="B397" s="401"/>
      <c r="C397" s="401"/>
      <c r="D397" s="401"/>
      <c r="E397" s="401"/>
      <c r="F397" s="550"/>
      <c r="G397" s="550"/>
      <c r="H397" s="401"/>
      <c r="I397" s="401"/>
      <c r="J397" s="401"/>
      <c r="K397" s="401"/>
      <c r="L397" s="401"/>
      <c r="M397" s="401"/>
      <c r="N397" s="401"/>
      <c r="O397" s="401"/>
      <c r="P397" s="401"/>
      <c r="Q397" s="401"/>
      <c r="R397" s="401"/>
      <c r="S397" s="401"/>
      <c r="T397" s="401"/>
      <c r="U397" s="401"/>
      <c r="V397" s="401"/>
      <c r="W397" s="401"/>
      <c r="X397" s="401"/>
      <c r="Y397" s="401"/>
      <c r="Z397" s="401"/>
      <c r="AA397" s="401"/>
      <c r="AB397" s="401"/>
    </row>
    <row r="398" ht="18.0" customHeight="1">
      <c r="A398" s="401"/>
      <c r="B398" s="401"/>
      <c r="C398" s="401"/>
      <c r="D398" s="401"/>
      <c r="E398" s="401"/>
      <c r="F398" s="550"/>
      <c r="G398" s="550"/>
      <c r="H398" s="401"/>
      <c r="I398" s="401"/>
      <c r="J398" s="401"/>
      <c r="K398" s="401"/>
      <c r="L398" s="401"/>
      <c r="M398" s="401"/>
      <c r="N398" s="401"/>
      <c r="O398" s="401"/>
      <c r="P398" s="401"/>
      <c r="Q398" s="401"/>
      <c r="R398" s="401"/>
      <c r="S398" s="401"/>
      <c r="T398" s="401"/>
      <c r="U398" s="401"/>
      <c r="V398" s="401"/>
      <c r="W398" s="401"/>
      <c r="X398" s="401"/>
      <c r="Y398" s="401"/>
      <c r="Z398" s="401"/>
      <c r="AA398" s="401"/>
      <c r="AB398" s="401"/>
    </row>
    <row r="399" ht="18.0" customHeight="1">
      <c r="A399" s="401"/>
      <c r="B399" s="401"/>
      <c r="C399" s="401"/>
      <c r="D399" s="401"/>
      <c r="E399" s="401"/>
      <c r="F399" s="550"/>
      <c r="G399" s="550"/>
      <c r="H399" s="401"/>
      <c r="I399" s="401"/>
      <c r="J399" s="401"/>
      <c r="K399" s="401"/>
      <c r="L399" s="401"/>
      <c r="M399" s="401"/>
      <c r="N399" s="401"/>
      <c r="O399" s="401"/>
      <c r="P399" s="401"/>
      <c r="Q399" s="401"/>
      <c r="R399" s="401"/>
      <c r="S399" s="401"/>
      <c r="T399" s="401"/>
      <c r="U399" s="401"/>
      <c r="V399" s="401"/>
      <c r="W399" s="401"/>
      <c r="X399" s="401"/>
      <c r="Y399" s="401"/>
      <c r="Z399" s="401"/>
      <c r="AA399" s="401"/>
      <c r="AB399" s="401"/>
    </row>
    <row r="400" ht="18.0" customHeight="1">
      <c r="A400" s="401"/>
      <c r="B400" s="401"/>
      <c r="C400" s="401"/>
      <c r="D400" s="401"/>
      <c r="E400" s="401"/>
      <c r="F400" s="550"/>
      <c r="G400" s="550"/>
      <c r="H400" s="401"/>
      <c r="I400" s="401"/>
      <c r="J400" s="401"/>
      <c r="K400" s="401"/>
      <c r="L400" s="401"/>
      <c r="M400" s="401"/>
      <c r="N400" s="401"/>
      <c r="O400" s="401"/>
      <c r="P400" s="401"/>
      <c r="Q400" s="401"/>
      <c r="R400" s="401"/>
      <c r="S400" s="401"/>
      <c r="T400" s="401"/>
      <c r="U400" s="401"/>
      <c r="V400" s="401"/>
      <c r="W400" s="401"/>
      <c r="X400" s="401"/>
      <c r="Y400" s="401"/>
      <c r="Z400" s="401"/>
      <c r="AA400" s="401"/>
      <c r="AB400" s="401"/>
    </row>
    <row r="401" ht="18.0" customHeight="1">
      <c r="A401" s="401"/>
      <c r="B401" s="401"/>
      <c r="C401" s="401"/>
      <c r="D401" s="401"/>
      <c r="E401" s="401"/>
      <c r="F401" s="550"/>
      <c r="G401" s="550"/>
      <c r="H401" s="401"/>
      <c r="I401" s="401"/>
      <c r="J401" s="401"/>
      <c r="K401" s="401"/>
      <c r="L401" s="401"/>
      <c r="M401" s="401"/>
      <c r="N401" s="401"/>
      <c r="O401" s="401"/>
      <c r="P401" s="401"/>
      <c r="Q401" s="401"/>
      <c r="R401" s="401"/>
      <c r="S401" s="401"/>
      <c r="T401" s="401"/>
      <c r="U401" s="401"/>
      <c r="V401" s="401"/>
      <c r="W401" s="401"/>
      <c r="X401" s="401"/>
      <c r="Y401" s="401"/>
      <c r="Z401" s="401"/>
      <c r="AA401" s="401"/>
      <c r="AB401" s="401"/>
    </row>
    <row r="402" ht="18.0" customHeight="1">
      <c r="A402" s="401"/>
      <c r="B402" s="401"/>
      <c r="C402" s="401"/>
      <c r="D402" s="401"/>
      <c r="E402" s="401"/>
      <c r="F402" s="550"/>
      <c r="G402" s="550"/>
      <c r="H402" s="401"/>
      <c r="I402" s="401"/>
      <c r="J402" s="401"/>
      <c r="K402" s="401"/>
      <c r="L402" s="401"/>
      <c r="M402" s="401"/>
      <c r="N402" s="401"/>
      <c r="O402" s="401"/>
      <c r="P402" s="401"/>
      <c r="Q402" s="401"/>
      <c r="R402" s="401"/>
      <c r="S402" s="401"/>
      <c r="T402" s="401"/>
      <c r="U402" s="401"/>
      <c r="V402" s="401"/>
      <c r="W402" s="401"/>
      <c r="X402" s="401"/>
      <c r="Y402" s="401"/>
      <c r="Z402" s="401"/>
      <c r="AA402" s="401"/>
      <c r="AB402" s="401"/>
    </row>
    <row r="403" ht="18.0" customHeight="1">
      <c r="A403" s="401"/>
      <c r="B403" s="401"/>
      <c r="C403" s="401"/>
      <c r="D403" s="401"/>
      <c r="E403" s="401"/>
      <c r="F403" s="550"/>
      <c r="G403" s="550"/>
      <c r="H403" s="401"/>
      <c r="I403" s="401"/>
      <c r="J403" s="401"/>
      <c r="K403" s="401"/>
      <c r="L403" s="401"/>
      <c r="M403" s="401"/>
      <c r="N403" s="401"/>
      <c r="O403" s="401"/>
      <c r="P403" s="401"/>
      <c r="Q403" s="401"/>
      <c r="R403" s="401"/>
      <c r="S403" s="401"/>
      <c r="T403" s="401"/>
      <c r="U403" s="401"/>
      <c r="V403" s="401"/>
      <c r="W403" s="401"/>
      <c r="X403" s="401"/>
      <c r="Y403" s="401"/>
      <c r="Z403" s="401"/>
      <c r="AA403" s="401"/>
      <c r="AB403" s="401"/>
    </row>
    <row r="404" ht="18.0" customHeight="1">
      <c r="A404" s="401"/>
      <c r="B404" s="401"/>
      <c r="C404" s="401"/>
      <c r="D404" s="401"/>
      <c r="E404" s="401"/>
      <c r="F404" s="550"/>
      <c r="G404" s="550"/>
      <c r="H404" s="401"/>
      <c r="I404" s="401"/>
      <c r="J404" s="401"/>
      <c r="K404" s="401"/>
      <c r="L404" s="401"/>
      <c r="M404" s="401"/>
      <c r="N404" s="401"/>
      <c r="O404" s="401"/>
      <c r="P404" s="401"/>
      <c r="Q404" s="401"/>
      <c r="R404" s="401"/>
      <c r="S404" s="401"/>
      <c r="T404" s="401"/>
      <c r="U404" s="401"/>
      <c r="V404" s="401"/>
      <c r="W404" s="401"/>
      <c r="X404" s="401"/>
      <c r="Y404" s="401"/>
      <c r="Z404" s="401"/>
      <c r="AA404" s="401"/>
      <c r="AB404" s="401"/>
    </row>
    <row r="405" ht="18.0" customHeight="1">
      <c r="A405" s="401"/>
      <c r="B405" s="401"/>
      <c r="C405" s="401"/>
      <c r="D405" s="401"/>
      <c r="E405" s="401"/>
      <c r="F405" s="550"/>
      <c r="G405" s="550"/>
      <c r="H405" s="401"/>
      <c r="I405" s="401"/>
      <c r="J405" s="401"/>
      <c r="K405" s="401"/>
      <c r="L405" s="401"/>
      <c r="M405" s="401"/>
      <c r="N405" s="401"/>
      <c r="O405" s="401"/>
      <c r="P405" s="401"/>
      <c r="Q405" s="401"/>
      <c r="R405" s="401"/>
      <c r="S405" s="401"/>
      <c r="T405" s="401"/>
      <c r="U405" s="401"/>
      <c r="V405" s="401"/>
      <c r="W405" s="401"/>
      <c r="X405" s="401"/>
      <c r="Y405" s="401"/>
      <c r="Z405" s="401"/>
      <c r="AA405" s="401"/>
      <c r="AB405" s="401"/>
    </row>
    <row r="406" ht="18.0" customHeight="1">
      <c r="A406" s="401"/>
      <c r="B406" s="401"/>
      <c r="C406" s="401"/>
      <c r="D406" s="401"/>
      <c r="E406" s="401"/>
      <c r="F406" s="550"/>
      <c r="G406" s="550"/>
      <c r="H406" s="401"/>
      <c r="I406" s="401"/>
      <c r="J406" s="401"/>
      <c r="K406" s="401"/>
      <c r="L406" s="401"/>
      <c r="M406" s="401"/>
      <c r="N406" s="401"/>
      <c r="O406" s="401"/>
      <c r="P406" s="401"/>
      <c r="Q406" s="401"/>
      <c r="R406" s="401"/>
      <c r="S406" s="401"/>
      <c r="T406" s="401"/>
      <c r="U406" s="401"/>
      <c r="V406" s="401"/>
      <c r="W406" s="401"/>
      <c r="X406" s="401"/>
      <c r="Y406" s="401"/>
      <c r="Z406" s="401"/>
      <c r="AA406" s="401"/>
      <c r="AB406" s="401"/>
    </row>
    <row r="407" ht="18.0" customHeight="1">
      <c r="A407" s="401"/>
      <c r="B407" s="401"/>
      <c r="C407" s="401"/>
      <c r="D407" s="401"/>
      <c r="E407" s="401"/>
      <c r="F407" s="550"/>
      <c r="G407" s="550"/>
      <c r="H407" s="401"/>
      <c r="I407" s="401"/>
      <c r="J407" s="401"/>
      <c r="K407" s="401"/>
      <c r="L407" s="401"/>
      <c r="M407" s="401"/>
      <c r="N407" s="401"/>
      <c r="O407" s="401"/>
      <c r="P407" s="401"/>
      <c r="Q407" s="401"/>
      <c r="R407" s="401"/>
      <c r="S407" s="401"/>
      <c r="T407" s="401"/>
      <c r="U407" s="401"/>
      <c r="V407" s="401"/>
      <c r="W407" s="401"/>
      <c r="X407" s="401"/>
      <c r="Y407" s="401"/>
      <c r="Z407" s="401"/>
      <c r="AA407" s="401"/>
      <c r="AB407" s="401"/>
    </row>
    <row r="408" ht="18.0" customHeight="1">
      <c r="A408" s="401"/>
      <c r="B408" s="401"/>
      <c r="C408" s="401"/>
      <c r="D408" s="401"/>
      <c r="E408" s="401"/>
      <c r="F408" s="550"/>
      <c r="G408" s="550"/>
      <c r="H408" s="401"/>
      <c r="I408" s="401"/>
      <c r="J408" s="401"/>
      <c r="K408" s="401"/>
      <c r="L408" s="401"/>
      <c r="M408" s="401"/>
      <c r="N408" s="401"/>
      <c r="O408" s="401"/>
      <c r="P408" s="401"/>
      <c r="Q408" s="401"/>
      <c r="R408" s="401"/>
      <c r="S408" s="401"/>
      <c r="T408" s="401"/>
      <c r="U408" s="401"/>
      <c r="V408" s="401"/>
      <c r="W408" s="401"/>
      <c r="X408" s="401"/>
      <c r="Y408" s="401"/>
      <c r="Z408" s="401"/>
      <c r="AA408" s="401"/>
      <c r="AB408" s="401"/>
    </row>
    <row r="409" ht="18.0" customHeight="1">
      <c r="A409" s="401"/>
      <c r="B409" s="401"/>
      <c r="C409" s="401"/>
      <c r="D409" s="401"/>
      <c r="E409" s="401"/>
      <c r="F409" s="550"/>
      <c r="G409" s="550"/>
      <c r="H409" s="401"/>
      <c r="I409" s="401"/>
      <c r="J409" s="401"/>
      <c r="K409" s="401"/>
      <c r="L409" s="401"/>
      <c r="M409" s="401"/>
      <c r="N409" s="401"/>
      <c r="O409" s="401"/>
      <c r="P409" s="401"/>
      <c r="Q409" s="401"/>
      <c r="R409" s="401"/>
      <c r="S409" s="401"/>
      <c r="T409" s="401"/>
      <c r="U409" s="401"/>
      <c r="V409" s="401"/>
      <c r="W409" s="401"/>
      <c r="X409" s="401"/>
      <c r="Y409" s="401"/>
      <c r="Z409" s="401"/>
      <c r="AA409" s="401"/>
      <c r="AB409" s="401"/>
    </row>
    <row r="410" ht="18.0" customHeight="1">
      <c r="A410" s="401"/>
      <c r="B410" s="401"/>
      <c r="C410" s="401"/>
      <c r="D410" s="401"/>
      <c r="E410" s="401"/>
      <c r="F410" s="550"/>
      <c r="G410" s="550"/>
      <c r="H410" s="401"/>
      <c r="I410" s="401"/>
      <c r="J410" s="401"/>
      <c r="K410" s="401"/>
      <c r="L410" s="401"/>
      <c r="M410" s="401"/>
      <c r="N410" s="401"/>
      <c r="O410" s="401"/>
      <c r="P410" s="401"/>
      <c r="Q410" s="401"/>
      <c r="R410" s="401"/>
      <c r="S410" s="401"/>
      <c r="T410" s="401"/>
      <c r="U410" s="401"/>
      <c r="V410" s="401"/>
      <c r="W410" s="401"/>
      <c r="X410" s="401"/>
      <c r="Y410" s="401"/>
      <c r="Z410" s="401"/>
      <c r="AA410" s="401"/>
      <c r="AB410" s="401"/>
    </row>
    <row r="411" ht="18.0" customHeight="1">
      <c r="A411" s="401"/>
      <c r="B411" s="401"/>
      <c r="C411" s="401"/>
      <c r="D411" s="401"/>
      <c r="E411" s="401"/>
      <c r="F411" s="550"/>
      <c r="G411" s="550"/>
      <c r="H411" s="401"/>
      <c r="I411" s="401"/>
      <c r="J411" s="401"/>
      <c r="K411" s="401"/>
      <c r="L411" s="401"/>
      <c r="M411" s="401"/>
      <c r="N411" s="401"/>
      <c r="O411" s="401"/>
      <c r="P411" s="401"/>
      <c r="Q411" s="401"/>
      <c r="R411" s="401"/>
      <c r="S411" s="401"/>
      <c r="T411" s="401"/>
      <c r="U411" s="401"/>
      <c r="V411" s="401"/>
      <c r="W411" s="401"/>
      <c r="X411" s="401"/>
      <c r="Y411" s="401"/>
      <c r="Z411" s="401"/>
      <c r="AA411" s="401"/>
      <c r="AB411" s="401"/>
    </row>
    <row r="412" ht="18.0" customHeight="1">
      <c r="A412" s="401"/>
      <c r="B412" s="401"/>
      <c r="C412" s="401"/>
      <c r="D412" s="401"/>
      <c r="E412" s="401"/>
      <c r="F412" s="550"/>
      <c r="G412" s="550"/>
      <c r="H412" s="401"/>
      <c r="I412" s="401"/>
      <c r="J412" s="401"/>
      <c r="K412" s="401"/>
      <c r="L412" s="401"/>
      <c r="M412" s="401"/>
      <c r="N412" s="401"/>
      <c r="O412" s="401"/>
      <c r="P412" s="401"/>
      <c r="Q412" s="401"/>
      <c r="R412" s="401"/>
      <c r="S412" s="401"/>
      <c r="T412" s="401"/>
      <c r="U412" s="401"/>
      <c r="V412" s="401"/>
      <c r="W412" s="401"/>
      <c r="X412" s="401"/>
      <c r="Y412" s="401"/>
      <c r="Z412" s="401"/>
      <c r="AA412" s="401"/>
      <c r="AB412" s="401"/>
    </row>
    <row r="413" ht="18.0" customHeight="1">
      <c r="A413" s="401"/>
      <c r="B413" s="401"/>
      <c r="C413" s="401"/>
      <c r="D413" s="401"/>
      <c r="E413" s="401"/>
      <c r="F413" s="550"/>
      <c r="G413" s="550"/>
      <c r="H413" s="401"/>
      <c r="I413" s="401"/>
      <c r="J413" s="401"/>
      <c r="K413" s="401"/>
      <c r="L413" s="401"/>
      <c r="M413" s="401"/>
      <c r="N413" s="401"/>
      <c r="O413" s="401"/>
      <c r="P413" s="401"/>
      <c r="Q413" s="401"/>
      <c r="R413" s="401"/>
      <c r="S413" s="401"/>
      <c r="T413" s="401"/>
      <c r="U413" s="401"/>
      <c r="V413" s="401"/>
      <c r="W413" s="401"/>
      <c r="X413" s="401"/>
      <c r="Y413" s="401"/>
      <c r="Z413" s="401"/>
      <c r="AA413" s="401"/>
      <c r="AB413" s="401"/>
    </row>
    <row r="414" ht="18.0" customHeight="1">
      <c r="A414" s="401"/>
      <c r="B414" s="401"/>
      <c r="C414" s="401"/>
      <c r="D414" s="401"/>
      <c r="E414" s="401"/>
      <c r="F414" s="550"/>
      <c r="G414" s="550"/>
      <c r="H414" s="401"/>
      <c r="I414" s="401"/>
      <c r="J414" s="401"/>
      <c r="K414" s="401"/>
      <c r="L414" s="401"/>
      <c r="M414" s="401"/>
      <c r="N414" s="401"/>
      <c r="O414" s="401"/>
      <c r="P414" s="401"/>
      <c r="Q414" s="401"/>
      <c r="R414" s="401"/>
      <c r="S414" s="401"/>
      <c r="T414" s="401"/>
      <c r="U414" s="401"/>
      <c r="V414" s="401"/>
      <c r="W414" s="401"/>
      <c r="X414" s="401"/>
      <c r="Y414" s="401"/>
      <c r="Z414" s="401"/>
      <c r="AA414" s="401"/>
      <c r="AB414" s="401"/>
    </row>
    <row r="415" ht="18.0" customHeight="1">
      <c r="A415" s="401"/>
      <c r="B415" s="401"/>
      <c r="C415" s="401"/>
      <c r="D415" s="401"/>
      <c r="E415" s="401"/>
      <c r="F415" s="550"/>
      <c r="G415" s="550"/>
      <c r="H415" s="401"/>
      <c r="I415" s="401"/>
      <c r="J415" s="401"/>
      <c r="K415" s="401"/>
      <c r="L415" s="401"/>
      <c r="M415" s="401"/>
      <c r="N415" s="401"/>
      <c r="O415" s="401"/>
      <c r="P415" s="401"/>
      <c r="Q415" s="401"/>
      <c r="R415" s="401"/>
      <c r="S415" s="401"/>
      <c r="T415" s="401"/>
      <c r="U415" s="401"/>
      <c r="V415" s="401"/>
      <c r="W415" s="401"/>
      <c r="X415" s="401"/>
      <c r="Y415" s="401"/>
      <c r="Z415" s="401"/>
      <c r="AA415" s="401"/>
      <c r="AB415" s="401"/>
    </row>
    <row r="416" ht="18.0" customHeight="1">
      <c r="A416" s="401"/>
      <c r="B416" s="401"/>
      <c r="C416" s="401"/>
      <c r="D416" s="401"/>
      <c r="E416" s="401"/>
      <c r="F416" s="550"/>
      <c r="G416" s="550"/>
      <c r="H416" s="401"/>
      <c r="I416" s="401"/>
      <c r="J416" s="401"/>
      <c r="K416" s="401"/>
      <c r="L416" s="401"/>
      <c r="M416" s="401"/>
      <c r="N416" s="401"/>
      <c r="O416" s="401"/>
      <c r="P416" s="401"/>
      <c r="Q416" s="401"/>
      <c r="R416" s="401"/>
      <c r="S416" s="401"/>
      <c r="T416" s="401"/>
      <c r="U416" s="401"/>
      <c r="V416" s="401"/>
      <c r="W416" s="401"/>
      <c r="X416" s="401"/>
      <c r="Y416" s="401"/>
      <c r="Z416" s="401"/>
      <c r="AA416" s="401"/>
      <c r="AB416" s="401"/>
    </row>
    <row r="417" ht="18.0" customHeight="1">
      <c r="A417" s="401"/>
      <c r="B417" s="401"/>
      <c r="C417" s="401"/>
      <c r="D417" s="401"/>
      <c r="E417" s="401"/>
      <c r="F417" s="550"/>
      <c r="G417" s="550"/>
      <c r="H417" s="401"/>
      <c r="I417" s="401"/>
      <c r="J417" s="401"/>
      <c r="K417" s="401"/>
      <c r="L417" s="401"/>
      <c r="M417" s="401"/>
      <c r="N417" s="401"/>
      <c r="O417" s="401"/>
      <c r="P417" s="401"/>
      <c r="Q417" s="401"/>
      <c r="R417" s="401"/>
      <c r="S417" s="401"/>
      <c r="T417" s="401"/>
      <c r="U417" s="401"/>
      <c r="V417" s="401"/>
      <c r="W417" s="401"/>
      <c r="X417" s="401"/>
      <c r="Y417" s="401"/>
      <c r="Z417" s="401"/>
      <c r="AA417" s="401"/>
      <c r="AB417" s="401"/>
    </row>
    <row r="418" ht="18.0" customHeight="1">
      <c r="A418" s="401"/>
      <c r="B418" s="401"/>
      <c r="C418" s="401"/>
      <c r="D418" s="401"/>
      <c r="E418" s="401"/>
      <c r="F418" s="550"/>
      <c r="G418" s="550"/>
      <c r="H418" s="401"/>
      <c r="I418" s="401"/>
      <c r="J418" s="401"/>
      <c r="K418" s="401"/>
      <c r="L418" s="401"/>
      <c r="M418" s="401"/>
      <c r="N418" s="401"/>
      <c r="O418" s="401"/>
      <c r="P418" s="401"/>
      <c r="Q418" s="401"/>
      <c r="R418" s="401"/>
      <c r="S418" s="401"/>
      <c r="T418" s="401"/>
      <c r="U418" s="401"/>
      <c r="V418" s="401"/>
      <c r="W418" s="401"/>
      <c r="X418" s="401"/>
      <c r="Y418" s="401"/>
      <c r="Z418" s="401"/>
      <c r="AA418" s="401"/>
      <c r="AB418" s="401"/>
    </row>
    <row r="419" ht="18.0" customHeight="1">
      <c r="A419" s="401"/>
      <c r="B419" s="401"/>
      <c r="C419" s="401"/>
      <c r="D419" s="401"/>
      <c r="E419" s="401"/>
      <c r="F419" s="550"/>
      <c r="G419" s="550"/>
      <c r="H419" s="401"/>
      <c r="I419" s="401"/>
      <c r="J419" s="401"/>
      <c r="K419" s="401"/>
      <c r="L419" s="401"/>
      <c r="M419" s="401"/>
      <c r="N419" s="401"/>
      <c r="O419" s="401"/>
      <c r="P419" s="401"/>
      <c r="Q419" s="401"/>
      <c r="R419" s="401"/>
      <c r="S419" s="401"/>
      <c r="T419" s="401"/>
      <c r="U419" s="401"/>
      <c r="V419" s="401"/>
      <c r="W419" s="401"/>
      <c r="X419" s="401"/>
      <c r="Y419" s="401"/>
      <c r="Z419" s="401"/>
      <c r="AA419" s="401"/>
      <c r="AB419" s="401"/>
    </row>
    <row r="420" ht="18.0" customHeight="1">
      <c r="A420" s="401"/>
      <c r="B420" s="401"/>
      <c r="C420" s="401"/>
      <c r="D420" s="401"/>
      <c r="E420" s="401"/>
      <c r="F420" s="550"/>
      <c r="G420" s="550"/>
      <c r="H420" s="401"/>
      <c r="I420" s="401"/>
      <c r="J420" s="401"/>
      <c r="K420" s="401"/>
      <c r="L420" s="401"/>
      <c r="M420" s="401"/>
      <c r="N420" s="401"/>
      <c r="O420" s="401"/>
      <c r="P420" s="401"/>
      <c r="Q420" s="401"/>
      <c r="R420" s="401"/>
      <c r="S420" s="401"/>
      <c r="T420" s="401"/>
      <c r="U420" s="401"/>
      <c r="V420" s="401"/>
      <c r="W420" s="401"/>
      <c r="X420" s="401"/>
      <c r="Y420" s="401"/>
      <c r="Z420" s="401"/>
      <c r="AA420" s="401"/>
      <c r="AB420" s="401"/>
    </row>
    <row r="421" ht="18.0" customHeight="1">
      <c r="A421" s="401"/>
      <c r="B421" s="401"/>
      <c r="C421" s="401"/>
      <c r="D421" s="401"/>
      <c r="E421" s="401"/>
      <c r="F421" s="550"/>
      <c r="G421" s="550"/>
      <c r="H421" s="401"/>
      <c r="I421" s="401"/>
      <c r="J421" s="401"/>
      <c r="K421" s="401"/>
      <c r="L421" s="401"/>
      <c r="M421" s="401"/>
      <c r="N421" s="401"/>
      <c r="O421" s="401"/>
      <c r="P421" s="401"/>
      <c r="Q421" s="401"/>
      <c r="R421" s="401"/>
      <c r="S421" s="401"/>
      <c r="T421" s="401"/>
      <c r="U421" s="401"/>
      <c r="V421" s="401"/>
      <c r="W421" s="401"/>
      <c r="X421" s="401"/>
      <c r="Y421" s="401"/>
      <c r="Z421" s="401"/>
      <c r="AA421" s="401"/>
      <c r="AB421" s="401"/>
    </row>
    <row r="422" ht="18.0" customHeight="1">
      <c r="A422" s="401"/>
      <c r="B422" s="401"/>
      <c r="C422" s="401"/>
      <c r="D422" s="401"/>
      <c r="E422" s="401"/>
      <c r="F422" s="550"/>
      <c r="G422" s="550"/>
      <c r="H422" s="401"/>
      <c r="I422" s="401"/>
      <c r="J422" s="401"/>
      <c r="K422" s="401"/>
      <c r="L422" s="401"/>
      <c r="M422" s="401"/>
      <c r="N422" s="401"/>
      <c r="O422" s="401"/>
      <c r="P422" s="401"/>
      <c r="Q422" s="401"/>
      <c r="R422" s="401"/>
      <c r="S422" s="401"/>
      <c r="T422" s="401"/>
      <c r="U422" s="401"/>
      <c r="V422" s="401"/>
      <c r="W422" s="401"/>
      <c r="X422" s="401"/>
      <c r="Y422" s="401"/>
      <c r="Z422" s="401"/>
      <c r="AA422" s="401"/>
      <c r="AB422" s="401"/>
    </row>
    <row r="423" ht="18.0" customHeight="1">
      <c r="A423" s="401"/>
      <c r="B423" s="401"/>
      <c r="C423" s="401"/>
      <c r="D423" s="401"/>
      <c r="E423" s="401"/>
      <c r="F423" s="550"/>
      <c r="G423" s="550"/>
      <c r="H423" s="401"/>
      <c r="I423" s="401"/>
      <c r="J423" s="401"/>
      <c r="K423" s="401"/>
      <c r="L423" s="401"/>
      <c r="M423" s="401"/>
      <c r="N423" s="401"/>
      <c r="O423" s="401"/>
      <c r="P423" s="401"/>
      <c r="Q423" s="401"/>
      <c r="R423" s="401"/>
      <c r="S423" s="401"/>
      <c r="T423" s="401"/>
      <c r="U423" s="401"/>
      <c r="V423" s="401"/>
      <c r="W423" s="401"/>
      <c r="X423" s="401"/>
      <c r="Y423" s="401"/>
      <c r="Z423" s="401"/>
      <c r="AA423" s="401"/>
      <c r="AB423" s="401"/>
    </row>
    <row r="424" ht="18.0" customHeight="1">
      <c r="A424" s="401"/>
      <c r="B424" s="401"/>
      <c r="C424" s="401"/>
      <c r="D424" s="401"/>
      <c r="E424" s="401"/>
      <c r="F424" s="550"/>
      <c r="G424" s="550"/>
      <c r="H424" s="401"/>
      <c r="I424" s="401"/>
      <c r="J424" s="401"/>
      <c r="K424" s="401"/>
      <c r="L424" s="401"/>
      <c r="M424" s="401"/>
      <c r="N424" s="401"/>
      <c r="O424" s="401"/>
      <c r="P424" s="401"/>
      <c r="Q424" s="401"/>
      <c r="R424" s="401"/>
      <c r="S424" s="401"/>
      <c r="T424" s="401"/>
      <c r="U424" s="401"/>
      <c r="V424" s="401"/>
      <c r="W424" s="401"/>
      <c r="X424" s="401"/>
      <c r="Y424" s="401"/>
      <c r="Z424" s="401"/>
      <c r="AA424" s="401"/>
      <c r="AB424" s="401"/>
    </row>
    <row r="425" ht="18.0" customHeight="1">
      <c r="A425" s="401"/>
      <c r="B425" s="401"/>
      <c r="C425" s="401"/>
      <c r="D425" s="401"/>
      <c r="E425" s="401"/>
      <c r="F425" s="550"/>
      <c r="G425" s="550"/>
      <c r="H425" s="401"/>
      <c r="I425" s="401"/>
      <c r="J425" s="401"/>
      <c r="K425" s="401"/>
      <c r="L425" s="401"/>
      <c r="M425" s="401"/>
      <c r="N425" s="401"/>
      <c r="O425" s="401"/>
      <c r="P425" s="401"/>
      <c r="Q425" s="401"/>
      <c r="R425" s="401"/>
      <c r="S425" s="401"/>
      <c r="T425" s="401"/>
      <c r="U425" s="401"/>
      <c r="V425" s="401"/>
      <c r="W425" s="401"/>
      <c r="X425" s="401"/>
      <c r="Y425" s="401"/>
      <c r="Z425" s="401"/>
      <c r="AA425" s="401"/>
      <c r="AB425" s="401"/>
    </row>
    <row r="426" ht="18.0" customHeight="1">
      <c r="A426" s="401"/>
      <c r="B426" s="401"/>
      <c r="C426" s="401"/>
      <c r="D426" s="401"/>
      <c r="E426" s="401"/>
      <c r="F426" s="550"/>
      <c r="G426" s="550"/>
      <c r="H426" s="401"/>
      <c r="I426" s="401"/>
      <c r="J426" s="401"/>
      <c r="K426" s="401"/>
      <c r="L426" s="401"/>
      <c r="M426" s="401"/>
      <c r="N426" s="401"/>
      <c r="O426" s="401"/>
      <c r="P426" s="401"/>
      <c r="Q426" s="401"/>
      <c r="R426" s="401"/>
      <c r="S426" s="401"/>
      <c r="T426" s="401"/>
      <c r="U426" s="401"/>
      <c r="V426" s="401"/>
      <c r="W426" s="401"/>
      <c r="X426" s="401"/>
      <c r="Y426" s="401"/>
      <c r="Z426" s="401"/>
      <c r="AA426" s="401"/>
      <c r="AB426" s="401"/>
    </row>
    <row r="427" ht="18.0" customHeight="1">
      <c r="A427" s="401"/>
      <c r="B427" s="401"/>
      <c r="C427" s="401"/>
      <c r="D427" s="401"/>
      <c r="E427" s="401"/>
      <c r="F427" s="550"/>
      <c r="G427" s="550"/>
      <c r="H427" s="401"/>
      <c r="I427" s="401"/>
      <c r="J427" s="401"/>
      <c r="K427" s="401"/>
      <c r="L427" s="401"/>
      <c r="M427" s="401"/>
      <c r="N427" s="401"/>
      <c r="O427" s="401"/>
      <c r="P427" s="401"/>
      <c r="Q427" s="401"/>
      <c r="R427" s="401"/>
      <c r="S427" s="401"/>
      <c r="T427" s="401"/>
      <c r="U427" s="401"/>
      <c r="V427" s="401"/>
      <c r="W427" s="401"/>
      <c r="X427" s="401"/>
      <c r="Y427" s="401"/>
      <c r="Z427" s="401"/>
      <c r="AA427" s="401"/>
      <c r="AB427" s="401"/>
    </row>
    <row r="428" ht="18.0" customHeight="1">
      <c r="A428" s="401"/>
      <c r="B428" s="401"/>
      <c r="C428" s="401"/>
      <c r="D428" s="401"/>
      <c r="E428" s="401"/>
      <c r="F428" s="550"/>
      <c r="G428" s="550"/>
      <c r="H428" s="401"/>
      <c r="I428" s="401"/>
      <c r="J428" s="401"/>
      <c r="K428" s="401"/>
      <c r="L428" s="401"/>
      <c r="M428" s="401"/>
      <c r="N428" s="401"/>
      <c r="O428" s="401"/>
      <c r="P428" s="401"/>
      <c r="Q428" s="401"/>
      <c r="R428" s="401"/>
      <c r="S428" s="401"/>
      <c r="T428" s="401"/>
      <c r="U428" s="401"/>
      <c r="V428" s="401"/>
      <c r="W428" s="401"/>
      <c r="X428" s="401"/>
      <c r="Y428" s="401"/>
      <c r="Z428" s="401"/>
      <c r="AA428" s="401"/>
      <c r="AB428" s="401"/>
    </row>
    <row r="429" ht="18.0" customHeight="1">
      <c r="A429" s="401"/>
      <c r="B429" s="401"/>
      <c r="C429" s="401"/>
      <c r="D429" s="401"/>
      <c r="E429" s="401"/>
      <c r="F429" s="550"/>
      <c r="G429" s="550"/>
      <c r="H429" s="401"/>
      <c r="I429" s="401"/>
      <c r="J429" s="401"/>
      <c r="K429" s="401"/>
      <c r="L429" s="401"/>
      <c r="M429" s="401"/>
      <c r="N429" s="401"/>
      <c r="O429" s="401"/>
      <c r="P429" s="401"/>
      <c r="Q429" s="401"/>
      <c r="R429" s="401"/>
      <c r="S429" s="401"/>
      <c r="T429" s="401"/>
      <c r="U429" s="401"/>
      <c r="V429" s="401"/>
      <c r="W429" s="401"/>
      <c r="X429" s="401"/>
      <c r="Y429" s="401"/>
      <c r="Z429" s="401"/>
      <c r="AA429" s="401"/>
      <c r="AB429" s="401"/>
    </row>
    <row r="430" ht="18.0" customHeight="1">
      <c r="A430" s="401"/>
      <c r="B430" s="401"/>
      <c r="C430" s="401"/>
      <c r="D430" s="401"/>
      <c r="E430" s="401"/>
      <c r="F430" s="550"/>
      <c r="G430" s="550"/>
      <c r="H430" s="401"/>
      <c r="I430" s="401"/>
      <c r="J430" s="401"/>
      <c r="K430" s="401"/>
      <c r="L430" s="401"/>
      <c r="M430" s="401"/>
      <c r="N430" s="401"/>
      <c r="O430" s="401"/>
      <c r="P430" s="401"/>
      <c r="Q430" s="401"/>
      <c r="R430" s="401"/>
      <c r="S430" s="401"/>
      <c r="T430" s="401"/>
      <c r="U430" s="401"/>
      <c r="V430" s="401"/>
      <c r="W430" s="401"/>
      <c r="X430" s="401"/>
      <c r="Y430" s="401"/>
      <c r="Z430" s="401"/>
      <c r="AA430" s="401"/>
      <c r="AB430" s="401"/>
    </row>
    <row r="431" ht="18.0" customHeight="1">
      <c r="A431" s="401"/>
      <c r="B431" s="401"/>
      <c r="C431" s="401"/>
      <c r="D431" s="401"/>
      <c r="E431" s="401"/>
      <c r="F431" s="550"/>
      <c r="G431" s="550"/>
      <c r="H431" s="401"/>
      <c r="I431" s="401"/>
      <c r="J431" s="401"/>
      <c r="K431" s="401"/>
      <c r="L431" s="401"/>
      <c r="M431" s="401"/>
      <c r="N431" s="401"/>
      <c r="O431" s="401"/>
      <c r="P431" s="401"/>
      <c r="Q431" s="401"/>
      <c r="R431" s="401"/>
      <c r="S431" s="401"/>
      <c r="T431" s="401"/>
      <c r="U431" s="401"/>
      <c r="V431" s="401"/>
      <c r="W431" s="401"/>
      <c r="X431" s="401"/>
      <c r="Y431" s="401"/>
      <c r="Z431" s="401"/>
      <c r="AA431" s="401"/>
      <c r="AB431" s="401"/>
    </row>
    <row r="432" ht="18.0" customHeight="1">
      <c r="A432" s="401"/>
      <c r="B432" s="401"/>
      <c r="C432" s="401"/>
      <c r="D432" s="401"/>
      <c r="E432" s="401"/>
      <c r="F432" s="550"/>
      <c r="G432" s="550"/>
      <c r="H432" s="401"/>
      <c r="I432" s="401"/>
      <c r="J432" s="401"/>
      <c r="K432" s="401"/>
      <c r="L432" s="401"/>
      <c r="M432" s="401"/>
      <c r="N432" s="401"/>
      <c r="O432" s="401"/>
      <c r="P432" s="401"/>
      <c r="Q432" s="401"/>
      <c r="R432" s="401"/>
      <c r="S432" s="401"/>
      <c r="T432" s="401"/>
      <c r="U432" s="401"/>
      <c r="V432" s="401"/>
      <c r="W432" s="401"/>
      <c r="X432" s="401"/>
      <c r="Y432" s="401"/>
      <c r="Z432" s="401"/>
      <c r="AA432" s="401"/>
      <c r="AB432" s="401"/>
    </row>
    <row r="433" ht="18.0" customHeight="1">
      <c r="A433" s="401"/>
      <c r="B433" s="401"/>
      <c r="C433" s="401"/>
      <c r="D433" s="401"/>
      <c r="E433" s="401"/>
      <c r="F433" s="550"/>
      <c r="G433" s="550"/>
      <c r="H433" s="401"/>
      <c r="I433" s="401"/>
      <c r="J433" s="401"/>
      <c r="K433" s="401"/>
      <c r="L433" s="401"/>
      <c r="M433" s="401"/>
      <c r="N433" s="401"/>
      <c r="O433" s="401"/>
      <c r="P433" s="401"/>
      <c r="Q433" s="401"/>
      <c r="R433" s="401"/>
      <c r="S433" s="401"/>
      <c r="T433" s="401"/>
      <c r="U433" s="401"/>
      <c r="V433" s="401"/>
      <c r="W433" s="401"/>
      <c r="X433" s="401"/>
      <c r="Y433" s="401"/>
      <c r="Z433" s="401"/>
      <c r="AA433" s="401"/>
      <c r="AB433" s="401"/>
    </row>
    <row r="434" ht="18.0" customHeight="1">
      <c r="A434" s="401"/>
      <c r="B434" s="401"/>
      <c r="C434" s="401"/>
      <c r="D434" s="401"/>
      <c r="E434" s="401"/>
      <c r="F434" s="550"/>
      <c r="G434" s="550"/>
      <c r="H434" s="401"/>
      <c r="I434" s="401"/>
      <c r="J434" s="401"/>
      <c r="K434" s="401"/>
      <c r="L434" s="401"/>
      <c r="M434" s="401"/>
      <c r="N434" s="401"/>
      <c r="O434" s="401"/>
      <c r="P434" s="401"/>
      <c r="Q434" s="401"/>
      <c r="R434" s="401"/>
      <c r="S434" s="401"/>
      <c r="T434" s="401"/>
      <c r="U434" s="401"/>
      <c r="V434" s="401"/>
      <c r="W434" s="401"/>
      <c r="X434" s="401"/>
      <c r="Y434" s="401"/>
      <c r="Z434" s="401"/>
      <c r="AA434" s="401"/>
      <c r="AB434" s="401"/>
    </row>
    <row r="435" ht="18.0" customHeight="1">
      <c r="A435" s="401"/>
      <c r="B435" s="401"/>
      <c r="C435" s="401"/>
      <c r="D435" s="401"/>
      <c r="E435" s="401"/>
      <c r="F435" s="550"/>
      <c r="G435" s="550"/>
      <c r="H435" s="401"/>
      <c r="I435" s="401"/>
      <c r="J435" s="401"/>
      <c r="K435" s="401"/>
      <c r="L435" s="401"/>
      <c r="M435" s="401"/>
      <c r="N435" s="401"/>
      <c r="O435" s="401"/>
      <c r="P435" s="401"/>
      <c r="Q435" s="401"/>
      <c r="R435" s="401"/>
      <c r="S435" s="401"/>
      <c r="T435" s="401"/>
      <c r="U435" s="401"/>
      <c r="V435" s="401"/>
      <c r="W435" s="401"/>
      <c r="X435" s="401"/>
      <c r="Y435" s="401"/>
      <c r="Z435" s="401"/>
      <c r="AA435" s="401"/>
      <c r="AB435" s="401"/>
    </row>
    <row r="436" ht="18.0" customHeight="1">
      <c r="A436" s="401"/>
      <c r="B436" s="401"/>
      <c r="C436" s="401"/>
      <c r="D436" s="401"/>
      <c r="E436" s="401"/>
      <c r="F436" s="550"/>
      <c r="G436" s="550"/>
      <c r="H436" s="401"/>
      <c r="I436" s="401"/>
      <c r="J436" s="401"/>
      <c r="K436" s="401"/>
      <c r="L436" s="401"/>
      <c r="M436" s="401"/>
      <c r="N436" s="401"/>
      <c r="O436" s="401"/>
      <c r="P436" s="401"/>
      <c r="Q436" s="401"/>
      <c r="R436" s="401"/>
      <c r="S436" s="401"/>
      <c r="T436" s="401"/>
      <c r="U436" s="401"/>
      <c r="V436" s="401"/>
      <c r="W436" s="401"/>
      <c r="X436" s="401"/>
      <c r="Y436" s="401"/>
      <c r="Z436" s="401"/>
      <c r="AA436" s="401"/>
      <c r="AB436" s="401"/>
    </row>
    <row r="437" ht="18.0" customHeight="1">
      <c r="A437" s="401"/>
      <c r="B437" s="401"/>
      <c r="C437" s="401"/>
      <c r="D437" s="401"/>
      <c r="E437" s="401"/>
      <c r="F437" s="550"/>
      <c r="G437" s="550"/>
      <c r="H437" s="401"/>
      <c r="I437" s="401"/>
      <c r="J437" s="401"/>
      <c r="K437" s="401"/>
      <c r="L437" s="401"/>
      <c r="M437" s="401"/>
      <c r="N437" s="401"/>
      <c r="O437" s="401"/>
      <c r="P437" s="401"/>
      <c r="Q437" s="401"/>
      <c r="R437" s="401"/>
      <c r="S437" s="401"/>
      <c r="T437" s="401"/>
      <c r="U437" s="401"/>
      <c r="V437" s="401"/>
      <c r="W437" s="401"/>
      <c r="X437" s="401"/>
      <c r="Y437" s="401"/>
      <c r="Z437" s="401"/>
      <c r="AA437" s="401"/>
      <c r="AB437" s="401"/>
    </row>
    <row r="438" ht="18.0" customHeight="1">
      <c r="A438" s="401"/>
      <c r="B438" s="401"/>
      <c r="C438" s="401"/>
      <c r="D438" s="401"/>
      <c r="E438" s="401"/>
      <c r="F438" s="550"/>
      <c r="G438" s="550"/>
      <c r="H438" s="401"/>
      <c r="I438" s="401"/>
      <c r="J438" s="401"/>
      <c r="K438" s="401"/>
      <c r="L438" s="401"/>
      <c r="M438" s="401"/>
      <c r="N438" s="401"/>
      <c r="O438" s="401"/>
      <c r="P438" s="401"/>
      <c r="Q438" s="401"/>
      <c r="R438" s="401"/>
      <c r="S438" s="401"/>
      <c r="T438" s="401"/>
      <c r="U438" s="401"/>
      <c r="V438" s="401"/>
      <c r="W438" s="401"/>
      <c r="X438" s="401"/>
      <c r="Y438" s="401"/>
      <c r="Z438" s="401"/>
      <c r="AA438" s="401"/>
      <c r="AB438" s="401"/>
    </row>
    <row r="439" ht="18.0" customHeight="1">
      <c r="A439" s="401"/>
      <c r="B439" s="401"/>
      <c r="C439" s="401"/>
      <c r="D439" s="401"/>
      <c r="E439" s="401"/>
      <c r="F439" s="550"/>
      <c r="G439" s="550"/>
      <c r="H439" s="401"/>
      <c r="I439" s="401"/>
      <c r="J439" s="401"/>
      <c r="K439" s="401"/>
      <c r="L439" s="401"/>
      <c r="M439" s="401"/>
      <c r="N439" s="401"/>
      <c r="O439" s="401"/>
      <c r="P439" s="401"/>
      <c r="Q439" s="401"/>
      <c r="R439" s="401"/>
      <c r="S439" s="401"/>
      <c r="T439" s="401"/>
      <c r="U439" s="401"/>
      <c r="V439" s="401"/>
      <c r="W439" s="401"/>
      <c r="X439" s="401"/>
      <c r="Y439" s="401"/>
      <c r="Z439" s="401"/>
      <c r="AA439" s="401"/>
      <c r="AB439" s="401"/>
    </row>
    <row r="440" ht="18.0" customHeight="1">
      <c r="A440" s="401"/>
      <c r="B440" s="401"/>
      <c r="C440" s="401"/>
      <c r="D440" s="401"/>
      <c r="E440" s="401"/>
      <c r="F440" s="550"/>
      <c r="G440" s="550"/>
      <c r="H440" s="401"/>
      <c r="I440" s="401"/>
      <c r="J440" s="401"/>
      <c r="K440" s="401"/>
      <c r="L440" s="401"/>
      <c r="M440" s="401"/>
      <c r="N440" s="401"/>
      <c r="O440" s="401"/>
      <c r="P440" s="401"/>
      <c r="Q440" s="401"/>
      <c r="R440" s="401"/>
      <c r="S440" s="401"/>
      <c r="T440" s="401"/>
      <c r="U440" s="401"/>
      <c r="V440" s="401"/>
      <c r="W440" s="401"/>
      <c r="X440" s="401"/>
      <c r="Y440" s="401"/>
      <c r="Z440" s="401"/>
      <c r="AA440" s="401"/>
      <c r="AB440" s="401"/>
    </row>
    <row r="441" ht="18.0" customHeight="1">
      <c r="A441" s="401"/>
      <c r="B441" s="401"/>
      <c r="C441" s="401"/>
      <c r="D441" s="401"/>
      <c r="E441" s="401"/>
      <c r="F441" s="550"/>
      <c r="G441" s="550"/>
      <c r="H441" s="401"/>
      <c r="I441" s="401"/>
      <c r="J441" s="401"/>
      <c r="K441" s="401"/>
      <c r="L441" s="401"/>
      <c r="M441" s="401"/>
      <c r="N441" s="401"/>
      <c r="O441" s="401"/>
      <c r="P441" s="401"/>
      <c r="Q441" s="401"/>
      <c r="R441" s="401"/>
      <c r="S441" s="401"/>
      <c r="T441" s="401"/>
      <c r="U441" s="401"/>
      <c r="V441" s="401"/>
      <c r="W441" s="401"/>
      <c r="X441" s="401"/>
      <c r="Y441" s="401"/>
      <c r="Z441" s="401"/>
      <c r="AA441" s="401"/>
      <c r="AB441" s="401"/>
    </row>
    <row r="442" ht="18.0" customHeight="1">
      <c r="A442" s="401"/>
      <c r="B442" s="401"/>
      <c r="C442" s="401"/>
      <c r="D442" s="401"/>
      <c r="E442" s="401"/>
      <c r="F442" s="550"/>
      <c r="G442" s="550"/>
      <c r="H442" s="401"/>
      <c r="I442" s="401"/>
      <c r="J442" s="401"/>
      <c r="K442" s="401"/>
      <c r="L442" s="401"/>
      <c r="M442" s="401"/>
      <c r="N442" s="401"/>
      <c r="O442" s="401"/>
      <c r="P442" s="401"/>
      <c r="Q442" s="401"/>
      <c r="R442" s="401"/>
      <c r="S442" s="401"/>
      <c r="T442" s="401"/>
      <c r="U442" s="401"/>
      <c r="V442" s="401"/>
      <c r="W442" s="401"/>
      <c r="X442" s="401"/>
      <c r="Y442" s="401"/>
      <c r="Z442" s="401"/>
      <c r="AA442" s="401"/>
      <c r="AB442" s="401"/>
    </row>
    <row r="443" ht="18.0" customHeight="1">
      <c r="A443" s="401"/>
      <c r="B443" s="401"/>
      <c r="C443" s="401"/>
      <c r="D443" s="401"/>
      <c r="E443" s="401"/>
      <c r="F443" s="550"/>
      <c r="G443" s="550"/>
      <c r="H443" s="401"/>
      <c r="I443" s="401"/>
      <c r="J443" s="401"/>
      <c r="K443" s="401"/>
      <c r="L443" s="401"/>
      <c r="M443" s="401"/>
      <c r="N443" s="401"/>
      <c r="O443" s="401"/>
      <c r="P443" s="401"/>
      <c r="Q443" s="401"/>
      <c r="R443" s="401"/>
      <c r="S443" s="401"/>
      <c r="T443" s="401"/>
      <c r="U443" s="401"/>
      <c r="V443" s="401"/>
      <c r="W443" s="401"/>
      <c r="X443" s="401"/>
      <c r="Y443" s="401"/>
      <c r="Z443" s="401"/>
      <c r="AA443" s="401"/>
      <c r="AB443" s="401"/>
    </row>
    <row r="444" ht="18.0" customHeight="1">
      <c r="A444" s="401"/>
      <c r="B444" s="401"/>
      <c r="C444" s="401"/>
      <c r="D444" s="401"/>
      <c r="E444" s="401"/>
      <c r="F444" s="550"/>
      <c r="G444" s="550"/>
      <c r="H444" s="401"/>
      <c r="I444" s="401"/>
      <c r="J444" s="401"/>
      <c r="K444" s="401"/>
      <c r="L444" s="401"/>
      <c r="M444" s="401"/>
      <c r="N444" s="401"/>
      <c r="O444" s="401"/>
      <c r="P444" s="401"/>
      <c r="Q444" s="401"/>
      <c r="R444" s="401"/>
      <c r="S444" s="401"/>
      <c r="T444" s="401"/>
      <c r="U444" s="401"/>
      <c r="V444" s="401"/>
      <c r="W444" s="401"/>
      <c r="X444" s="401"/>
      <c r="Y444" s="401"/>
      <c r="Z444" s="401"/>
      <c r="AA444" s="401"/>
      <c r="AB444" s="401"/>
    </row>
    <row r="445" ht="18.0" customHeight="1">
      <c r="A445" s="401"/>
      <c r="B445" s="401"/>
      <c r="C445" s="401"/>
      <c r="D445" s="401"/>
      <c r="E445" s="401"/>
      <c r="F445" s="550"/>
      <c r="G445" s="550"/>
      <c r="H445" s="401"/>
      <c r="I445" s="401"/>
      <c r="J445" s="401"/>
      <c r="K445" s="401"/>
      <c r="L445" s="401"/>
      <c r="M445" s="401"/>
      <c r="N445" s="401"/>
      <c r="O445" s="401"/>
      <c r="P445" s="401"/>
      <c r="Q445" s="401"/>
      <c r="R445" s="401"/>
      <c r="S445" s="401"/>
      <c r="T445" s="401"/>
      <c r="U445" s="401"/>
      <c r="V445" s="401"/>
      <c r="W445" s="401"/>
      <c r="X445" s="401"/>
      <c r="Y445" s="401"/>
      <c r="Z445" s="401"/>
      <c r="AA445" s="401"/>
      <c r="AB445" s="401"/>
    </row>
    <row r="446" ht="18.0" customHeight="1">
      <c r="A446" s="401"/>
      <c r="B446" s="401"/>
      <c r="C446" s="401"/>
      <c r="D446" s="401"/>
      <c r="E446" s="401"/>
      <c r="F446" s="550"/>
      <c r="G446" s="550"/>
      <c r="H446" s="401"/>
      <c r="I446" s="401"/>
      <c r="J446" s="401"/>
      <c r="K446" s="401"/>
      <c r="L446" s="401"/>
      <c r="M446" s="401"/>
      <c r="N446" s="401"/>
      <c r="O446" s="401"/>
      <c r="P446" s="401"/>
      <c r="Q446" s="401"/>
      <c r="R446" s="401"/>
      <c r="S446" s="401"/>
      <c r="T446" s="401"/>
      <c r="U446" s="401"/>
      <c r="V446" s="401"/>
      <c r="W446" s="401"/>
      <c r="X446" s="401"/>
      <c r="Y446" s="401"/>
      <c r="Z446" s="401"/>
      <c r="AA446" s="401"/>
      <c r="AB446" s="401"/>
    </row>
    <row r="447" ht="18.0" customHeight="1">
      <c r="A447" s="401"/>
      <c r="B447" s="401"/>
      <c r="C447" s="401"/>
      <c r="D447" s="401"/>
      <c r="E447" s="401"/>
      <c r="F447" s="550"/>
      <c r="G447" s="550"/>
      <c r="H447" s="401"/>
      <c r="I447" s="401"/>
      <c r="J447" s="401"/>
      <c r="K447" s="401"/>
      <c r="L447" s="401"/>
      <c r="M447" s="401"/>
      <c r="N447" s="401"/>
      <c r="O447" s="401"/>
      <c r="P447" s="401"/>
      <c r="Q447" s="401"/>
      <c r="R447" s="401"/>
      <c r="S447" s="401"/>
      <c r="T447" s="401"/>
      <c r="U447" s="401"/>
      <c r="V447" s="401"/>
      <c r="W447" s="401"/>
      <c r="X447" s="401"/>
      <c r="Y447" s="401"/>
      <c r="Z447" s="401"/>
      <c r="AA447" s="401"/>
      <c r="AB447" s="401"/>
    </row>
    <row r="448" ht="18.0" customHeight="1">
      <c r="A448" s="401"/>
      <c r="B448" s="401"/>
      <c r="C448" s="401"/>
      <c r="D448" s="401"/>
      <c r="E448" s="401"/>
      <c r="F448" s="550"/>
      <c r="G448" s="550"/>
      <c r="H448" s="401"/>
      <c r="I448" s="401"/>
      <c r="J448" s="401"/>
      <c r="K448" s="401"/>
      <c r="L448" s="401"/>
      <c r="M448" s="401"/>
      <c r="N448" s="401"/>
      <c r="O448" s="401"/>
      <c r="P448" s="401"/>
      <c r="Q448" s="401"/>
      <c r="R448" s="401"/>
      <c r="S448" s="401"/>
      <c r="T448" s="401"/>
      <c r="U448" s="401"/>
      <c r="V448" s="401"/>
      <c r="W448" s="401"/>
      <c r="X448" s="401"/>
      <c r="Y448" s="401"/>
      <c r="Z448" s="401"/>
      <c r="AA448" s="401"/>
      <c r="AB448" s="401"/>
    </row>
    <row r="449" ht="18.0" customHeight="1">
      <c r="A449" s="401"/>
      <c r="B449" s="401"/>
      <c r="C449" s="401"/>
      <c r="D449" s="401"/>
      <c r="E449" s="401"/>
      <c r="F449" s="550"/>
      <c r="G449" s="550"/>
      <c r="H449" s="401"/>
      <c r="I449" s="401"/>
      <c r="J449" s="401"/>
      <c r="K449" s="401"/>
      <c r="L449" s="401"/>
      <c r="M449" s="401"/>
      <c r="N449" s="401"/>
      <c r="O449" s="401"/>
      <c r="P449" s="401"/>
      <c r="Q449" s="401"/>
      <c r="R449" s="401"/>
      <c r="S449" s="401"/>
      <c r="T449" s="401"/>
      <c r="U449" s="401"/>
      <c r="V449" s="401"/>
      <c r="W449" s="401"/>
      <c r="X449" s="401"/>
      <c r="Y449" s="401"/>
      <c r="Z449" s="401"/>
      <c r="AA449" s="401"/>
      <c r="AB449" s="401"/>
    </row>
    <row r="450" ht="18.0" customHeight="1">
      <c r="A450" s="401"/>
      <c r="B450" s="401"/>
      <c r="C450" s="401"/>
      <c r="D450" s="401"/>
      <c r="E450" s="401"/>
      <c r="F450" s="550"/>
      <c r="G450" s="550"/>
      <c r="H450" s="401"/>
      <c r="I450" s="401"/>
      <c r="J450" s="401"/>
      <c r="K450" s="401"/>
      <c r="L450" s="401"/>
      <c r="M450" s="401"/>
      <c r="N450" s="401"/>
      <c r="O450" s="401"/>
      <c r="P450" s="401"/>
      <c r="Q450" s="401"/>
      <c r="R450" s="401"/>
      <c r="S450" s="401"/>
      <c r="T450" s="401"/>
      <c r="U450" s="401"/>
      <c r="V450" s="401"/>
      <c r="W450" s="401"/>
      <c r="X450" s="401"/>
      <c r="Y450" s="401"/>
      <c r="Z450" s="401"/>
      <c r="AA450" s="401"/>
      <c r="AB450" s="401"/>
    </row>
    <row r="451" ht="18.0" customHeight="1">
      <c r="A451" s="401"/>
      <c r="B451" s="401"/>
      <c r="C451" s="401"/>
      <c r="D451" s="401"/>
      <c r="E451" s="401"/>
      <c r="F451" s="550"/>
      <c r="G451" s="550"/>
      <c r="H451" s="401"/>
      <c r="I451" s="401"/>
      <c r="J451" s="401"/>
      <c r="K451" s="401"/>
      <c r="L451" s="401"/>
      <c r="M451" s="401"/>
      <c r="N451" s="401"/>
      <c r="O451" s="401"/>
      <c r="P451" s="401"/>
      <c r="Q451" s="401"/>
      <c r="R451" s="401"/>
      <c r="S451" s="401"/>
      <c r="T451" s="401"/>
      <c r="U451" s="401"/>
      <c r="V451" s="401"/>
      <c r="W451" s="401"/>
      <c r="X451" s="401"/>
      <c r="Y451" s="401"/>
      <c r="Z451" s="401"/>
      <c r="AA451" s="401"/>
      <c r="AB451" s="401"/>
    </row>
    <row r="452" ht="18.0" customHeight="1">
      <c r="A452" s="401"/>
      <c r="B452" s="401"/>
      <c r="C452" s="401"/>
      <c r="D452" s="401"/>
      <c r="E452" s="401"/>
      <c r="F452" s="550"/>
      <c r="G452" s="550"/>
      <c r="H452" s="401"/>
      <c r="I452" s="401"/>
      <c r="J452" s="401"/>
      <c r="K452" s="401"/>
      <c r="L452" s="401"/>
      <c r="M452" s="401"/>
      <c r="N452" s="401"/>
      <c r="O452" s="401"/>
      <c r="P452" s="401"/>
      <c r="Q452" s="401"/>
      <c r="R452" s="401"/>
      <c r="S452" s="401"/>
      <c r="T452" s="401"/>
      <c r="U452" s="401"/>
      <c r="V452" s="401"/>
      <c r="W452" s="401"/>
      <c r="X452" s="401"/>
      <c r="Y452" s="401"/>
      <c r="Z452" s="401"/>
      <c r="AA452" s="401"/>
      <c r="AB452" s="401"/>
    </row>
    <row r="453" ht="18.0" customHeight="1">
      <c r="A453" s="401"/>
      <c r="B453" s="401"/>
      <c r="C453" s="401"/>
      <c r="D453" s="401"/>
      <c r="E453" s="401"/>
      <c r="F453" s="550"/>
      <c r="G453" s="550"/>
      <c r="H453" s="401"/>
      <c r="I453" s="401"/>
      <c r="J453" s="401"/>
      <c r="K453" s="401"/>
      <c r="L453" s="401"/>
      <c r="M453" s="401"/>
      <c r="N453" s="401"/>
      <c r="O453" s="401"/>
      <c r="P453" s="401"/>
      <c r="Q453" s="401"/>
      <c r="R453" s="401"/>
      <c r="S453" s="401"/>
      <c r="T453" s="401"/>
      <c r="U453" s="401"/>
      <c r="V453" s="401"/>
      <c r="W453" s="401"/>
      <c r="X453" s="401"/>
      <c r="Y453" s="401"/>
      <c r="Z453" s="401"/>
      <c r="AA453" s="401"/>
      <c r="AB453" s="401"/>
    </row>
    <row r="454" ht="18.0" customHeight="1">
      <c r="A454" s="401"/>
      <c r="B454" s="401"/>
      <c r="C454" s="401"/>
      <c r="D454" s="401"/>
      <c r="E454" s="401"/>
      <c r="F454" s="550"/>
      <c r="G454" s="550"/>
      <c r="H454" s="401"/>
      <c r="I454" s="401"/>
      <c r="J454" s="401"/>
      <c r="K454" s="401"/>
      <c r="L454" s="401"/>
      <c r="M454" s="401"/>
      <c r="N454" s="401"/>
      <c r="O454" s="401"/>
      <c r="P454" s="401"/>
      <c r="Q454" s="401"/>
      <c r="R454" s="401"/>
      <c r="S454" s="401"/>
      <c r="T454" s="401"/>
      <c r="U454" s="401"/>
      <c r="V454" s="401"/>
      <c r="W454" s="401"/>
      <c r="X454" s="401"/>
      <c r="Y454" s="401"/>
      <c r="Z454" s="401"/>
      <c r="AA454" s="401"/>
      <c r="AB454" s="401"/>
    </row>
    <row r="455" ht="18.0" customHeight="1">
      <c r="A455" s="401"/>
      <c r="B455" s="401"/>
      <c r="C455" s="401"/>
      <c r="D455" s="401"/>
      <c r="E455" s="401"/>
      <c r="F455" s="550"/>
      <c r="G455" s="550"/>
      <c r="H455" s="401"/>
      <c r="I455" s="401"/>
      <c r="J455" s="401"/>
      <c r="K455" s="401"/>
      <c r="L455" s="401"/>
      <c r="M455" s="401"/>
      <c r="N455" s="401"/>
      <c r="O455" s="401"/>
      <c r="P455" s="401"/>
      <c r="Q455" s="401"/>
      <c r="R455" s="401"/>
      <c r="S455" s="401"/>
      <c r="T455" s="401"/>
      <c r="U455" s="401"/>
      <c r="V455" s="401"/>
      <c r="W455" s="401"/>
      <c r="X455" s="401"/>
      <c r="Y455" s="401"/>
      <c r="Z455" s="401"/>
      <c r="AA455" s="401"/>
      <c r="AB455" s="401"/>
    </row>
    <row r="456" ht="18.0" customHeight="1">
      <c r="A456" s="401"/>
      <c r="B456" s="401"/>
      <c r="C456" s="401"/>
      <c r="D456" s="401"/>
      <c r="E456" s="401"/>
      <c r="F456" s="550"/>
      <c r="G456" s="550"/>
      <c r="H456" s="401"/>
      <c r="I456" s="401"/>
      <c r="J456" s="401"/>
      <c r="K456" s="401"/>
      <c r="L456" s="401"/>
      <c r="M456" s="401"/>
      <c r="N456" s="401"/>
      <c r="O456" s="401"/>
      <c r="P456" s="401"/>
      <c r="Q456" s="401"/>
      <c r="R456" s="401"/>
      <c r="S456" s="401"/>
      <c r="T456" s="401"/>
      <c r="U456" s="401"/>
      <c r="V456" s="401"/>
      <c r="W456" s="401"/>
      <c r="X456" s="401"/>
      <c r="Y456" s="401"/>
      <c r="Z456" s="401"/>
      <c r="AA456" s="401"/>
      <c r="AB456" s="401"/>
    </row>
    <row r="457" ht="18.0" customHeight="1">
      <c r="A457" s="401"/>
      <c r="B457" s="401"/>
      <c r="C457" s="401"/>
      <c r="D457" s="401"/>
      <c r="E457" s="401"/>
      <c r="F457" s="550"/>
      <c r="G457" s="550"/>
      <c r="H457" s="401"/>
      <c r="I457" s="401"/>
      <c r="J457" s="401"/>
      <c r="K457" s="401"/>
      <c r="L457" s="401"/>
      <c r="M457" s="401"/>
      <c r="N457" s="401"/>
      <c r="O457" s="401"/>
      <c r="P457" s="401"/>
      <c r="Q457" s="401"/>
      <c r="R457" s="401"/>
      <c r="S457" s="401"/>
      <c r="T457" s="401"/>
      <c r="U457" s="401"/>
      <c r="V457" s="401"/>
      <c r="W457" s="401"/>
      <c r="X457" s="401"/>
      <c r="Y457" s="401"/>
      <c r="Z457" s="401"/>
      <c r="AA457" s="401"/>
      <c r="AB457" s="401"/>
    </row>
    <row r="458" ht="18.0" customHeight="1">
      <c r="A458" s="401"/>
      <c r="B458" s="401"/>
      <c r="C458" s="401"/>
      <c r="D458" s="401"/>
      <c r="E458" s="401"/>
      <c r="F458" s="550"/>
      <c r="G458" s="550"/>
      <c r="H458" s="401"/>
      <c r="I458" s="401"/>
      <c r="J458" s="401"/>
      <c r="K458" s="401"/>
      <c r="L458" s="401"/>
      <c r="M458" s="401"/>
      <c r="N458" s="401"/>
      <c r="O458" s="401"/>
      <c r="P458" s="401"/>
      <c r="Q458" s="401"/>
      <c r="R458" s="401"/>
      <c r="S458" s="401"/>
      <c r="T458" s="401"/>
      <c r="U458" s="401"/>
      <c r="V458" s="401"/>
      <c r="W458" s="401"/>
      <c r="X458" s="401"/>
      <c r="Y458" s="401"/>
      <c r="Z458" s="401"/>
      <c r="AA458" s="401"/>
      <c r="AB458" s="401"/>
    </row>
    <row r="459" ht="18.0" customHeight="1">
      <c r="A459" s="401"/>
      <c r="B459" s="401"/>
      <c r="C459" s="401"/>
      <c r="D459" s="401"/>
      <c r="E459" s="401"/>
      <c r="F459" s="550"/>
      <c r="G459" s="550"/>
      <c r="H459" s="401"/>
      <c r="I459" s="401"/>
      <c r="J459" s="401"/>
      <c r="K459" s="401"/>
      <c r="L459" s="401"/>
      <c r="M459" s="401"/>
      <c r="N459" s="401"/>
      <c r="O459" s="401"/>
      <c r="P459" s="401"/>
      <c r="Q459" s="401"/>
      <c r="R459" s="401"/>
      <c r="S459" s="401"/>
      <c r="T459" s="401"/>
      <c r="U459" s="401"/>
      <c r="V459" s="401"/>
      <c r="W459" s="401"/>
      <c r="X459" s="401"/>
      <c r="Y459" s="401"/>
      <c r="Z459" s="401"/>
      <c r="AA459" s="401"/>
      <c r="AB459" s="401"/>
    </row>
    <row r="460" ht="18.0" customHeight="1">
      <c r="A460" s="401"/>
      <c r="B460" s="401"/>
      <c r="C460" s="401"/>
      <c r="D460" s="401"/>
      <c r="E460" s="401"/>
      <c r="F460" s="550"/>
      <c r="G460" s="550"/>
      <c r="H460" s="401"/>
      <c r="I460" s="401"/>
      <c r="J460" s="401"/>
      <c r="K460" s="401"/>
      <c r="L460" s="401"/>
      <c r="M460" s="401"/>
      <c r="N460" s="401"/>
      <c r="O460" s="401"/>
      <c r="P460" s="401"/>
      <c r="Q460" s="401"/>
      <c r="R460" s="401"/>
      <c r="S460" s="401"/>
      <c r="T460" s="401"/>
      <c r="U460" s="401"/>
      <c r="V460" s="401"/>
      <c r="W460" s="401"/>
      <c r="X460" s="401"/>
      <c r="Y460" s="401"/>
      <c r="Z460" s="401"/>
      <c r="AA460" s="401"/>
      <c r="AB460" s="401"/>
    </row>
    <row r="461" ht="18.0" customHeight="1">
      <c r="A461" s="401"/>
      <c r="B461" s="401"/>
      <c r="C461" s="401"/>
      <c r="D461" s="401"/>
      <c r="E461" s="401"/>
      <c r="F461" s="550"/>
      <c r="G461" s="550"/>
      <c r="H461" s="401"/>
      <c r="I461" s="401"/>
      <c r="J461" s="401"/>
      <c r="K461" s="401"/>
      <c r="L461" s="401"/>
      <c r="M461" s="401"/>
      <c r="N461" s="401"/>
      <c r="O461" s="401"/>
      <c r="P461" s="401"/>
      <c r="Q461" s="401"/>
      <c r="R461" s="401"/>
      <c r="S461" s="401"/>
      <c r="T461" s="401"/>
      <c r="U461" s="401"/>
      <c r="V461" s="401"/>
      <c r="W461" s="401"/>
      <c r="X461" s="401"/>
      <c r="Y461" s="401"/>
      <c r="Z461" s="401"/>
      <c r="AA461" s="401"/>
      <c r="AB461" s="401"/>
    </row>
    <row r="462" ht="18.0" customHeight="1">
      <c r="A462" s="401"/>
      <c r="B462" s="401"/>
      <c r="C462" s="401"/>
      <c r="D462" s="401"/>
      <c r="E462" s="401"/>
      <c r="F462" s="550"/>
      <c r="G462" s="550"/>
      <c r="H462" s="401"/>
      <c r="I462" s="401"/>
      <c r="J462" s="401"/>
      <c r="K462" s="401"/>
      <c r="L462" s="401"/>
      <c r="M462" s="401"/>
      <c r="N462" s="401"/>
      <c r="O462" s="401"/>
      <c r="P462" s="401"/>
      <c r="Q462" s="401"/>
      <c r="R462" s="401"/>
      <c r="S462" s="401"/>
      <c r="T462" s="401"/>
      <c r="U462" s="401"/>
      <c r="V462" s="401"/>
      <c r="W462" s="401"/>
      <c r="X462" s="401"/>
      <c r="Y462" s="401"/>
      <c r="Z462" s="401"/>
      <c r="AA462" s="401"/>
      <c r="AB462" s="401"/>
    </row>
    <row r="463" ht="18.0" customHeight="1">
      <c r="A463" s="401"/>
      <c r="B463" s="401"/>
      <c r="C463" s="401"/>
      <c r="D463" s="401"/>
      <c r="E463" s="401"/>
      <c r="F463" s="550"/>
      <c r="G463" s="550"/>
      <c r="H463" s="401"/>
      <c r="I463" s="401"/>
      <c r="J463" s="401"/>
      <c r="K463" s="401"/>
      <c r="L463" s="401"/>
      <c r="M463" s="401"/>
      <c r="N463" s="401"/>
      <c r="O463" s="401"/>
      <c r="P463" s="401"/>
      <c r="Q463" s="401"/>
      <c r="R463" s="401"/>
      <c r="S463" s="401"/>
      <c r="T463" s="401"/>
      <c r="U463" s="401"/>
      <c r="V463" s="401"/>
      <c r="W463" s="401"/>
      <c r="X463" s="401"/>
      <c r="Y463" s="401"/>
      <c r="Z463" s="401"/>
      <c r="AA463" s="401"/>
      <c r="AB463" s="401"/>
    </row>
    <row r="464" ht="18.0" customHeight="1">
      <c r="A464" s="401"/>
      <c r="B464" s="401"/>
      <c r="C464" s="401"/>
      <c r="D464" s="401"/>
      <c r="E464" s="401"/>
      <c r="F464" s="550"/>
      <c r="G464" s="550"/>
      <c r="H464" s="401"/>
      <c r="I464" s="401"/>
      <c r="J464" s="401"/>
      <c r="K464" s="401"/>
      <c r="L464" s="401"/>
      <c r="M464" s="401"/>
      <c r="N464" s="401"/>
      <c r="O464" s="401"/>
      <c r="P464" s="401"/>
      <c r="Q464" s="401"/>
      <c r="R464" s="401"/>
      <c r="S464" s="401"/>
      <c r="T464" s="401"/>
      <c r="U464" s="401"/>
      <c r="V464" s="401"/>
      <c r="W464" s="401"/>
      <c r="X464" s="401"/>
      <c r="Y464" s="401"/>
      <c r="Z464" s="401"/>
      <c r="AA464" s="401"/>
      <c r="AB464" s="401"/>
    </row>
    <row r="465" ht="18.0" customHeight="1">
      <c r="A465" s="401"/>
      <c r="B465" s="401"/>
      <c r="C465" s="401"/>
      <c r="D465" s="401"/>
      <c r="E465" s="401"/>
      <c r="F465" s="550"/>
      <c r="G465" s="550"/>
      <c r="H465" s="401"/>
      <c r="I465" s="401"/>
      <c r="J465" s="401"/>
      <c r="K465" s="401"/>
      <c r="L465" s="401"/>
      <c r="M465" s="401"/>
      <c r="N465" s="401"/>
      <c r="O465" s="401"/>
      <c r="P465" s="401"/>
      <c r="Q465" s="401"/>
      <c r="R465" s="401"/>
      <c r="S465" s="401"/>
      <c r="T465" s="401"/>
      <c r="U465" s="401"/>
      <c r="V465" s="401"/>
      <c r="W465" s="401"/>
      <c r="X465" s="401"/>
      <c r="Y465" s="401"/>
      <c r="Z465" s="401"/>
      <c r="AA465" s="401"/>
      <c r="AB465" s="401"/>
    </row>
    <row r="466" ht="18.0" customHeight="1">
      <c r="A466" s="401"/>
      <c r="B466" s="401"/>
      <c r="C466" s="401"/>
      <c r="D466" s="401"/>
      <c r="E466" s="401"/>
      <c r="F466" s="550"/>
      <c r="G466" s="550"/>
      <c r="H466" s="401"/>
      <c r="I466" s="401"/>
      <c r="J466" s="401"/>
      <c r="K466" s="401"/>
      <c r="L466" s="401"/>
      <c r="M466" s="401"/>
      <c r="N466" s="401"/>
      <c r="O466" s="401"/>
      <c r="P466" s="401"/>
      <c r="Q466" s="401"/>
      <c r="R466" s="401"/>
      <c r="S466" s="401"/>
      <c r="T466" s="401"/>
      <c r="U466" s="401"/>
      <c r="V466" s="401"/>
      <c r="W466" s="401"/>
      <c r="X466" s="401"/>
      <c r="Y466" s="401"/>
      <c r="Z466" s="401"/>
      <c r="AA466" s="401"/>
      <c r="AB466" s="401"/>
    </row>
    <row r="467" ht="18.0" customHeight="1">
      <c r="A467" s="401"/>
      <c r="B467" s="401"/>
      <c r="C467" s="401"/>
      <c r="D467" s="401"/>
      <c r="E467" s="401"/>
      <c r="F467" s="550"/>
      <c r="G467" s="550"/>
      <c r="H467" s="401"/>
      <c r="I467" s="401"/>
      <c r="J467" s="401"/>
      <c r="K467" s="401"/>
      <c r="L467" s="401"/>
      <c r="M467" s="401"/>
      <c r="N467" s="401"/>
      <c r="O467" s="401"/>
      <c r="P467" s="401"/>
      <c r="Q467" s="401"/>
      <c r="R467" s="401"/>
      <c r="S467" s="401"/>
      <c r="T467" s="401"/>
      <c r="U467" s="401"/>
      <c r="V467" s="401"/>
      <c r="W467" s="401"/>
      <c r="X467" s="401"/>
      <c r="Y467" s="401"/>
      <c r="Z467" s="401"/>
      <c r="AA467" s="401"/>
      <c r="AB467" s="401"/>
    </row>
    <row r="468" ht="18.0" customHeight="1">
      <c r="A468" s="401"/>
      <c r="B468" s="401"/>
      <c r="C468" s="401"/>
      <c r="D468" s="401"/>
      <c r="E468" s="401"/>
      <c r="F468" s="550"/>
      <c r="G468" s="550"/>
      <c r="H468" s="401"/>
      <c r="I468" s="401"/>
      <c r="J468" s="401"/>
      <c r="K468" s="401"/>
      <c r="L468" s="401"/>
      <c r="M468" s="401"/>
      <c r="N468" s="401"/>
      <c r="O468" s="401"/>
      <c r="P468" s="401"/>
      <c r="Q468" s="401"/>
      <c r="R468" s="401"/>
      <c r="S468" s="401"/>
      <c r="T468" s="401"/>
      <c r="U468" s="401"/>
      <c r="V468" s="401"/>
      <c r="W468" s="401"/>
      <c r="X468" s="401"/>
      <c r="Y468" s="401"/>
      <c r="Z468" s="401"/>
      <c r="AA468" s="401"/>
      <c r="AB468" s="401"/>
    </row>
    <row r="469" ht="18.0" customHeight="1">
      <c r="A469" s="401"/>
      <c r="B469" s="401"/>
      <c r="C469" s="401"/>
      <c r="D469" s="401"/>
      <c r="E469" s="401"/>
      <c r="F469" s="550"/>
      <c r="G469" s="550"/>
      <c r="H469" s="401"/>
      <c r="I469" s="401"/>
      <c r="J469" s="401"/>
      <c r="K469" s="401"/>
      <c r="L469" s="401"/>
      <c r="M469" s="401"/>
      <c r="N469" s="401"/>
      <c r="O469" s="401"/>
      <c r="P469" s="401"/>
      <c r="Q469" s="401"/>
      <c r="R469" s="401"/>
      <c r="S469" s="401"/>
      <c r="T469" s="401"/>
      <c r="U469" s="401"/>
      <c r="V469" s="401"/>
      <c r="W469" s="401"/>
      <c r="X469" s="401"/>
      <c r="Y469" s="401"/>
      <c r="Z469" s="401"/>
      <c r="AA469" s="401"/>
      <c r="AB469" s="401"/>
    </row>
    <row r="470" ht="18.0" customHeight="1">
      <c r="A470" s="401"/>
      <c r="B470" s="401"/>
      <c r="C470" s="401"/>
      <c r="D470" s="401"/>
      <c r="E470" s="401"/>
      <c r="F470" s="550"/>
      <c r="G470" s="550"/>
      <c r="H470" s="401"/>
      <c r="I470" s="401"/>
      <c r="J470" s="401"/>
      <c r="K470" s="401"/>
      <c r="L470" s="401"/>
      <c r="M470" s="401"/>
      <c r="N470" s="401"/>
      <c r="O470" s="401"/>
      <c r="P470" s="401"/>
      <c r="Q470" s="401"/>
      <c r="R470" s="401"/>
      <c r="S470" s="401"/>
      <c r="T470" s="401"/>
      <c r="U470" s="401"/>
      <c r="V470" s="401"/>
      <c r="W470" s="401"/>
      <c r="X470" s="401"/>
      <c r="Y470" s="401"/>
      <c r="Z470" s="401"/>
      <c r="AA470" s="401"/>
      <c r="AB470" s="401"/>
    </row>
    <row r="471" ht="18.0" customHeight="1">
      <c r="A471" s="401"/>
      <c r="B471" s="401"/>
      <c r="C471" s="401"/>
      <c r="D471" s="401"/>
      <c r="E471" s="401"/>
      <c r="F471" s="550"/>
      <c r="G471" s="550"/>
      <c r="H471" s="401"/>
      <c r="I471" s="401"/>
      <c r="J471" s="401"/>
      <c r="K471" s="401"/>
      <c r="L471" s="401"/>
      <c r="M471" s="401"/>
      <c r="N471" s="401"/>
      <c r="O471" s="401"/>
      <c r="P471" s="401"/>
      <c r="Q471" s="401"/>
      <c r="R471" s="401"/>
      <c r="S471" s="401"/>
      <c r="T471" s="401"/>
      <c r="U471" s="401"/>
      <c r="V471" s="401"/>
      <c r="W471" s="401"/>
      <c r="X471" s="401"/>
      <c r="Y471" s="401"/>
      <c r="Z471" s="401"/>
      <c r="AA471" s="401"/>
      <c r="AB471" s="401"/>
    </row>
    <row r="472" ht="18.0" customHeight="1">
      <c r="A472" s="401"/>
      <c r="B472" s="401"/>
      <c r="C472" s="401"/>
      <c r="D472" s="401"/>
      <c r="E472" s="401"/>
      <c r="F472" s="550"/>
      <c r="G472" s="550"/>
      <c r="H472" s="401"/>
      <c r="I472" s="401"/>
      <c r="J472" s="401"/>
      <c r="K472" s="401"/>
      <c r="L472" s="401"/>
      <c r="M472" s="401"/>
      <c r="N472" s="401"/>
      <c r="O472" s="401"/>
      <c r="P472" s="401"/>
      <c r="Q472" s="401"/>
      <c r="R472" s="401"/>
      <c r="S472" s="401"/>
      <c r="T472" s="401"/>
      <c r="U472" s="401"/>
      <c r="V472" s="401"/>
      <c r="W472" s="401"/>
      <c r="X472" s="401"/>
      <c r="Y472" s="401"/>
      <c r="Z472" s="401"/>
      <c r="AA472" s="401"/>
      <c r="AB472" s="401"/>
    </row>
    <row r="473" ht="18.0" customHeight="1">
      <c r="A473" s="401"/>
      <c r="B473" s="401"/>
      <c r="C473" s="401"/>
      <c r="D473" s="401"/>
      <c r="E473" s="401"/>
      <c r="F473" s="550"/>
      <c r="G473" s="550"/>
      <c r="H473" s="401"/>
      <c r="I473" s="401"/>
      <c r="J473" s="401"/>
      <c r="K473" s="401"/>
      <c r="L473" s="401"/>
      <c r="M473" s="401"/>
      <c r="N473" s="401"/>
      <c r="O473" s="401"/>
      <c r="P473" s="401"/>
      <c r="Q473" s="401"/>
      <c r="R473" s="401"/>
      <c r="S473" s="401"/>
      <c r="T473" s="401"/>
      <c r="U473" s="401"/>
      <c r="V473" s="401"/>
      <c r="W473" s="401"/>
      <c r="X473" s="401"/>
      <c r="Y473" s="401"/>
      <c r="Z473" s="401"/>
      <c r="AA473" s="401"/>
      <c r="AB473" s="401"/>
    </row>
    <row r="474" ht="18.0" customHeight="1">
      <c r="A474" s="401"/>
      <c r="B474" s="401"/>
      <c r="C474" s="401"/>
      <c r="D474" s="401"/>
      <c r="E474" s="401"/>
      <c r="F474" s="550"/>
      <c r="G474" s="550"/>
      <c r="H474" s="401"/>
      <c r="I474" s="401"/>
      <c r="J474" s="401"/>
      <c r="K474" s="401"/>
      <c r="L474" s="401"/>
      <c r="M474" s="401"/>
      <c r="N474" s="401"/>
      <c r="O474" s="401"/>
      <c r="P474" s="401"/>
      <c r="Q474" s="401"/>
      <c r="R474" s="401"/>
      <c r="S474" s="401"/>
      <c r="T474" s="401"/>
      <c r="U474" s="401"/>
      <c r="V474" s="401"/>
      <c r="W474" s="401"/>
      <c r="X474" s="401"/>
      <c r="Y474" s="401"/>
      <c r="Z474" s="401"/>
      <c r="AA474" s="401"/>
      <c r="AB474" s="401"/>
    </row>
    <row r="475" ht="18.0" customHeight="1">
      <c r="A475" s="401"/>
      <c r="B475" s="401"/>
      <c r="C475" s="401"/>
      <c r="D475" s="401"/>
      <c r="E475" s="401"/>
      <c r="F475" s="550"/>
      <c r="G475" s="550"/>
      <c r="H475" s="401"/>
      <c r="I475" s="401"/>
      <c r="J475" s="401"/>
      <c r="K475" s="401"/>
      <c r="L475" s="401"/>
      <c r="M475" s="401"/>
      <c r="N475" s="401"/>
      <c r="O475" s="401"/>
      <c r="P475" s="401"/>
      <c r="Q475" s="401"/>
      <c r="R475" s="401"/>
      <c r="S475" s="401"/>
      <c r="T475" s="401"/>
      <c r="U475" s="401"/>
      <c r="V475" s="401"/>
      <c r="W475" s="401"/>
      <c r="X475" s="401"/>
      <c r="Y475" s="401"/>
      <c r="Z475" s="401"/>
      <c r="AA475" s="401"/>
      <c r="AB475" s="401"/>
    </row>
    <row r="476" ht="18.0" customHeight="1">
      <c r="A476" s="401"/>
      <c r="B476" s="401"/>
      <c r="C476" s="401"/>
      <c r="D476" s="401"/>
      <c r="E476" s="401"/>
      <c r="F476" s="550"/>
      <c r="G476" s="550"/>
      <c r="H476" s="401"/>
      <c r="I476" s="401"/>
      <c r="J476" s="401"/>
      <c r="K476" s="401"/>
      <c r="L476" s="401"/>
      <c r="M476" s="401"/>
      <c r="N476" s="401"/>
      <c r="O476" s="401"/>
      <c r="P476" s="401"/>
      <c r="Q476" s="401"/>
      <c r="R476" s="401"/>
      <c r="S476" s="401"/>
      <c r="T476" s="401"/>
      <c r="U476" s="401"/>
      <c r="V476" s="401"/>
      <c r="W476" s="401"/>
      <c r="X476" s="401"/>
      <c r="Y476" s="401"/>
      <c r="Z476" s="401"/>
      <c r="AA476" s="401"/>
      <c r="AB476" s="401"/>
    </row>
    <row r="477" ht="18.0" customHeight="1">
      <c r="A477" s="401"/>
      <c r="B477" s="401"/>
      <c r="C477" s="401"/>
      <c r="D477" s="401"/>
      <c r="E477" s="401"/>
      <c r="F477" s="550"/>
      <c r="G477" s="550"/>
      <c r="H477" s="401"/>
      <c r="I477" s="401"/>
      <c r="J477" s="401"/>
      <c r="K477" s="401"/>
      <c r="L477" s="401"/>
      <c r="M477" s="401"/>
      <c r="N477" s="401"/>
      <c r="O477" s="401"/>
      <c r="P477" s="401"/>
      <c r="Q477" s="401"/>
      <c r="R477" s="401"/>
      <c r="S477" s="401"/>
      <c r="T477" s="401"/>
      <c r="U477" s="401"/>
      <c r="V477" s="401"/>
      <c r="W477" s="401"/>
      <c r="X477" s="401"/>
      <c r="Y477" s="401"/>
      <c r="Z477" s="401"/>
      <c r="AA477" s="401"/>
      <c r="AB477" s="401"/>
    </row>
    <row r="478" ht="18.0" customHeight="1">
      <c r="A478" s="401"/>
      <c r="B478" s="401"/>
      <c r="C478" s="401"/>
      <c r="D478" s="401"/>
      <c r="E478" s="401"/>
      <c r="F478" s="550"/>
      <c r="G478" s="550"/>
      <c r="H478" s="401"/>
      <c r="I478" s="401"/>
      <c r="J478" s="401"/>
      <c r="K478" s="401"/>
      <c r="L478" s="401"/>
      <c r="M478" s="401"/>
      <c r="N478" s="401"/>
      <c r="O478" s="401"/>
      <c r="P478" s="401"/>
      <c r="Q478" s="401"/>
      <c r="R478" s="401"/>
      <c r="S478" s="401"/>
      <c r="T478" s="401"/>
      <c r="U478" s="401"/>
      <c r="V478" s="401"/>
      <c r="W478" s="401"/>
      <c r="X478" s="401"/>
      <c r="Y478" s="401"/>
      <c r="Z478" s="401"/>
      <c r="AA478" s="401"/>
      <c r="AB478" s="401"/>
    </row>
    <row r="479" ht="18.0" customHeight="1">
      <c r="A479" s="401"/>
      <c r="B479" s="401"/>
      <c r="C479" s="401"/>
      <c r="D479" s="401"/>
      <c r="E479" s="401"/>
      <c r="F479" s="550"/>
      <c r="G479" s="550"/>
      <c r="H479" s="401"/>
      <c r="I479" s="401"/>
      <c r="J479" s="401"/>
      <c r="K479" s="401"/>
      <c r="L479" s="401"/>
      <c r="M479" s="401"/>
      <c r="N479" s="401"/>
      <c r="O479" s="401"/>
      <c r="P479" s="401"/>
      <c r="Q479" s="401"/>
      <c r="R479" s="401"/>
      <c r="S479" s="401"/>
      <c r="T479" s="401"/>
      <c r="U479" s="401"/>
      <c r="V479" s="401"/>
      <c r="W479" s="401"/>
      <c r="X479" s="401"/>
      <c r="Y479" s="401"/>
      <c r="Z479" s="401"/>
      <c r="AA479" s="401"/>
      <c r="AB479" s="401"/>
    </row>
    <row r="480" ht="18.0" customHeight="1">
      <c r="A480" s="401"/>
      <c r="B480" s="401"/>
      <c r="C480" s="401"/>
      <c r="D480" s="401"/>
      <c r="E480" s="401"/>
      <c r="F480" s="550"/>
      <c r="G480" s="550"/>
      <c r="H480" s="401"/>
      <c r="I480" s="401"/>
      <c r="J480" s="401"/>
      <c r="K480" s="401"/>
      <c r="L480" s="401"/>
      <c r="M480" s="401"/>
      <c r="N480" s="401"/>
      <c r="O480" s="401"/>
      <c r="P480" s="401"/>
      <c r="Q480" s="401"/>
      <c r="R480" s="401"/>
      <c r="S480" s="401"/>
      <c r="T480" s="401"/>
      <c r="U480" s="401"/>
      <c r="V480" s="401"/>
      <c r="W480" s="401"/>
      <c r="X480" s="401"/>
      <c r="Y480" s="401"/>
      <c r="Z480" s="401"/>
      <c r="AA480" s="401"/>
      <c r="AB480" s="401"/>
    </row>
    <row r="481" ht="18.0" customHeight="1">
      <c r="A481" s="401"/>
      <c r="B481" s="401"/>
      <c r="C481" s="401"/>
      <c r="D481" s="401"/>
      <c r="E481" s="401"/>
      <c r="F481" s="550"/>
      <c r="G481" s="550"/>
      <c r="H481" s="401"/>
      <c r="I481" s="401"/>
      <c r="J481" s="401"/>
      <c r="K481" s="401"/>
      <c r="L481" s="401"/>
      <c r="M481" s="401"/>
      <c r="N481" s="401"/>
      <c r="O481" s="401"/>
      <c r="P481" s="401"/>
      <c r="Q481" s="401"/>
      <c r="R481" s="401"/>
      <c r="S481" s="401"/>
      <c r="T481" s="401"/>
      <c r="U481" s="401"/>
      <c r="V481" s="401"/>
      <c r="W481" s="401"/>
      <c r="X481" s="401"/>
      <c r="Y481" s="401"/>
      <c r="Z481" s="401"/>
      <c r="AA481" s="401"/>
      <c r="AB481" s="401"/>
    </row>
    <row r="482" ht="18.0" customHeight="1">
      <c r="A482" s="401"/>
      <c r="B482" s="401"/>
      <c r="C482" s="401"/>
      <c r="D482" s="401"/>
      <c r="E482" s="401"/>
      <c r="F482" s="550"/>
      <c r="G482" s="550"/>
      <c r="H482" s="401"/>
      <c r="I482" s="401"/>
      <c r="J482" s="401"/>
      <c r="K482" s="401"/>
      <c r="L482" s="401"/>
      <c r="M482" s="401"/>
      <c r="N482" s="401"/>
      <c r="O482" s="401"/>
      <c r="P482" s="401"/>
      <c r="Q482" s="401"/>
      <c r="R482" s="401"/>
      <c r="S482" s="401"/>
      <c r="T482" s="401"/>
      <c r="U482" s="401"/>
      <c r="V482" s="401"/>
      <c r="W482" s="401"/>
      <c r="X482" s="401"/>
      <c r="Y482" s="401"/>
      <c r="Z482" s="401"/>
      <c r="AA482" s="401"/>
      <c r="AB482" s="401"/>
    </row>
    <row r="483" ht="18.0" customHeight="1">
      <c r="A483" s="401"/>
      <c r="B483" s="401"/>
      <c r="C483" s="401"/>
      <c r="D483" s="401"/>
      <c r="E483" s="401"/>
      <c r="F483" s="550"/>
      <c r="G483" s="550"/>
      <c r="H483" s="401"/>
      <c r="I483" s="401"/>
      <c r="J483" s="401"/>
      <c r="K483" s="401"/>
      <c r="L483" s="401"/>
      <c r="M483" s="401"/>
      <c r="N483" s="401"/>
      <c r="O483" s="401"/>
      <c r="P483" s="401"/>
      <c r="Q483" s="401"/>
      <c r="R483" s="401"/>
      <c r="S483" s="401"/>
      <c r="T483" s="401"/>
      <c r="U483" s="401"/>
      <c r="V483" s="401"/>
      <c r="W483" s="401"/>
      <c r="X483" s="401"/>
      <c r="Y483" s="401"/>
      <c r="Z483" s="401"/>
      <c r="AA483" s="401"/>
      <c r="AB483" s="401"/>
    </row>
    <row r="484" ht="18.0" customHeight="1">
      <c r="A484" s="401"/>
      <c r="B484" s="401"/>
      <c r="C484" s="401"/>
      <c r="D484" s="401"/>
      <c r="E484" s="401"/>
      <c r="F484" s="550"/>
      <c r="G484" s="550"/>
      <c r="H484" s="401"/>
      <c r="I484" s="401"/>
      <c r="J484" s="401"/>
      <c r="K484" s="401"/>
      <c r="L484" s="401"/>
      <c r="M484" s="401"/>
      <c r="N484" s="401"/>
      <c r="O484" s="401"/>
      <c r="P484" s="401"/>
      <c r="Q484" s="401"/>
      <c r="R484" s="401"/>
      <c r="S484" s="401"/>
      <c r="T484" s="401"/>
      <c r="U484" s="401"/>
      <c r="V484" s="401"/>
      <c r="W484" s="401"/>
      <c r="X484" s="401"/>
      <c r="Y484" s="401"/>
      <c r="Z484" s="401"/>
      <c r="AA484" s="401"/>
      <c r="AB484" s="401"/>
    </row>
    <row r="485" ht="18.0" customHeight="1">
      <c r="A485" s="401"/>
      <c r="B485" s="401"/>
      <c r="C485" s="401"/>
      <c r="D485" s="401"/>
      <c r="E485" s="401"/>
      <c r="F485" s="550"/>
      <c r="G485" s="550"/>
      <c r="H485" s="401"/>
      <c r="I485" s="401"/>
      <c r="J485" s="401"/>
      <c r="K485" s="401"/>
      <c r="L485" s="401"/>
      <c r="M485" s="401"/>
      <c r="N485" s="401"/>
      <c r="O485" s="401"/>
      <c r="P485" s="401"/>
      <c r="Q485" s="401"/>
      <c r="R485" s="401"/>
      <c r="S485" s="401"/>
      <c r="T485" s="401"/>
      <c r="U485" s="401"/>
      <c r="V485" s="401"/>
      <c r="W485" s="401"/>
      <c r="X485" s="401"/>
      <c r="Y485" s="401"/>
      <c r="Z485" s="401"/>
      <c r="AA485" s="401"/>
      <c r="AB485" s="401"/>
    </row>
    <row r="486" ht="18.0" customHeight="1">
      <c r="A486" s="401"/>
      <c r="B486" s="401"/>
      <c r="C486" s="401"/>
      <c r="D486" s="401"/>
      <c r="E486" s="401"/>
      <c r="F486" s="550"/>
      <c r="G486" s="550"/>
      <c r="H486" s="401"/>
      <c r="I486" s="401"/>
      <c r="J486" s="401"/>
      <c r="K486" s="401"/>
      <c r="L486" s="401"/>
      <c r="M486" s="401"/>
      <c r="N486" s="401"/>
      <c r="O486" s="401"/>
      <c r="P486" s="401"/>
      <c r="Q486" s="401"/>
      <c r="R486" s="401"/>
      <c r="S486" s="401"/>
      <c r="T486" s="401"/>
      <c r="U486" s="401"/>
      <c r="V486" s="401"/>
      <c r="W486" s="401"/>
      <c r="X486" s="401"/>
      <c r="Y486" s="401"/>
      <c r="Z486" s="401"/>
      <c r="AA486" s="401"/>
      <c r="AB486" s="401"/>
    </row>
    <row r="487" ht="18.0" customHeight="1">
      <c r="A487" s="401"/>
      <c r="B487" s="401"/>
      <c r="C487" s="401"/>
      <c r="D487" s="401"/>
      <c r="E487" s="401"/>
      <c r="F487" s="550"/>
      <c r="G487" s="550"/>
      <c r="H487" s="401"/>
      <c r="I487" s="401"/>
      <c r="J487" s="401"/>
      <c r="K487" s="401"/>
      <c r="L487" s="401"/>
      <c r="M487" s="401"/>
      <c r="N487" s="401"/>
      <c r="O487" s="401"/>
      <c r="P487" s="401"/>
      <c r="Q487" s="401"/>
      <c r="R487" s="401"/>
      <c r="S487" s="401"/>
      <c r="T487" s="401"/>
      <c r="U487" s="401"/>
      <c r="V487" s="401"/>
      <c r="W487" s="401"/>
      <c r="X487" s="401"/>
      <c r="Y487" s="401"/>
      <c r="Z487" s="401"/>
      <c r="AA487" s="401"/>
      <c r="AB487" s="401"/>
    </row>
    <row r="488" ht="18.0" customHeight="1">
      <c r="A488" s="401"/>
      <c r="B488" s="401"/>
      <c r="C488" s="401"/>
      <c r="D488" s="401"/>
      <c r="E488" s="401"/>
      <c r="F488" s="550"/>
      <c r="G488" s="550"/>
      <c r="H488" s="401"/>
      <c r="I488" s="401"/>
      <c r="J488" s="401"/>
      <c r="K488" s="401"/>
      <c r="L488" s="401"/>
      <c r="M488" s="401"/>
      <c r="N488" s="401"/>
      <c r="O488" s="401"/>
      <c r="P488" s="401"/>
      <c r="Q488" s="401"/>
      <c r="R488" s="401"/>
      <c r="S488" s="401"/>
      <c r="T488" s="401"/>
      <c r="U488" s="401"/>
      <c r="V488" s="401"/>
      <c r="W488" s="401"/>
      <c r="X488" s="401"/>
      <c r="Y488" s="401"/>
      <c r="Z488" s="401"/>
      <c r="AA488" s="401"/>
      <c r="AB488" s="401"/>
    </row>
    <row r="489" ht="18.0" customHeight="1">
      <c r="A489" s="401"/>
      <c r="B489" s="401"/>
      <c r="C489" s="401"/>
      <c r="D489" s="401"/>
      <c r="E489" s="401"/>
      <c r="F489" s="550"/>
      <c r="G489" s="550"/>
      <c r="H489" s="401"/>
      <c r="I489" s="401"/>
      <c r="J489" s="401"/>
      <c r="K489" s="401"/>
      <c r="L489" s="401"/>
      <c r="M489" s="401"/>
      <c r="N489" s="401"/>
      <c r="O489" s="401"/>
      <c r="P489" s="401"/>
      <c r="Q489" s="401"/>
      <c r="R489" s="401"/>
      <c r="S489" s="401"/>
      <c r="T489" s="401"/>
      <c r="U489" s="401"/>
      <c r="V489" s="401"/>
      <c r="W489" s="401"/>
      <c r="X489" s="401"/>
      <c r="Y489" s="401"/>
      <c r="Z489" s="401"/>
      <c r="AA489" s="401"/>
      <c r="AB489" s="401"/>
    </row>
    <row r="490" ht="18.0" customHeight="1">
      <c r="A490" s="401"/>
      <c r="B490" s="401"/>
      <c r="C490" s="401"/>
      <c r="D490" s="401"/>
      <c r="E490" s="401"/>
      <c r="F490" s="550"/>
      <c r="G490" s="550"/>
      <c r="H490" s="401"/>
      <c r="I490" s="401"/>
      <c r="J490" s="401"/>
      <c r="K490" s="401"/>
      <c r="L490" s="401"/>
      <c r="M490" s="401"/>
      <c r="N490" s="401"/>
      <c r="O490" s="401"/>
      <c r="P490" s="401"/>
      <c r="Q490" s="401"/>
      <c r="R490" s="401"/>
      <c r="S490" s="401"/>
      <c r="T490" s="401"/>
      <c r="U490" s="401"/>
      <c r="V490" s="401"/>
      <c r="W490" s="401"/>
      <c r="X490" s="401"/>
      <c r="Y490" s="401"/>
      <c r="Z490" s="401"/>
      <c r="AA490" s="401"/>
      <c r="AB490" s="401"/>
    </row>
    <row r="491" ht="18.0" customHeight="1">
      <c r="A491" s="401"/>
      <c r="B491" s="401"/>
      <c r="C491" s="401"/>
      <c r="D491" s="401"/>
      <c r="E491" s="401"/>
      <c r="F491" s="550"/>
      <c r="G491" s="550"/>
      <c r="H491" s="401"/>
      <c r="I491" s="401"/>
      <c r="J491" s="401"/>
      <c r="K491" s="401"/>
      <c r="L491" s="401"/>
      <c r="M491" s="401"/>
      <c r="N491" s="401"/>
      <c r="O491" s="401"/>
      <c r="P491" s="401"/>
      <c r="Q491" s="401"/>
      <c r="R491" s="401"/>
      <c r="S491" s="401"/>
      <c r="T491" s="401"/>
      <c r="U491" s="401"/>
      <c r="V491" s="401"/>
      <c r="W491" s="401"/>
      <c r="X491" s="401"/>
      <c r="Y491" s="401"/>
      <c r="Z491" s="401"/>
      <c r="AA491" s="401"/>
      <c r="AB491" s="401"/>
    </row>
    <row r="492" ht="18.0" customHeight="1">
      <c r="A492" s="401"/>
      <c r="B492" s="401"/>
      <c r="C492" s="401"/>
      <c r="D492" s="401"/>
      <c r="E492" s="401"/>
      <c r="F492" s="550"/>
      <c r="G492" s="550"/>
      <c r="H492" s="401"/>
      <c r="I492" s="401"/>
      <c r="J492" s="401"/>
      <c r="K492" s="401"/>
      <c r="L492" s="401"/>
      <c r="M492" s="401"/>
      <c r="N492" s="401"/>
      <c r="O492" s="401"/>
      <c r="P492" s="401"/>
      <c r="Q492" s="401"/>
      <c r="R492" s="401"/>
      <c r="S492" s="401"/>
      <c r="T492" s="401"/>
      <c r="U492" s="401"/>
      <c r="V492" s="401"/>
      <c r="W492" s="401"/>
      <c r="X492" s="401"/>
      <c r="Y492" s="401"/>
      <c r="Z492" s="401"/>
      <c r="AA492" s="401"/>
      <c r="AB492" s="401"/>
    </row>
    <row r="493" ht="18.0" customHeight="1">
      <c r="A493" s="401"/>
      <c r="B493" s="401"/>
      <c r="C493" s="401"/>
      <c r="D493" s="401"/>
      <c r="E493" s="401"/>
      <c r="F493" s="550"/>
      <c r="G493" s="550"/>
      <c r="H493" s="401"/>
      <c r="I493" s="401"/>
      <c r="J493" s="401"/>
      <c r="K493" s="401"/>
      <c r="L493" s="401"/>
      <c r="M493" s="401"/>
      <c r="N493" s="401"/>
      <c r="O493" s="401"/>
      <c r="P493" s="401"/>
      <c r="Q493" s="401"/>
      <c r="R493" s="401"/>
      <c r="S493" s="401"/>
      <c r="T493" s="401"/>
      <c r="U493" s="401"/>
      <c r="V493" s="401"/>
      <c r="W493" s="401"/>
      <c r="X493" s="401"/>
      <c r="Y493" s="401"/>
      <c r="Z493" s="401"/>
      <c r="AA493" s="401"/>
      <c r="AB493" s="401"/>
    </row>
    <row r="494" ht="18.0" customHeight="1">
      <c r="A494" s="401"/>
      <c r="B494" s="401"/>
      <c r="C494" s="401"/>
      <c r="D494" s="401"/>
      <c r="E494" s="401"/>
      <c r="F494" s="550"/>
      <c r="G494" s="550"/>
      <c r="H494" s="401"/>
      <c r="I494" s="401"/>
      <c r="J494" s="401"/>
      <c r="K494" s="401"/>
      <c r="L494" s="401"/>
      <c r="M494" s="401"/>
      <c r="N494" s="401"/>
      <c r="O494" s="401"/>
      <c r="P494" s="401"/>
      <c r="Q494" s="401"/>
      <c r="R494" s="401"/>
      <c r="S494" s="401"/>
      <c r="T494" s="401"/>
      <c r="U494" s="401"/>
      <c r="V494" s="401"/>
      <c r="W494" s="401"/>
      <c r="X494" s="401"/>
      <c r="Y494" s="401"/>
      <c r="Z494" s="401"/>
      <c r="AA494" s="401"/>
      <c r="AB494" s="401"/>
    </row>
    <row r="495" ht="18.0" customHeight="1">
      <c r="A495" s="401"/>
      <c r="B495" s="401"/>
      <c r="C495" s="401"/>
      <c r="D495" s="401"/>
      <c r="E495" s="401"/>
      <c r="F495" s="550"/>
      <c r="G495" s="550"/>
      <c r="H495" s="401"/>
      <c r="I495" s="401"/>
      <c r="J495" s="401"/>
      <c r="K495" s="401"/>
      <c r="L495" s="401"/>
      <c r="M495" s="401"/>
      <c r="N495" s="401"/>
      <c r="O495" s="401"/>
      <c r="P495" s="401"/>
      <c r="Q495" s="401"/>
      <c r="R495" s="401"/>
      <c r="S495" s="401"/>
      <c r="T495" s="401"/>
      <c r="U495" s="401"/>
      <c r="V495" s="401"/>
      <c r="W495" s="401"/>
      <c r="X495" s="401"/>
      <c r="Y495" s="401"/>
      <c r="Z495" s="401"/>
      <c r="AA495" s="401"/>
      <c r="AB495" s="401"/>
    </row>
    <row r="496" ht="18.0" customHeight="1">
      <c r="A496" s="401"/>
      <c r="B496" s="401"/>
      <c r="C496" s="401"/>
      <c r="D496" s="401"/>
      <c r="E496" s="401"/>
      <c r="F496" s="550"/>
      <c r="G496" s="550"/>
      <c r="H496" s="401"/>
      <c r="I496" s="401"/>
      <c r="J496" s="401"/>
      <c r="K496" s="401"/>
      <c r="L496" s="401"/>
      <c r="M496" s="401"/>
      <c r="N496" s="401"/>
      <c r="O496" s="401"/>
      <c r="P496" s="401"/>
      <c r="Q496" s="401"/>
      <c r="R496" s="401"/>
      <c r="S496" s="401"/>
      <c r="T496" s="401"/>
      <c r="U496" s="401"/>
      <c r="V496" s="401"/>
      <c r="W496" s="401"/>
      <c r="X496" s="401"/>
      <c r="Y496" s="401"/>
      <c r="Z496" s="401"/>
      <c r="AA496" s="401"/>
      <c r="AB496" s="401"/>
    </row>
    <row r="497" ht="18.0" customHeight="1">
      <c r="A497" s="401"/>
      <c r="B497" s="401"/>
      <c r="C497" s="401"/>
      <c r="D497" s="401"/>
      <c r="E497" s="401"/>
      <c r="F497" s="550"/>
      <c r="G497" s="550"/>
      <c r="H497" s="401"/>
      <c r="I497" s="401"/>
      <c r="J497" s="401"/>
      <c r="K497" s="401"/>
      <c r="L497" s="401"/>
      <c r="M497" s="401"/>
      <c r="N497" s="401"/>
      <c r="O497" s="401"/>
      <c r="P497" s="401"/>
      <c r="Q497" s="401"/>
      <c r="R497" s="401"/>
      <c r="S497" s="401"/>
      <c r="T497" s="401"/>
      <c r="U497" s="401"/>
      <c r="V497" s="401"/>
      <c r="W497" s="401"/>
      <c r="X497" s="401"/>
      <c r="Y497" s="401"/>
      <c r="Z497" s="401"/>
      <c r="AA497" s="401"/>
      <c r="AB497" s="401"/>
    </row>
    <row r="498" ht="18.0" customHeight="1">
      <c r="A498" s="401"/>
      <c r="B498" s="401"/>
      <c r="C498" s="401"/>
      <c r="D498" s="401"/>
      <c r="E498" s="401"/>
      <c r="F498" s="550"/>
      <c r="G498" s="550"/>
      <c r="H498" s="401"/>
      <c r="I498" s="401"/>
      <c r="J498" s="401"/>
      <c r="K498" s="401"/>
      <c r="L498" s="401"/>
      <c r="M498" s="401"/>
      <c r="N498" s="401"/>
      <c r="O498" s="401"/>
      <c r="P498" s="401"/>
      <c r="Q498" s="401"/>
      <c r="R498" s="401"/>
      <c r="S498" s="401"/>
      <c r="T498" s="401"/>
      <c r="U498" s="401"/>
      <c r="V498" s="401"/>
      <c r="W498" s="401"/>
      <c r="X498" s="401"/>
      <c r="Y498" s="401"/>
      <c r="Z498" s="401"/>
      <c r="AA498" s="401"/>
      <c r="AB498" s="401"/>
    </row>
    <row r="499" ht="18.0" customHeight="1">
      <c r="A499" s="401"/>
      <c r="B499" s="401"/>
      <c r="C499" s="401"/>
      <c r="D499" s="401"/>
      <c r="E499" s="401"/>
      <c r="F499" s="550"/>
      <c r="G499" s="550"/>
      <c r="H499" s="401"/>
      <c r="I499" s="401"/>
      <c r="J499" s="401"/>
      <c r="K499" s="401"/>
      <c r="L499" s="401"/>
      <c r="M499" s="401"/>
      <c r="N499" s="401"/>
      <c r="O499" s="401"/>
      <c r="P499" s="401"/>
      <c r="Q499" s="401"/>
      <c r="R499" s="401"/>
      <c r="S499" s="401"/>
      <c r="T499" s="401"/>
      <c r="U499" s="401"/>
      <c r="V499" s="401"/>
      <c r="W499" s="401"/>
      <c r="X499" s="401"/>
      <c r="Y499" s="401"/>
      <c r="Z499" s="401"/>
      <c r="AA499" s="401"/>
      <c r="AB499" s="401"/>
    </row>
    <row r="500" ht="18.0" customHeight="1">
      <c r="A500" s="401"/>
      <c r="B500" s="401"/>
      <c r="C500" s="401"/>
      <c r="D500" s="401"/>
      <c r="E500" s="401"/>
      <c r="F500" s="550"/>
      <c r="G500" s="550"/>
      <c r="H500" s="401"/>
      <c r="I500" s="401"/>
      <c r="J500" s="401"/>
      <c r="K500" s="401"/>
      <c r="L500" s="401"/>
      <c r="M500" s="401"/>
      <c r="N500" s="401"/>
      <c r="O500" s="401"/>
      <c r="P500" s="401"/>
      <c r="Q500" s="401"/>
      <c r="R500" s="401"/>
      <c r="S500" s="401"/>
      <c r="T500" s="401"/>
      <c r="U500" s="401"/>
      <c r="V500" s="401"/>
      <c r="W500" s="401"/>
      <c r="X500" s="401"/>
      <c r="Y500" s="401"/>
      <c r="Z500" s="401"/>
      <c r="AA500" s="401"/>
      <c r="AB500" s="401"/>
    </row>
    <row r="501" ht="18.0" customHeight="1">
      <c r="A501" s="401"/>
      <c r="B501" s="401"/>
      <c r="C501" s="401"/>
      <c r="D501" s="401"/>
      <c r="E501" s="401"/>
      <c r="F501" s="550"/>
      <c r="G501" s="550"/>
      <c r="H501" s="401"/>
      <c r="I501" s="401"/>
      <c r="J501" s="401"/>
      <c r="K501" s="401"/>
      <c r="L501" s="401"/>
      <c r="M501" s="401"/>
      <c r="N501" s="401"/>
      <c r="O501" s="401"/>
      <c r="P501" s="401"/>
      <c r="Q501" s="401"/>
      <c r="R501" s="401"/>
      <c r="S501" s="401"/>
      <c r="T501" s="401"/>
      <c r="U501" s="401"/>
      <c r="V501" s="401"/>
      <c r="W501" s="401"/>
      <c r="X501" s="401"/>
      <c r="Y501" s="401"/>
      <c r="Z501" s="401"/>
      <c r="AA501" s="401"/>
      <c r="AB501" s="401"/>
    </row>
    <row r="502" ht="18.0" customHeight="1">
      <c r="A502" s="401"/>
      <c r="B502" s="401"/>
      <c r="C502" s="401"/>
      <c r="D502" s="401"/>
      <c r="E502" s="401"/>
      <c r="F502" s="550"/>
      <c r="G502" s="550"/>
      <c r="H502" s="401"/>
      <c r="I502" s="401"/>
      <c r="J502" s="401"/>
      <c r="K502" s="401"/>
      <c r="L502" s="401"/>
      <c r="M502" s="401"/>
      <c r="N502" s="401"/>
      <c r="O502" s="401"/>
      <c r="P502" s="401"/>
      <c r="Q502" s="401"/>
      <c r="R502" s="401"/>
      <c r="S502" s="401"/>
      <c r="T502" s="401"/>
      <c r="U502" s="401"/>
      <c r="V502" s="401"/>
      <c r="W502" s="401"/>
      <c r="X502" s="401"/>
      <c r="Y502" s="401"/>
      <c r="Z502" s="401"/>
      <c r="AA502" s="401"/>
      <c r="AB502" s="401"/>
    </row>
    <row r="503" ht="18.0" customHeight="1">
      <c r="A503" s="401"/>
      <c r="B503" s="401"/>
      <c r="C503" s="401"/>
      <c r="D503" s="401"/>
      <c r="E503" s="401"/>
      <c r="F503" s="550"/>
      <c r="G503" s="550"/>
      <c r="H503" s="401"/>
      <c r="I503" s="401"/>
      <c r="J503" s="401"/>
      <c r="K503" s="401"/>
      <c r="L503" s="401"/>
      <c r="M503" s="401"/>
      <c r="N503" s="401"/>
      <c r="O503" s="401"/>
      <c r="P503" s="401"/>
      <c r="Q503" s="401"/>
      <c r="R503" s="401"/>
      <c r="S503" s="401"/>
      <c r="T503" s="401"/>
      <c r="U503" s="401"/>
      <c r="V503" s="401"/>
      <c r="W503" s="401"/>
      <c r="X503" s="401"/>
      <c r="Y503" s="401"/>
      <c r="Z503" s="401"/>
      <c r="AA503" s="401"/>
      <c r="AB503" s="401"/>
    </row>
    <row r="504" ht="18.0" customHeight="1">
      <c r="A504" s="401"/>
      <c r="B504" s="401"/>
      <c r="C504" s="401"/>
      <c r="D504" s="401"/>
      <c r="E504" s="401"/>
      <c r="F504" s="550"/>
      <c r="G504" s="550"/>
      <c r="H504" s="401"/>
      <c r="I504" s="401"/>
      <c r="J504" s="401"/>
      <c r="K504" s="401"/>
      <c r="L504" s="401"/>
      <c r="M504" s="401"/>
      <c r="N504" s="401"/>
      <c r="O504" s="401"/>
      <c r="P504" s="401"/>
      <c r="Q504" s="401"/>
      <c r="R504" s="401"/>
      <c r="S504" s="401"/>
      <c r="T504" s="401"/>
      <c r="U504" s="401"/>
      <c r="V504" s="401"/>
      <c r="W504" s="401"/>
      <c r="X504" s="401"/>
      <c r="Y504" s="401"/>
      <c r="Z504" s="401"/>
      <c r="AA504" s="401"/>
      <c r="AB504" s="401"/>
    </row>
    <row r="505" ht="18.0" customHeight="1">
      <c r="A505" s="401"/>
      <c r="B505" s="401"/>
      <c r="C505" s="401"/>
      <c r="D505" s="401"/>
      <c r="E505" s="401"/>
      <c r="F505" s="550"/>
      <c r="G505" s="550"/>
      <c r="H505" s="401"/>
      <c r="I505" s="401"/>
      <c r="J505" s="401"/>
      <c r="K505" s="401"/>
      <c r="L505" s="401"/>
      <c r="M505" s="401"/>
      <c r="N505" s="401"/>
      <c r="O505" s="401"/>
      <c r="P505" s="401"/>
      <c r="Q505" s="401"/>
      <c r="R505" s="401"/>
      <c r="S505" s="401"/>
      <c r="T505" s="401"/>
      <c r="U505" s="401"/>
      <c r="V505" s="401"/>
      <c r="W505" s="401"/>
      <c r="X505" s="401"/>
      <c r="Y505" s="401"/>
      <c r="Z505" s="401"/>
      <c r="AA505" s="401"/>
      <c r="AB505" s="401"/>
    </row>
    <row r="506" ht="18.0" customHeight="1">
      <c r="A506" s="401"/>
      <c r="B506" s="401"/>
      <c r="C506" s="401"/>
      <c r="D506" s="401"/>
      <c r="E506" s="401"/>
      <c r="F506" s="550"/>
      <c r="G506" s="550"/>
      <c r="H506" s="401"/>
      <c r="I506" s="401"/>
      <c r="J506" s="401"/>
      <c r="K506" s="401"/>
      <c r="L506" s="401"/>
      <c r="M506" s="401"/>
      <c r="N506" s="401"/>
      <c r="O506" s="401"/>
      <c r="P506" s="401"/>
      <c r="Q506" s="401"/>
      <c r="R506" s="401"/>
      <c r="S506" s="401"/>
      <c r="T506" s="401"/>
      <c r="U506" s="401"/>
      <c r="V506" s="401"/>
      <c r="W506" s="401"/>
      <c r="X506" s="401"/>
      <c r="Y506" s="401"/>
      <c r="Z506" s="401"/>
      <c r="AA506" s="401"/>
      <c r="AB506" s="401"/>
    </row>
    <row r="507" ht="18.0" customHeight="1">
      <c r="A507" s="401"/>
      <c r="B507" s="401"/>
      <c r="C507" s="401"/>
      <c r="D507" s="401"/>
      <c r="E507" s="401"/>
      <c r="F507" s="550"/>
      <c r="G507" s="550"/>
      <c r="H507" s="401"/>
      <c r="I507" s="401"/>
      <c r="J507" s="401"/>
      <c r="K507" s="401"/>
      <c r="L507" s="401"/>
      <c r="M507" s="401"/>
      <c r="N507" s="401"/>
      <c r="O507" s="401"/>
      <c r="P507" s="401"/>
      <c r="Q507" s="401"/>
      <c r="R507" s="401"/>
      <c r="S507" s="401"/>
      <c r="T507" s="401"/>
      <c r="U507" s="401"/>
      <c r="V507" s="401"/>
      <c r="W507" s="401"/>
      <c r="X507" s="401"/>
      <c r="Y507" s="401"/>
      <c r="Z507" s="401"/>
      <c r="AA507" s="401"/>
      <c r="AB507" s="401"/>
    </row>
    <row r="508" ht="18.0" customHeight="1">
      <c r="A508" s="401"/>
      <c r="B508" s="401"/>
      <c r="C508" s="401"/>
      <c r="D508" s="401"/>
      <c r="E508" s="401"/>
      <c r="F508" s="550"/>
      <c r="G508" s="550"/>
      <c r="H508" s="401"/>
      <c r="I508" s="401"/>
      <c r="J508" s="401"/>
      <c r="K508" s="401"/>
      <c r="L508" s="401"/>
      <c r="M508" s="401"/>
      <c r="N508" s="401"/>
      <c r="O508" s="401"/>
      <c r="P508" s="401"/>
      <c r="Q508" s="401"/>
      <c r="R508" s="401"/>
      <c r="S508" s="401"/>
      <c r="T508" s="401"/>
      <c r="U508" s="401"/>
      <c r="V508" s="401"/>
      <c r="W508" s="401"/>
      <c r="X508" s="401"/>
      <c r="Y508" s="401"/>
      <c r="Z508" s="401"/>
      <c r="AA508" s="401"/>
      <c r="AB508" s="401"/>
    </row>
    <row r="509" ht="18.0" customHeight="1">
      <c r="A509" s="401"/>
      <c r="B509" s="401"/>
      <c r="C509" s="401"/>
      <c r="D509" s="401"/>
      <c r="E509" s="401"/>
      <c r="F509" s="550"/>
      <c r="G509" s="550"/>
      <c r="H509" s="401"/>
      <c r="I509" s="401"/>
      <c r="J509" s="401"/>
      <c r="K509" s="401"/>
      <c r="L509" s="401"/>
      <c r="M509" s="401"/>
      <c r="N509" s="401"/>
      <c r="O509" s="401"/>
      <c r="P509" s="401"/>
      <c r="Q509" s="401"/>
      <c r="R509" s="401"/>
      <c r="S509" s="401"/>
      <c r="T509" s="401"/>
      <c r="U509" s="401"/>
      <c r="V509" s="401"/>
      <c r="W509" s="401"/>
      <c r="X509" s="401"/>
      <c r="Y509" s="401"/>
      <c r="Z509" s="401"/>
      <c r="AA509" s="401"/>
      <c r="AB509" s="401"/>
    </row>
    <row r="510" ht="18.0" customHeight="1">
      <c r="A510" s="401"/>
      <c r="B510" s="401"/>
      <c r="C510" s="401"/>
      <c r="D510" s="401"/>
      <c r="E510" s="401"/>
      <c r="F510" s="550"/>
      <c r="G510" s="550"/>
      <c r="H510" s="401"/>
      <c r="I510" s="401"/>
      <c r="J510" s="401"/>
      <c r="K510" s="401"/>
      <c r="L510" s="401"/>
      <c r="M510" s="401"/>
      <c r="N510" s="401"/>
      <c r="O510" s="401"/>
      <c r="P510" s="401"/>
      <c r="Q510" s="401"/>
      <c r="R510" s="401"/>
      <c r="S510" s="401"/>
      <c r="T510" s="401"/>
      <c r="U510" s="401"/>
      <c r="V510" s="401"/>
      <c r="W510" s="401"/>
      <c r="X510" s="401"/>
      <c r="Y510" s="401"/>
      <c r="Z510" s="401"/>
      <c r="AA510" s="401"/>
      <c r="AB510" s="401"/>
    </row>
    <row r="511" ht="18.0" customHeight="1">
      <c r="A511" s="401"/>
      <c r="B511" s="401"/>
      <c r="C511" s="401"/>
      <c r="D511" s="401"/>
      <c r="E511" s="401"/>
      <c r="F511" s="550"/>
      <c r="G511" s="550"/>
      <c r="H511" s="401"/>
      <c r="I511" s="401"/>
      <c r="J511" s="401"/>
      <c r="K511" s="401"/>
      <c r="L511" s="401"/>
      <c r="M511" s="401"/>
      <c r="N511" s="401"/>
      <c r="O511" s="401"/>
      <c r="P511" s="401"/>
      <c r="Q511" s="401"/>
      <c r="R511" s="401"/>
      <c r="S511" s="401"/>
      <c r="T511" s="401"/>
      <c r="U511" s="401"/>
      <c r="V511" s="401"/>
      <c r="W511" s="401"/>
      <c r="X511" s="401"/>
      <c r="Y511" s="401"/>
      <c r="Z511" s="401"/>
      <c r="AA511" s="401"/>
      <c r="AB511" s="401"/>
    </row>
    <row r="512" ht="18.0" customHeight="1">
      <c r="A512" s="401"/>
      <c r="B512" s="401"/>
      <c r="C512" s="401"/>
      <c r="D512" s="401"/>
      <c r="E512" s="401"/>
      <c r="F512" s="550"/>
      <c r="G512" s="550"/>
      <c r="H512" s="401"/>
      <c r="I512" s="401"/>
      <c r="J512" s="401"/>
      <c r="K512" s="401"/>
      <c r="L512" s="401"/>
      <c r="M512" s="401"/>
      <c r="N512" s="401"/>
      <c r="O512" s="401"/>
      <c r="P512" s="401"/>
      <c r="Q512" s="401"/>
      <c r="R512" s="401"/>
      <c r="S512" s="401"/>
      <c r="T512" s="401"/>
      <c r="U512" s="401"/>
      <c r="V512" s="401"/>
      <c r="W512" s="401"/>
      <c r="X512" s="401"/>
      <c r="Y512" s="401"/>
      <c r="Z512" s="401"/>
      <c r="AA512" s="401"/>
      <c r="AB512" s="401"/>
    </row>
    <row r="513" ht="18.0" customHeight="1">
      <c r="A513" s="401"/>
      <c r="B513" s="401"/>
      <c r="C513" s="401"/>
      <c r="D513" s="401"/>
      <c r="E513" s="401"/>
      <c r="F513" s="550"/>
      <c r="G513" s="550"/>
      <c r="H513" s="401"/>
      <c r="I513" s="401"/>
      <c r="J513" s="401"/>
      <c r="K513" s="401"/>
      <c r="L513" s="401"/>
      <c r="M513" s="401"/>
      <c r="N513" s="401"/>
      <c r="O513" s="401"/>
      <c r="P513" s="401"/>
      <c r="Q513" s="401"/>
      <c r="R513" s="401"/>
      <c r="S513" s="401"/>
      <c r="T513" s="401"/>
      <c r="U513" s="401"/>
      <c r="V513" s="401"/>
      <c r="W513" s="401"/>
      <c r="X513" s="401"/>
      <c r="Y513" s="401"/>
      <c r="Z513" s="401"/>
      <c r="AA513" s="401"/>
      <c r="AB513" s="401"/>
    </row>
    <row r="514" ht="18.0" customHeight="1">
      <c r="A514" s="401"/>
      <c r="B514" s="401"/>
      <c r="C514" s="401"/>
      <c r="D514" s="401"/>
      <c r="E514" s="401"/>
      <c r="F514" s="550"/>
      <c r="G514" s="550"/>
      <c r="H514" s="401"/>
      <c r="I514" s="401"/>
      <c r="J514" s="401"/>
      <c r="K514" s="401"/>
      <c r="L514" s="401"/>
      <c r="M514" s="401"/>
      <c r="N514" s="401"/>
      <c r="O514" s="401"/>
      <c r="P514" s="401"/>
      <c r="Q514" s="401"/>
      <c r="R514" s="401"/>
      <c r="S514" s="401"/>
      <c r="T514" s="401"/>
      <c r="U514" s="401"/>
      <c r="V514" s="401"/>
      <c r="W514" s="401"/>
      <c r="X514" s="401"/>
      <c r="Y514" s="401"/>
      <c r="Z514" s="401"/>
      <c r="AA514" s="401"/>
      <c r="AB514" s="401"/>
    </row>
    <row r="515" ht="18.0" customHeight="1">
      <c r="A515" s="401"/>
      <c r="B515" s="401"/>
      <c r="C515" s="401"/>
      <c r="D515" s="401"/>
      <c r="E515" s="401"/>
      <c r="F515" s="550"/>
      <c r="G515" s="550"/>
      <c r="H515" s="401"/>
      <c r="I515" s="401"/>
      <c r="J515" s="401"/>
      <c r="K515" s="401"/>
      <c r="L515" s="401"/>
      <c r="M515" s="401"/>
      <c r="N515" s="401"/>
      <c r="O515" s="401"/>
      <c r="P515" s="401"/>
      <c r="Q515" s="401"/>
      <c r="R515" s="401"/>
      <c r="S515" s="401"/>
      <c r="T515" s="401"/>
      <c r="U515" s="401"/>
      <c r="V515" s="401"/>
      <c r="W515" s="401"/>
      <c r="X515" s="401"/>
      <c r="Y515" s="401"/>
      <c r="Z515" s="401"/>
      <c r="AA515" s="401"/>
      <c r="AB515" s="401"/>
    </row>
    <row r="516" ht="18.0" customHeight="1">
      <c r="A516" s="401"/>
      <c r="B516" s="401"/>
      <c r="C516" s="401"/>
      <c r="D516" s="401"/>
      <c r="E516" s="401"/>
      <c r="F516" s="550"/>
      <c r="G516" s="550"/>
      <c r="H516" s="401"/>
      <c r="I516" s="401"/>
      <c r="J516" s="401"/>
      <c r="K516" s="401"/>
      <c r="L516" s="401"/>
      <c r="M516" s="401"/>
      <c r="N516" s="401"/>
      <c r="O516" s="401"/>
      <c r="P516" s="401"/>
      <c r="Q516" s="401"/>
      <c r="R516" s="401"/>
      <c r="S516" s="401"/>
      <c r="T516" s="401"/>
      <c r="U516" s="401"/>
      <c r="V516" s="401"/>
      <c r="W516" s="401"/>
      <c r="X516" s="401"/>
      <c r="Y516" s="401"/>
      <c r="Z516" s="401"/>
      <c r="AA516" s="401"/>
      <c r="AB516" s="401"/>
    </row>
    <row r="517" ht="18.0" customHeight="1">
      <c r="A517" s="401"/>
      <c r="B517" s="401"/>
      <c r="C517" s="401"/>
      <c r="D517" s="401"/>
      <c r="E517" s="401"/>
      <c r="F517" s="550"/>
      <c r="G517" s="550"/>
      <c r="H517" s="401"/>
      <c r="I517" s="401"/>
      <c r="J517" s="401"/>
      <c r="K517" s="401"/>
      <c r="L517" s="401"/>
      <c r="M517" s="401"/>
      <c r="N517" s="401"/>
      <c r="O517" s="401"/>
      <c r="P517" s="401"/>
      <c r="Q517" s="401"/>
      <c r="R517" s="401"/>
      <c r="S517" s="401"/>
      <c r="T517" s="401"/>
      <c r="U517" s="401"/>
      <c r="V517" s="401"/>
      <c r="W517" s="401"/>
      <c r="X517" s="401"/>
      <c r="Y517" s="401"/>
      <c r="Z517" s="401"/>
      <c r="AA517" s="401"/>
      <c r="AB517" s="401"/>
    </row>
    <row r="518" ht="18.0" customHeight="1">
      <c r="A518" s="401"/>
      <c r="B518" s="401"/>
      <c r="C518" s="401"/>
      <c r="D518" s="401"/>
      <c r="E518" s="401"/>
      <c r="F518" s="550"/>
      <c r="G518" s="550"/>
      <c r="H518" s="401"/>
      <c r="I518" s="401"/>
      <c r="J518" s="401"/>
      <c r="K518" s="401"/>
      <c r="L518" s="401"/>
      <c r="M518" s="401"/>
      <c r="N518" s="401"/>
      <c r="O518" s="401"/>
      <c r="P518" s="401"/>
      <c r="Q518" s="401"/>
      <c r="R518" s="401"/>
      <c r="S518" s="401"/>
      <c r="T518" s="401"/>
      <c r="U518" s="401"/>
      <c r="V518" s="401"/>
      <c r="W518" s="401"/>
      <c r="X518" s="401"/>
      <c r="Y518" s="401"/>
      <c r="Z518" s="401"/>
      <c r="AA518" s="401"/>
      <c r="AB518" s="401"/>
    </row>
    <row r="519" ht="18.0" customHeight="1">
      <c r="A519" s="401"/>
      <c r="B519" s="401"/>
      <c r="C519" s="401"/>
      <c r="D519" s="401"/>
      <c r="E519" s="401"/>
      <c r="F519" s="550"/>
      <c r="G519" s="550"/>
      <c r="H519" s="401"/>
      <c r="I519" s="401"/>
      <c r="J519" s="401"/>
      <c r="K519" s="401"/>
      <c r="L519" s="401"/>
      <c r="M519" s="401"/>
      <c r="N519" s="401"/>
      <c r="O519" s="401"/>
      <c r="P519" s="401"/>
      <c r="Q519" s="401"/>
      <c r="R519" s="401"/>
      <c r="S519" s="401"/>
      <c r="T519" s="401"/>
      <c r="U519" s="401"/>
      <c r="V519" s="401"/>
      <c r="W519" s="401"/>
      <c r="X519" s="401"/>
      <c r="Y519" s="401"/>
      <c r="Z519" s="401"/>
      <c r="AA519" s="401"/>
      <c r="AB519" s="401"/>
    </row>
    <row r="520" ht="18.0" customHeight="1">
      <c r="A520" s="401"/>
      <c r="B520" s="401"/>
      <c r="C520" s="401"/>
      <c r="D520" s="401"/>
      <c r="E520" s="401"/>
      <c r="F520" s="550"/>
      <c r="G520" s="550"/>
      <c r="H520" s="401"/>
      <c r="I520" s="401"/>
      <c r="J520" s="401"/>
      <c r="K520" s="401"/>
      <c r="L520" s="401"/>
      <c r="M520" s="401"/>
      <c r="N520" s="401"/>
      <c r="O520" s="401"/>
      <c r="P520" s="401"/>
      <c r="Q520" s="401"/>
      <c r="R520" s="401"/>
      <c r="S520" s="401"/>
      <c r="T520" s="401"/>
      <c r="U520" s="401"/>
      <c r="V520" s="401"/>
      <c r="W520" s="401"/>
      <c r="X520" s="401"/>
      <c r="Y520" s="401"/>
      <c r="Z520" s="401"/>
      <c r="AA520" s="401"/>
      <c r="AB520" s="401"/>
    </row>
    <row r="521" ht="18.0" customHeight="1">
      <c r="A521" s="401"/>
      <c r="B521" s="401"/>
      <c r="C521" s="401"/>
      <c r="D521" s="401"/>
      <c r="E521" s="401"/>
      <c r="F521" s="550"/>
      <c r="G521" s="550"/>
      <c r="H521" s="401"/>
      <c r="I521" s="401"/>
      <c r="J521" s="401"/>
      <c r="K521" s="401"/>
      <c r="L521" s="401"/>
      <c r="M521" s="401"/>
      <c r="N521" s="401"/>
      <c r="O521" s="401"/>
      <c r="P521" s="401"/>
      <c r="Q521" s="401"/>
      <c r="R521" s="401"/>
      <c r="S521" s="401"/>
      <c r="T521" s="401"/>
      <c r="U521" s="401"/>
      <c r="V521" s="401"/>
      <c r="W521" s="401"/>
      <c r="X521" s="401"/>
      <c r="Y521" s="401"/>
      <c r="Z521" s="401"/>
      <c r="AA521" s="401"/>
      <c r="AB521" s="401"/>
    </row>
    <row r="522" ht="18.0" customHeight="1">
      <c r="A522" s="401"/>
      <c r="B522" s="401"/>
      <c r="C522" s="401"/>
      <c r="D522" s="401"/>
      <c r="E522" s="401"/>
      <c r="F522" s="550"/>
      <c r="G522" s="550"/>
      <c r="H522" s="401"/>
      <c r="I522" s="401"/>
      <c r="J522" s="401"/>
      <c r="K522" s="401"/>
      <c r="L522" s="401"/>
      <c r="M522" s="401"/>
      <c r="N522" s="401"/>
      <c r="O522" s="401"/>
      <c r="P522" s="401"/>
      <c r="Q522" s="401"/>
      <c r="R522" s="401"/>
      <c r="S522" s="401"/>
      <c r="T522" s="401"/>
      <c r="U522" s="401"/>
      <c r="V522" s="401"/>
      <c r="W522" s="401"/>
      <c r="X522" s="401"/>
      <c r="Y522" s="401"/>
      <c r="Z522" s="401"/>
      <c r="AA522" s="401"/>
      <c r="AB522" s="401"/>
    </row>
    <row r="523" ht="18.0" customHeight="1">
      <c r="A523" s="401"/>
      <c r="B523" s="401"/>
      <c r="C523" s="401"/>
      <c r="D523" s="401"/>
      <c r="E523" s="401"/>
      <c r="F523" s="550"/>
      <c r="G523" s="550"/>
      <c r="H523" s="401"/>
      <c r="I523" s="401"/>
      <c r="J523" s="401"/>
      <c r="K523" s="401"/>
      <c r="L523" s="401"/>
      <c r="M523" s="401"/>
      <c r="N523" s="401"/>
      <c r="O523" s="401"/>
      <c r="P523" s="401"/>
      <c r="Q523" s="401"/>
      <c r="R523" s="401"/>
      <c r="S523" s="401"/>
      <c r="T523" s="401"/>
      <c r="U523" s="401"/>
      <c r="V523" s="401"/>
      <c r="W523" s="401"/>
      <c r="X523" s="401"/>
      <c r="Y523" s="401"/>
      <c r="Z523" s="401"/>
      <c r="AA523" s="401"/>
      <c r="AB523" s="401"/>
    </row>
    <row r="524" ht="18.0" customHeight="1">
      <c r="A524" s="401"/>
      <c r="B524" s="401"/>
      <c r="C524" s="401"/>
      <c r="D524" s="401"/>
      <c r="E524" s="401"/>
      <c r="F524" s="550"/>
      <c r="G524" s="550"/>
      <c r="H524" s="401"/>
      <c r="I524" s="401"/>
      <c r="J524" s="401"/>
      <c r="K524" s="401"/>
      <c r="L524" s="401"/>
      <c r="M524" s="401"/>
      <c r="N524" s="401"/>
      <c r="O524" s="401"/>
      <c r="P524" s="401"/>
      <c r="Q524" s="401"/>
      <c r="R524" s="401"/>
      <c r="S524" s="401"/>
      <c r="T524" s="401"/>
      <c r="U524" s="401"/>
      <c r="V524" s="401"/>
      <c r="W524" s="401"/>
      <c r="X524" s="401"/>
      <c r="Y524" s="401"/>
      <c r="Z524" s="401"/>
      <c r="AA524" s="401"/>
      <c r="AB524" s="401"/>
    </row>
    <row r="525" ht="18.0" customHeight="1">
      <c r="A525" s="401"/>
      <c r="B525" s="401"/>
      <c r="C525" s="401"/>
      <c r="D525" s="401"/>
      <c r="E525" s="401"/>
      <c r="F525" s="550"/>
      <c r="G525" s="550"/>
      <c r="H525" s="401"/>
      <c r="I525" s="401"/>
      <c r="J525" s="401"/>
      <c r="K525" s="401"/>
      <c r="L525" s="401"/>
      <c r="M525" s="401"/>
      <c r="N525" s="401"/>
      <c r="O525" s="401"/>
      <c r="P525" s="401"/>
      <c r="Q525" s="401"/>
      <c r="R525" s="401"/>
      <c r="S525" s="401"/>
      <c r="T525" s="401"/>
      <c r="U525" s="401"/>
      <c r="V525" s="401"/>
      <c r="W525" s="401"/>
      <c r="X525" s="401"/>
      <c r="Y525" s="401"/>
      <c r="Z525" s="401"/>
      <c r="AA525" s="401"/>
      <c r="AB525" s="401"/>
    </row>
    <row r="526" ht="18.0" customHeight="1">
      <c r="A526" s="401"/>
      <c r="B526" s="401"/>
      <c r="C526" s="401"/>
      <c r="D526" s="401"/>
      <c r="E526" s="401"/>
      <c r="F526" s="550"/>
      <c r="G526" s="550"/>
      <c r="H526" s="401"/>
      <c r="I526" s="401"/>
      <c r="J526" s="401"/>
      <c r="K526" s="401"/>
      <c r="L526" s="401"/>
      <c r="M526" s="401"/>
      <c r="N526" s="401"/>
      <c r="O526" s="401"/>
      <c r="P526" s="401"/>
      <c r="Q526" s="401"/>
      <c r="R526" s="401"/>
      <c r="S526" s="401"/>
      <c r="T526" s="401"/>
      <c r="U526" s="401"/>
      <c r="V526" s="401"/>
      <c r="W526" s="401"/>
      <c r="X526" s="401"/>
      <c r="Y526" s="401"/>
      <c r="Z526" s="401"/>
      <c r="AA526" s="401"/>
      <c r="AB526" s="401"/>
    </row>
    <row r="527" ht="18.0" customHeight="1">
      <c r="A527" s="401"/>
      <c r="B527" s="401"/>
      <c r="C527" s="401"/>
      <c r="D527" s="401"/>
      <c r="E527" s="401"/>
      <c r="F527" s="550"/>
      <c r="G527" s="550"/>
      <c r="H527" s="401"/>
      <c r="I527" s="401"/>
      <c r="J527" s="401"/>
      <c r="K527" s="401"/>
      <c r="L527" s="401"/>
      <c r="M527" s="401"/>
      <c r="N527" s="401"/>
      <c r="O527" s="401"/>
      <c r="P527" s="401"/>
      <c r="Q527" s="401"/>
      <c r="R527" s="401"/>
      <c r="S527" s="401"/>
      <c r="T527" s="401"/>
      <c r="U527" s="401"/>
      <c r="V527" s="401"/>
      <c r="W527" s="401"/>
      <c r="X527" s="401"/>
      <c r="Y527" s="401"/>
      <c r="Z527" s="401"/>
      <c r="AA527" s="401"/>
      <c r="AB527" s="401"/>
    </row>
    <row r="528" ht="18.0" customHeight="1">
      <c r="A528" s="401"/>
      <c r="B528" s="401"/>
      <c r="C528" s="401"/>
      <c r="D528" s="401"/>
      <c r="E528" s="401"/>
      <c r="F528" s="550"/>
      <c r="G528" s="550"/>
      <c r="H528" s="401"/>
      <c r="I528" s="401"/>
      <c r="J528" s="401"/>
      <c r="K528" s="401"/>
      <c r="L528" s="401"/>
      <c r="M528" s="401"/>
      <c r="N528" s="401"/>
      <c r="O528" s="401"/>
      <c r="P528" s="401"/>
      <c r="Q528" s="401"/>
      <c r="R528" s="401"/>
      <c r="S528" s="401"/>
      <c r="T528" s="401"/>
      <c r="U528" s="401"/>
      <c r="V528" s="401"/>
      <c r="W528" s="401"/>
      <c r="X528" s="401"/>
      <c r="Y528" s="401"/>
      <c r="Z528" s="401"/>
      <c r="AA528" s="401"/>
      <c r="AB528" s="401"/>
    </row>
    <row r="529" ht="18.0" customHeight="1">
      <c r="A529" s="401"/>
      <c r="B529" s="401"/>
      <c r="C529" s="401"/>
      <c r="D529" s="401"/>
      <c r="E529" s="401"/>
      <c r="F529" s="550"/>
      <c r="G529" s="550"/>
      <c r="H529" s="401"/>
      <c r="I529" s="401"/>
      <c r="J529" s="401"/>
      <c r="K529" s="401"/>
      <c r="L529" s="401"/>
      <c r="M529" s="401"/>
      <c r="N529" s="401"/>
      <c r="O529" s="401"/>
      <c r="P529" s="401"/>
      <c r="Q529" s="401"/>
      <c r="R529" s="401"/>
      <c r="S529" s="401"/>
      <c r="T529" s="401"/>
      <c r="U529" s="401"/>
      <c r="V529" s="401"/>
      <c r="W529" s="401"/>
      <c r="X529" s="401"/>
      <c r="Y529" s="401"/>
      <c r="Z529" s="401"/>
      <c r="AA529" s="401"/>
      <c r="AB529" s="401"/>
    </row>
    <row r="530" ht="18.0" customHeight="1">
      <c r="A530" s="401"/>
      <c r="B530" s="401"/>
      <c r="C530" s="401"/>
      <c r="D530" s="401"/>
      <c r="E530" s="401"/>
      <c r="F530" s="550"/>
      <c r="G530" s="550"/>
      <c r="H530" s="401"/>
      <c r="I530" s="401"/>
      <c r="J530" s="401"/>
      <c r="K530" s="401"/>
      <c r="L530" s="401"/>
      <c r="M530" s="401"/>
      <c r="N530" s="401"/>
      <c r="O530" s="401"/>
      <c r="P530" s="401"/>
      <c r="Q530" s="401"/>
      <c r="R530" s="401"/>
      <c r="S530" s="401"/>
      <c r="T530" s="401"/>
      <c r="U530" s="401"/>
      <c r="V530" s="401"/>
      <c r="W530" s="401"/>
      <c r="X530" s="401"/>
      <c r="Y530" s="401"/>
      <c r="Z530" s="401"/>
      <c r="AA530" s="401"/>
      <c r="AB530" s="401"/>
    </row>
    <row r="531" ht="18.0" customHeight="1">
      <c r="A531" s="401"/>
      <c r="B531" s="401"/>
      <c r="C531" s="401"/>
      <c r="D531" s="401"/>
      <c r="E531" s="401"/>
      <c r="F531" s="550"/>
      <c r="G531" s="550"/>
      <c r="H531" s="401"/>
      <c r="I531" s="401"/>
      <c r="J531" s="401"/>
      <c r="K531" s="401"/>
      <c r="L531" s="401"/>
      <c r="M531" s="401"/>
      <c r="N531" s="401"/>
      <c r="O531" s="401"/>
      <c r="P531" s="401"/>
      <c r="Q531" s="401"/>
      <c r="R531" s="401"/>
      <c r="S531" s="401"/>
      <c r="T531" s="401"/>
      <c r="U531" s="401"/>
      <c r="V531" s="401"/>
      <c r="W531" s="401"/>
      <c r="X531" s="401"/>
      <c r="Y531" s="401"/>
      <c r="Z531" s="401"/>
      <c r="AA531" s="401"/>
      <c r="AB531" s="401"/>
    </row>
    <row r="532" ht="18.0" customHeight="1">
      <c r="A532" s="401"/>
      <c r="B532" s="401"/>
      <c r="C532" s="401"/>
      <c r="D532" s="401"/>
      <c r="E532" s="401"/>
      <c r="F532" s="550"/>
      <c r="G532" s="550"/>
      <c r="H532" s="401"/>
      <c r="I532" s="401"/>
      <c r="J532" s="401"/>
      <c r="K532" s="401"/>
      <c r="L532" s="401"/>
      <c r="M532" s="401"/>
      <c r="N532" s="401"/>
      <c r="O532" s="401"/>
      <c r="P532" s="401"/>
      <c r="Q532" s="401"/>
      <c r="R532" s="401"/>
      <c r="S532" s="401"/>
      <c r="T532" s="401"/>
      <c r="U532" s="401"/>
      <c r="V532" s="401"/>
      <c r="W532" s="401"/>
      <c r="X532" s="401"/>
      <c r="Y532" s="401"/>
      <c r="Z532" s="401"/>
      <c r="AA532" s="401"/>
      <c r="AB532" s="401"/>
    </row>
    <row r="533" ht="18.0" customHeight="1">
      <c r="A533" s="401"/>
      <c r="B533" s="401"/>
      <c r="C533" s="401"/>
      <c r="D533" s="401"/>
      <c r="E533" s="401"/>
      <c r="F533" s="550"/>
      <c r="G533" s="550"/>
      <c r="H533" s="401"/>
      <c r="I533" s="401"/>
      <c r="J533" s="401"/>
      <c r="K533" s="401"/>
      <c r="L533" s="401"/>
      <c r="M533" s="401"/>
      <c r="N533" s="401"/>
      <c r="O533" s="401"/>
      <c r="P533" s="401"/>
      <c r="Q533" s="401"/>
      <c r="R533" s="401"/>
      <c r="S533" s="401"/>
      <c r="T533" s="401"/>
      <c r="U533" s="401"/>
      <c r="V533" s="401"/>
      <c r="W533" s="401"/>
      <c r="X533" s="401"/>
      <c r="Y533" s="401"/>
      <c r="Z533" s="401"/>
      <c r="AA533" s="401"/>
      <c r="AB533" s="401"/>
    </row>
    <row r="534" ht="18.0" customHeight="1">
      <c r="A534" s="401"/>
      <c r="B534" s="401"/>
      <c r="C534" s="401"/>
      <c r="D534" s="401"/>
      <c r="E534" s="401"/>
      <c r="F534" s="550"/>
      <c r="G534" s="550"/>
      <c r="H534" s="401"/>
      <c r="I534" s="401"/>
      <c r="J534" s="401"/>
      <c r="K534" s="401"/>
      <c r="L534" s="401"/>
      <c r="M534" s="401"/>
      <c r="N534" s="401"/>
      <c r="O534" s="401"/>
      <c r="P534" s="401"/>
      <c r="Q534" s="401"/>
      <c r="R534" s="401"/>
      <c r="S534" s="401"/>
      <c r="T534" s="401"/>
      <c r="U534" s="401"/>
      <c r="V534" s="401"/>
      <c r="W534" s="401"/>
      <c r="X534" s="401"/>
      <c r="Y534" s="401"/>
      <c r="Z534" s="401"/>
      <c r="AA534" s="401"/>
      <c r="AB534" s="401"/>
    </row>
    <row r="535" ht="18.0" customHeight="1">
      <c r="A535" s="401"/>
      <c r="B535" s="401"/>
      <c r="C535" s="401"/>
      <c r="D535" s="401"/>
      <c r="E535" s="401"/>
      <c r="F535" s="550"/>
      <c r="G535" s="550"/>
      <c r="H535" s="401"/>
      <c r="I535" s="401"/>
      <c r="J535" s="401"/>
      <c r="K535" s="401"/>
      <c r="L535" s="401"/>
      <c r="M535" s="401"/>
      <c r="N535" s="401"/>
      <c r="O535" s="401"/>
      <c r="P535" s="401"/>
      <c r="Q535" s="401"/>
      <c r="R535" s="401"/>
      <c r="S535" s="401"/>
      <c r="T535" s="401"/>
      <c r="U535" s="401"/>
      <c r="V535" s="401"/>
      <c r="W535" s="401"/>
      <c r="X535" s="401"/>
      <c r="Y535" s="401"/>
      <c r="Z535" s="401"/>
      <c r="AA535" s="401"/>
      <c r="AB535" s="401"/>
    </row>
    <row r="536" ht="18.0" customHeight="1">
      <c r="A536" s="401"/>
      <c r="B536" s="401"/>
      <c r="C536" s="401"/>
      <c r="D536" s="401"/>
      <c r="E536" s="401"/>
      <c r="F536" s="550"/>
      <c r="G536" s="550"/>
      <c r="H536" s="401"/>
      <c r="I536" s="401"/>
      <c r="J536" s="401"/>
      <c r="K536" s="401"/>
      <c r="L536" s="401"/>
      <c r="M536" s="401"/>
      <c r="N536" s="401"/>
      <c r="O536" s="401"/>
      <c r="P536" s="401"/>
      <c r="Q536" s="401"/>
      <c r="R536" s="401"/>
      <c r="S536" s="401"/>
      <c r="T536" s="401"/>
      <c r="U536" s="401"/>
      <c r="V536" s="401"/>
      <c r="W536" s="401"/>
      <c r="X536" s="401"/>
      <c r="Y536" s="401"/>
      <c r="Z536" s="401"/>
      <c r="AA536" s="401"/>
      <c r="AB536" s="401"/>
    </row>
    <row r="537" ht="18.0" customHeight="1">
      <c r="A537" s="401"/>
      <c r="B537" s="401"/>
      <c r="C537" s="401"/>
      <c r="D537" s="401"/>
      <c r="E537" s="401"/>
      <c r="F537" s="550"/>
      <c r="G537" s="550"/>
      <c r="H537" s="401"/>
      <c r="I537" s="401"/>
      <c r="J537" s="401"/>
      <c r="K537" s="401"/>
      <c r="L537" s="401"/>
      <c r="M537" s="401"/>
      <c r="N537" s="401"/>
      <c r="O537" s="401"/>
      <c r="P537" s="401"/>
      <c r="Q537" s="401"/>
      <c r="R537" s="401"/>
      <c r="S537" s="401"/>
      <c r="T537" s="401"/>
      <c r="U537" s="401"/>
      <c r="V537" s="401"/>
      <c r="W537" s="401"/>
      <c r="X537" s="401"/>
      <c r="Y537" s="401"/>
      <c r="Z537" s="401"/>
      <c r="AA537" s="401"/>
      <c r="AB537" s="401"/>
    </row>
    <row r="538" ht="18.0" customHeight="1">
      <c r="A538" s="401"/>
      <c r="B538" s="401"/>
      <c r="C538" s="401"/>
      <c r="D538" s="401"/>
      <c r="E538" s="401"/>
      <c r="F538" s="550"/>
      <c r="G538" s="550"/>
      <c r="H538" s="401"/>
      <c r="I538" s="401"/>
      <c r="J538" s="401"/>
      <c r="K538" s="401"/>
      <c r="L538" s="401"/>
      <c r="M538" s="401"/>
      <c r="N538" s="401"/>
      <c r="O538" s="401"/>
      <c r="P538" s="401"/>
      <c r="Q538" s="401"/>
      <c r="R538" s="401"/>
      <c r="S538" s="401"/>
      <c r="T538" s="401"/>
      <c r="U538" s="401"/>
      <c r="V538" s="401"/>
      <c r="W538" s="401"/>
      <c r="X538" s="401"/>
      <c r="Y538" s="401"/>
      <c r="Z538" s="401"/>
      <c r="AA538" s="401"/>
      <c r="AB538" s="401"/>
    </row>
    <row r="539" ht="18.0" customHeight="1">
      <c r="A539" s="401"/>
      <c r="B539" s="401"/>
      <c r="C539" s="401"/>
      <c r="D539" s="401"/>
      <c r="E539" s="401"/>
      <c r="F539" s="550"/>
      <c r="G539" s="550"/>
      <c r="H539" s="401"/>
      <c r="I539" s="401"/>
      <c r="J539" s="401"/>
      <c r="K539" s="401"/>
      <c r="L539" s="401"/>
      <c r="M539" s="401"/>
      <c r="N539" s="401"/>
      <c r="O539" s="401"/>
      <c r="P539" s="401"/>
      <c r="Q539" s="401"/>
      <c r="R539" s="401"/>
      <c r="S539" s="401"/>
      <c r="T539" s="401"/>
      <c r="U539" s="401"/>
      <c r="V539" s="401"/>
      <c r="W539" s="401"/>
      <c r="X539" s="401"/>
      <c r="Y539" s="401"/>
      <c r="Z539" s="401"/>
      <c r="AA539" s="401"/>
      <c r="AB539" s="401"/>
    </row>
    <row r="540" ht="18.0" customHeight="1">
      <c r="A540" s="401"/>
      <c r="B540" s="401"/>
      <c r="C540" s="401"/>
      <c r="D540" s="401"/>
      <c r="E540" s="401"/>
      <c r="F540" s="550"/>
      <c r="G540" s="550"/>
      <c r="H540" s="401"/>
      <c r="I540" s="401"/>
      <c r="J540" s="401"/>
      <c r="K540" s="401"/>
      <c r="L540" s="401"/>
      <c r="M540" s="401"/>
      <c r="N540" s="401"/>
      <c r="O540" s="401"/>
      <c r="P540" s="401"/>
      <c r="Q540" s="401"/>
      <c r="R540" s="401"/>
      <c r="S540" s="401"/>
      <c r="T540" s="401"/>
      <c r="U540" s="401"/>
      <c r="V540" s="401"/>
      <c r="W540" s="401"/>
      <c r="X540" s="401"/>
      <c r="Y540" s="401"/>
      <c r="Z540" s="401"/>
      <c r="AA540" s="401"/>
      <c r="AB540" s="401"/>
    </row>
    <row r="541" ht="18.0" customHeight="1">
      <c r="A541" s="401"/>
      <c r="B541" s="401"/>
      <c r="C541" s="401"/>
      <c r="D541" s="401"/>
      <c r="E541" s="401"/>
      <c r="F541" s="550"/>
      <c r="G541" s="550"/>
      <c r="H541" s="401"/>
      <c r="I541" s="401"/>
      <c r="J541" s="401"/>
      <c r="K541" s="401"/>
      <c r="L541" s="401"/>
      <c r="M541" s="401"/>
      <c r="N541" s="401"/>
      <c r="O541" s="401"/>
      <c r="P541" s="401"/>
      <c r="Q541" s="401"/>
      <c r="R541" s="401"/>
      <c r="S541" s="401"/>
      <c r="T541" s="401"/>
      <c r="U541" s="401"/>
      <c r="V541" s="401"/>
      <c r="W541" s="401"/>
      <c r="X541" s="401"/>
      <c r="Y541" s="401"/>
      <c r="Z541" s="401"/>
      <c r="AA541" s="401"/>
      <c r="AB541" s="401"/>
    </row>
    <row r="542" ht="18.0" customHeight="1">
      <c r="A542" s="401"/>
      <c r="B542" s="401"/>
      <c r="C542" s="401"/>
      <c r="D542" s="401"/>
      <c r="E542" s="401"/>
      <c r="F542" s="550"/>
      <c r="G542" s="550"/>
      <c r="H542" s="401"/>
      <c r="I542" s="401"/>
      <c r="J542" s="401"/>
      <c r="K542" s="401"/>
      <c r="L542" s="401"/>
      <c r="M542" s="401"/>
      <c r="N542" s="401"/>
      <c r="O542" s="401"/>
      <c r="P542" s="401"/>
      <c r="Q542" s="401"/>
      <c r="R542" s="401"/>
      <c r="S542" s="401"/>
      <c r="T542" s="401"/>
      <c r="U542" s="401"/>
      <c r="V542" s="401"/>
      <c r="W542" s="401"/>
      <c r="X542" s="401"/>
      <c r="Y542" s="401"/>
      <c r="Z542" s="401"/>
      <c r="AA542" s="401"/>
      <c r="AB542" s="401"/>
    </row>
    <row r="543" ht="18.0" customHeight="1">
      <c r="A543" s="401"/>
      <c r="B543" s="401"/>
      <c r="C543" s="401"/>
      <c r="D543" s="401"/>
      <c r="E543" s="401"/>
      <c r="F543" s="550"/>
      <c r="G543" s="550"/>
      <c r="H543" s="401"/>
      <c r="I543" s="401"/>
      <c r="J543" s="401"/>
      <c r="K543" s="401"/>
      <c r="L543" s="401"/>
      <c r="M543" s="401"/>
      <c r="N543" s="401"/>
      <c r="O543" s="401"/>
      <c r="P543" s="401"/>
      <c r="Q543" s="401"/>
      <c r="R543" s="401"/>
      <c r="S543" s="401"/>
      <c r="T543" s="401"/>
      <c r="U543" s="401"/>
      <c r="V543" s="401"/>
      <c r="W543" s="401"/>
      <c r="X543" s="401"/>
      <c r="Y543" s="401"/>
      <c r="Z543" s="401"/>
      <c r="AA543" s="401"/>
      <c r="AB543" s="401"/>
    </row>
    <row r="544" ht="18.0" customHeight="1">
      <c r="A544" s="401"/>
      <c r="B544" s="401"/>
      <c r="C544" s="401"/>
      <c r="D544" s="401"/>
      <c r="E544" s="401"/>
      <c r="F544" s="550"/>
      <c r="G544" s="550"/>
      <c r="H544" s="401"/>
      <c r="I544" s="401"/>
      <c r="J544" s="401"/>
      <c r="K544" s="401"/>
      <c r="L544" s="401"/>
      <c r="M544" s="401"/>
      <c r="N544" s="401"/>
      <c r="O544" s="401"/>
      <c r="P544" s="401"/>
      <c r="Q544" s="401"/>
      <c r="R544" s="401"/>
      <c r="S544" s="401"/>
      <c r="T544" s="401"/>
      <c r="U544" s="401"/>
      <c r="V544" s="401"/>
      <c r="W544" s="401"/>
      <c r="X544" s="401"/>
      <c r="Y544" s="401"/>
      <c r="Z544" s="401"/>
      <c r="AA544" s="401"/>
      <c r="AB544" s="401"/>
    </row>
    <row r="545" ht="18.0" customHeight="1">
      <c r="A545" s="401"/>
      <c r="B545" s="401"/>
      <c r="C545" s="401"/>
      <c r="D545" s="401"/>
      <c r="E545" s="401"/>
      <c r="F545" s="550"/>
      <c r="G545" s="550"/>
      <c r="H545" s="401"/>
      <c r="I545" s="401"/>
      <c r="J545" s="401"/>
      <c r="K545" s="401"/>
      <c r="L545" s="401"/>
      <c r="M545" s="401"/>
      <c r="N545" s="401"/>
      <c r="O545" s="401"/>
      <c r="P545" s="401"/>
      <c r="Q545" s="401"/>
      <c r="R545" s="401"/>
      <c r="S545" s="401"/>
      <c r="T545" s="401"/>
      <c r="U545" s="401"/>
      <c r="V545" s="401"/>
      <c r="W545" s="401"/>
      <c r="X545" s="401"/>
      <c r="Y545" s="401"/>
      <c r="Z545" s="401"/>
      <c r="AA545" s="401"/>
      <c r="AB545" s="401"/>
    </row>
    <row r="546" ht="18.0" customHeight="1">
      <c r="A546" s="401"/>
      <c r="B546" s="401"/>
      <c r="C546" s="401"/>
      <c r="D546" s="401"/>
      <c r="E546" s="401"/>
      <c r="F546" s="550"/>
      <c r="G546" s="550"/>
      <c r="H546" s="401"/>
      <c r="I546" s="401"/>
      <c r="J546" s="401"/>
      <c r="K546" s="401"/>
      <c r="L546" s="401"/>
      <c r="M546" s="401"/>
      <c r="N546" s="401"/>
      <c r="O546" s="401"/>
      <c r="P546" s="401"/>
      <c r="Q546" s="401"/>
      <c r="R546" s="401"/>
      <c r="S546" s="401"/>
      <c r="T546" s="401"/>
      <c r="U546" s="401"/>
      <c r="V546" s="401"/>
      <c r="W546" s="401"/>
      <c r="X546" s="401"/>
      <c r="Y546" s="401"/>
      <c r="Z546" s="401"/>
      <c r="AA546" s="401"/>
      <c r="AB546" s="401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507"/>
      <c r="B1" s="514"/>
      <c r="C1" s="510"/>
      <c r="D1" s="510"/>
      <c r="E1" s="510"/>
      <c r="F1" s="510"/>
      <c r="G1" s="510"/>
      <c r="H1" s="510"/>
      <c r="I1" s="516"/>
      <c r="J1" s="516"/>
      <c r="K1" s="519"/>
      <c r="L1" s="516"/>
      <c r="M1" s="516"/>
      <c r="N1" s="510"/>
      <c r="O1" s="507"/>
      <c r="P1" s="507"/>
      <c r="Q1" s="507"/>
      <c r="R1" s="510"/>
      <c r="S1" s="510"/>
      <c r="T1" s="510"/>
      <c r="U1" s="510"/>
      <c r="V1" s="513"/>
      <c r="W1" s="582"/>
      <c r="X1" s="507"/>
    </row>
    <row r="2" ht="18.75" customHeight="1">
      <c r="A2" s="507"/>
      <c r="B2" s="514"/>
      <c r="C2" s="510"/>
      <c r="D2" s="510"/>
      <c r="E2" s="510"/>
      <c r="F2" s="508"/>
      <c r="G2" s="510"/>
      <c r="H2" s="508"/>
      <c r="I2" s="509"/>
      <c r="J2" s="509"/>
      <c r="K2" s="511"/>
      <c r="L2" s="512"/>
      <c r="M2" s="512"/>
      <c r="N2" s="510"/>
      <c r="O2" s="507"/>
      <c r="P2" s="507"/>
      <c r="Q2" s="507"/>
      <c r="R2" s="510"/>
      <c r="S2" s="510"/>
      <c r="T2" s="510"/>
      <c r="U2" s="510"/>
      <c r="V2" s="513"/>
      <c r="W2" s="582"/>
      <c r="X2" s="507"/>
    </row>
    <row r="3" ht="18.75" customHeight="1">
      <c r="A3" s="507"/>
      <c r="B3" s="514"/>
      <c r="C3" s="517"/>
      <c r="D3" s="510"/>
      <c r="E3" s="518"/>
      <c r="F3" s="508"/>
      <c r="G3" s="510"/>
      <c r="H3" s="508"/>
      <c r="I3" s="509"/>
      <c r="J3" s="509"/>
      <c r="K3" s="519"/>
      <c r="L3" s="519"/>
      <c r="M3" s="519"/>
      <c r="N3" s="510"/>
      <c r="O3" s="507"/>
      <c r="P3" s="507"/>
      <c r="Q3" s="507"/>
      <c r="R3" s="510"/>
      <c r="S3" s="510"/>
      <c r="T3" s="510"/>
      <c r="U3" s="510"/>
      <c r="V3" s="513"/>
      <c r="W3" s="582"/>
      <c r="X3" s="507"/>
    </row>
    <row r="4" ht="18.75" customHeight="1">
      <c r="A4" s="507"/>
      <c r="B4" s="514"/>
      <c r="C4" s="510"/>
      <c r="D4" s="510"/>
      <c r="E4" s="510"/>
      <c r="F4" s="510"/>
      <c r="G4" s="510"/>
      <c r="H4" s="522"/>
      <c r="I4" s="539"/>
      <c r="J4" s="539"/>
      <c r="K4" s="520"/>
      <c r="L4" s="510"/>
      <c r="M4" s="510"/>
      <c r="N4" s="510"/>
      <c r="O4" s="507"/>
      <c r="P4" s="507"/>
      <c r="Q4" s="507"/>
      <c r="R4" s="510"/>
      <c r="S4" s="510"/>
      <c r="T4" s="510"/>
      <c r="U4" s="510"/>
      <c r="V4" s="513"/>
      <c r="W4" s="582"/>
      <c r="X4" s="507"/>
    </row>
    <row r="5" ht="18.75" customHeight="1">
      <c r="A5" s="507"/>
      <c r="B5" s="514"/>
      <c r="C5" s="510"/>
      <c r="D5" s="510"/>
      <c r="E5" s="510"/>
      <c r="F5" s="510"/>
      <c r="G5" s="510"/>
      <c r="H5" s="522"/>
      <c r="I5" s="539"/>
      <c r="J5" s="539"/>
      <c r="K5" s="520"/>
      <c r="L5" s="510"/>
      <c r="M5" s="510"/>
      <c r="N5" s="510"/>
      <c r="O5" s="507"/>
      <c r="P5" s="507"/>
      <c r="Q5" s="507"/>
      <c r="R5" s="510"/>
      <c r="S5" s="510"/>
      <c r="T5" s="510"/>
      <c r="U5" s="510"/>
      <c r="V5" s="513"/>
      <c r="W5" s="582"/>
      <c r="X5" s="507"/>
    </row>
    <row r="6" ht="18.75" customHeight="1">
      <c r="A6" s="507"/>
      <c r="B6" s="508"/>
      <c r="C6" s="510"/>
      <c r="D6" s="510"/>
      <c r="E6" s="510"/>
      <c r="F6" s="510"/>
      <c r="G6" s="510"/>
      <c r="H6" s="522"/>
      <c r="I6" s="539"/>
      <c r="J6" s="539"/>
      <c r="K6" s="520"/>
      <c r="L6" s="510"/>
      <c r="M6" s="510"/>
      <c r="N6" s="510"/>
      <c r="O6" s="507"/>
      <c r="P6" s="507"/>
      <c r="Q6" s="507"/>
      <c r="R6" s="510"/>
      <c r="S6" s="510"/>
      <c r="T6" s="510"/>
      <c r="U6" s="510"/>
      <c r="V6" s="513"/>
      <c r="W6" s="582"/>
      <c r="X6" s="507"/>
    </row>
    <row r="7" ht="18.75" customHeight="1">
      <c r="A7" s="507"/>
      <c r="B7" s="508" t="s">
        <v>266</v>
      </c>
      <c r="C7" s="510" t="s">
        <v>267</v>
      </c>
      <c r="D7" s="510" t="s">
        <v>268</v>
      </c>
      <c r="E7" s="510"/>
      <c r="F7" s="510"/>
      <c r="G7" s="510"/>
      <c r="H7" s="522"/>
      <c r="I7" s="521"/>
      <c r="J7" s="521"/>
      <c r="K7" s="522"/>
      <c r="L7" s="510"/>
      <c r="M7" s="510"/>
      <c r="N7" s="510"/>
      <c r="O7" s="507"/>
      <c r="P7" s="507"/>
      <c r="Q7" s="507"/>
      <c r="R7" s="510"/>
      <c r="S7" s="510"/>
      <c r="T7" s="510"/>
      <c r="U7" s="510"/>
      <c r="V7" s="508"/>
      <c r="W7" s="582"/>
      <c r="X7" s="510"/>
    </row>
    <row r="8" ht="18.75" customHeight="1">
      <c r="A8" s="507"/>
      <c r="B8" s="508">
        <v>1.0</v>
      </c>
      <c r="C8" s="522"/>
      <c r="D8" s="583"/>
      <c r="E8" s="510"/>
      <c r="F8" s="510"/>
      <c r="G8" s="510"/>
      <c r="H8" s="522"/>
      <c r="I8" s="525"/>
      <c r="J8" s="525"/>
      <c r="K8" s="520"/>
      <c r="L8" s="510"/>
      <c r="M8" s="510"/>
      <c r="N8" s="510"/>
      <c r="O8" s="507"/>
      <c r="P8" s="507"/>
      <c r="Q8" s="553"/>
      <c r="R8" s="562"/>
      <c r="S8" s="562"/>
      <c r="T8" s="510"/>
      <c r="U8" s="510"/>
      <c r="V8" s="508"/>
      <c r="W8" s="584"/>
      <c r="X8" s="515"/>
    </row>
    <row r="9" ht="18.75" customHeight="1">
      <c r="A9" s="507"/>
      <c r="B9" s="508">
        <v>2.0</v>
      </c>
      <c r="C9" s="508"/>
      <c r="D9" s="572"/>
      <c r="E9" s="508"/>
      <c r="F9" s="515"/>
      <c r="G9" s="515"/>
      <c r="H9" s="508"/>
      <c r="I9" s="521"/>
      <c r="J9" s="521"/>
      <c r="K9" s="510"/>
      <c r="L9" s="510"/>
      <c r="M9" s="510"/>
      <c r="N9" s="510"/>
      <c r="O9" s="507"/>
      <c r="P9" s="507"/>
      <c r="Q9" s="553"/>
      <c r="R9" s="562"/>
      <c r="S9" s="562"/>
      <c r="T9" s="510"/>
      <c r="U9" s="510"/>
      <c r="V9" s="508"/>
      <c r="W9" s="585"/>
      <c r="X9" s="507"/>
    </row>
    <row r="10" ht="18.75" customHeight="1">
      <c r="A10" s="507"/>
      <c r="B10" s="508">
        <v>3.0</v>
      </c>
      <c r="C10" s="522"/>
      <c r="D10" s="539"/>
      <c r="E10" s="508"/>
      <c r="F10" s="515"/>
      <c r="G10" s="515"/>
      <c r="H10" s="508"/>
      <c r="I10" s="521"/>
      <c r="J10" s="521"/>
      <c r="K10" s="510"/>
      <c r="L10" s="510"/>
      <c r="M10" s="510"/>
      <c r="N10" s="510"/>
      <c r="O10" s="507"/>
      <c r="P10" s="507"/>
      <c r="Q10" s="553"/>
      <c r="R10" s="562"/>
      <c r="S10" s="562"/>
      <c r="T10" s="510"/>
      <c r="U10" s="510"/>
      <c r="V10" s="508"/>
      <c r="W10" s="584"/>
      <c r="X10" s="507"/>
    </row>
    <row r="11" ht="18.75" customHeight="1">
      <c r="A11" s="507"/>
      <c r="B11" s="508">
        <v>4.0</v>
      </c>
      <c r="C11" s="522"/>
      <c r="D11" s="583"/>
      <c r="E11" s="508"/>
      <c r="F11" s="515"/>
      <c r="G11" s="515"/>
      <c r="H11" s="508"/>
      <c r="I11" s="521"/>
      <c r="J11" s="521"/>
      <c r="K11" s="510"/>
      <c r="L11" s="510"/>
      <c r="M11" s="510"/>
      <c r="N11" s="510"/>
      <c r="O11" s="507"/>
      <c r="P11" s="507"/>
      <c r="Q11" s="553"/>
      <c r="R11" s="562"/>
      <c r="S11" s="562"/>
      <c r="T11" s="510"/>
      <c r="U11" s="510"/>
      <c r="V11" s="508"/>
      <c r="W11" s="584"/>
      <c r="X11" s="515"/>
    </row>
    <row r="12" ht="18.75" customHeight="1">
      <c r="A12" s="507"/>
      <c r="B12" s="508">
        <v>5.0</v>
      </c>
      <c r="C12" s="540"/>
      <c r="D12" s="586"/>
      <c r="E12" s="508"/>
      <c r="F12" s="515"/>
      <c r="G12" s="515"/>
      <c r="H12" s="508"/>
      <c r="I12" s="521"/>
      <c r="J12" s="521"/>
      <c r="K12" s="510"/>
      <c r="L12" s="510"/>
      <c r="M12" s="510"/>
      <c r="N12" s="510"/>
      <c r="O12" s="507"/>
      <c r="P12" s="507"/>
      <c r="Q12" s="553"/>
      <c r="R12" s="562"/>
      <c r="S12" s="562"/>
      <c r="T12" s="510"/>
      <c r="U12" s="510"/>
      <c r="V12" s="508"/>
      <c r="W12" s="585"/>
      <c r="X12" s="509"/>
    </row>
    <row r="13" ht="18.75" customHeight="1">
      <c r="A13" s="507"/>
      <c r="B13" s="508">
        <v>6.0</v>
      </c>
      <c r="C13" s="522"/>
      <c r="D13" s="583"/>
      <c r="E13" s="508"/>
      <c r="F13" s="515"/>
      <c r="G13" s="515"/>
      <c r="H13" s="508"/>
      <c r="I13" s="521"/>
      <c r="J13" s="521"/>
      <c r="K13" s="510"/>
      <c r="L13" s="510"/>
      <c r="M13" s="510"/>
      <c r="N13" s="510"/>
      <c r="O13" s="507"/>
      <c r="P13" s="507"/>
      <c r="Q13" s="553"/>
      <c r="R13" s="562"/>
      <c r="S13" s="562"/>
      <c r="T13" s="510"/>
      <c r="U13" s="510"/>
      <c r="V13" s="508"/>
      <c r="W13" s="585"/>
      <c r="X13" s="515"/>
    </row>
    <row r="14" ht="18.75" customHeight="1">
      <c r="A14" s="507"/>
      <c r="B14" s="508">
        <v>7.0</v>
      </c>
      <c r="C14" s="522"/>
      <c r="D14" s="583"/>
      <c r="E14" s="508"/>
      <c r="F14" s="515"/>
      <c r="G14" s="515"/>
      <c r="H14" s="508"/>
      <c r="I14" s="521"/>
      <c r="J14" s="521"/>
      <c r="K14" s="510"/>
      <c r="L14" s="510"/>
      <c r="M14" s="510"/>
      <c r="N14" s="510"/>
      <c r="O14" s="507"/>
      <c r="P14" s="507"/>
      <c r="Q14" s="553"/>
      <c r="R14" s="562"/>
      <c r="S14" s="562"/>
      <c r="T14" s="510"/>
      <c r="U14" s="510"/>
      <c r="V14" s="508"/>
      <c r="W14" s="587"/>
      <c r="X14" s="528"/>
    </row>
    <row r="15" ht="18.75" customHeight="1">
      <c r="A15" s="507"/>
      <c r="B15" s="508">
        <v>8.0</v>
      </c>
      <c r="C15" s="522"/>
      <c r="D15" s="583"/>
      <c r="E15" s="508"/>
      <c r="F15" s="515"/>
      <c r="G15" s="515"/>
      <c r="H15" s="508"/>
      <c r="I15" s="521"/>
      <c r="J15" s="521"/>
      <c r="K15" s="510"/>
      <c r="L15" s="510"/>
      <c r="M15" s="510"/>
      <c r="N15" s="510"/>
      <c r="O15" s="507"/>
      <c r="P15" s="507"/>
      <c r="Q15" s="553"/>
      <c r="R15" s="562"/>
      <c r="S15" s="562"/>
      <c r="T15" s="510"/>
      <c r="U15" s="510"/>
      <c r="V15" s="508"/>
      <c r="W15" s="585"/>
      <c r="X15" s="528"/>
    </row>
    <row r="16" ht="18.75" customHeight="1">
      <c r="A16" s="507"/>
      <c r="B16" s="508">
        <v>9.0</v>
      </c>
      <c r="C16" s="522"/>
      <c r="D16" s="539"/>
      <c r="E16" s="508"/>
      <c r="F16" s="515"/>
      <c r="G16" s="515"/>
      <c r="H16" s="508"/>
      <c r="I16" s="521"/>
      <c r="J16" s="521"/>
      <c r="K16" s="510"/>
      <c r="L16" s="510"/>
      <c r="M16" s="510"/>
      <c r="N16" s="510"/>
      <c r="O16" s="507"/>
      <c r="P16" s="507"/>
      <c r="Q16" s="553"/>
      <c r="R16" s="562"/>
      <c r="S16" s="562"/>
      <c r="T16" s="510"/>
      <c r="U16" s="510"/>
      <c r="V16" s="508"/>
      <c r="W16" s="584"/>
      <c r="X16" s="515"/>
    </row>
    <row r="17" ht="18.75" customHeight="1">
      <c r="A17" s="507"/>
      <c r="B17" s="508">
        <v>10.0</v>
      </c>
      <c r="C17" s="540"/>
      <c r="D17" s="586"/>
      <c r="E17" s="508"/>
      <c r="F17" s="515"/>
      <c r="G17" s="515"/>
      <c r="H17" s="508"/>
      <c r="I17" s="521"/>
      <c r="J17" s="521"/>
      <c r="K17" s="510"/>
      <c r="L17" s="510"/>
      <c r="M17" s="510"/>
      <c r="N17" s="510"/>
      <c r="O17" s="507"/>
      <c r="P17" s="507"/>
      <c r="Q17" s="553"/>
      <c r="R17" s="562"/>
      <c r="S17" s="562"/>
      <c r="T17" s="510"/>
      <c r="U17" s="510"/>
      <c r="V17" s="508"/>
      <c r="W17" s="585"/>
      <c r="X17" s="515"/>
    </row>
    <row r="18" ht="18.75" customHeight="1">
      <c r="A18" s="507"/>
      <c r="B18" s="508">
        <v>11.0</v>
      </c>
      <c r="C18" s="540"/>
      <c r="D18" s="583"/>
      <c r="E18" s="508"/>
      <c r="F18" s="515"/>
      <c r="G18" s="515"/>
      <c r="H18" s="508"/>
      <c r="I18" s="521"/>
      <c r="J18" s="521"/>
      <c r="K18" s="510"/>
      <c r="L18" s="510"/>
      <c r="M18" s="510"/>
      <c r="N18" s="510"/>
      <c r="O18" s="507"/>
      <c r="P18" s="507"/>
      <c r="Q18" s="553"/>
      <c r="R18" s="562"/>
      <c r="S18" s="562"/>
      <c r="T18" s="510"/>
      <c r="U18" s="510"/>
      <c r="V18" s="508"/>
      <c r="W18" s="585"/>
      <c r="X18" s="515"/>
    </row>
    <row r="19" ht="18.75" customHeight="1">
      <c r="A19" s="507"/>
      <c r="B19" s="508">
        <v>12.0</v>
      </c>
      <c r="C19" s="540"/>
      <c r="D19" s="586"/>
      <c r="E19" s="508"/>
      <c r="F19" s="515"/>
      <c r="G19" s="515"/>
      <c r="H19" s="508"/>
      <c r="I19" s="521"/>
      <c r="J19" s="521"/>
      <c r="K19" s="510"/>
      <c r="L19" s="510"/>
      <c r="M19" s="510"/>
      <c r="N19" s="510"/>
      <c r="O19" s="507"/>
      <c r="P19" s="507"/>
      <c r="Q19" s="553"/>
      <c r="R19" s="562"/>
      <c r="S19" s="562"/>
      <c r="T19" s="510"/>
      <c r="U19" s="510"/>
      <c r="V19" s="508"/>
      <c r="W19" s="585"/>
      <c r="X19" s="528"/>
    </row>
    <row r="20" ht="18.75" customHeight="1">
      <c r="A20" s="507"/>
      <c r="B20" s="508">
        <v>13.0</v>
      </c>
      <c r="C20" s="522"/>
      <c r="D20" s="583"/>
      <c r="E20" s="508"/>
      <c r="F20" s="515"/>
      <c r="G20" s="515"/>
      <c r="H20" s="508"/>
      <c r="I20" s="521"/>
      <c r="J20" s="521"/>
      <c r="K20" s="510"/>
      <c r="L20" s="510"/>
      <c r="M20" s="510"/>
      <c r="N20" s="510"/>
      <c r="O20" s="507"/>
      <c r="P20" s="507"/>
      <c r="Q20" s="553"/>
      <c r="R20" s="562"/>
      <c r="S20" s="562"/>
      <c r="T20" s="510"/>
      <c r="U20" s="510"/>
      <c r="V20" s="508"/>
      <c r="W20" s="588"/>
      <c r="X20" s="515"/>
    </row>
    <row r="21" ht="18.75" customHeight="1">
      <c r="A21" s="507"/>
      <c r="B21" s="508">
        <v>14.0</v>
      </c>
      <c r="C21" s="522"/>
      <c r="D21" s="583"/>
      <c r="E21" s="508"/>
      <c r="F21" s="515"/>
      <c r="G21" s="515"/>
      <c r="H21" s="508"/>
      <c r="I21" s="521"/>
      <c r="J21" s="521"/>
      <c r="K21" s="510"/>
      <c r="L21" s="510"/>
      <c r="M21" s="510"/>
      <c r="N21" s="510"/>
      <c r="O21" s="507"/>
      <c r="P21" s="507"/>
      <c r="Q21" s="553"/>
      <c r="R21" s="562"/>
      <c r="S21" s="562"/>
      <c r="T21" s="510"/>
      <c r="U21" s="510"/>
      <c r="V21" s="508"/>
      <c r="W21" s="588"/>
      <c r="X21" s="515"/>
    </row>
    <row r="22" ht="18.75" customHeight="1">
      <c r="A22" s="507"/>
      <c r="B22" s="508">
        <v>15.0</v>
      </c>
      <c r="C22" s="522"/>
      <c r="D22" s="583"/>
      <c r="E22" s="508"/>
      <c r="F22" s="515"/>
      <c r="G22" s="515"/>
      <c r="H22" s="508"/>
      <c r="I22" s="521"/>
      <c r="J22" s="521"/>
      <c r="K22" s="510"/>
      <c r="L22" s="510"/>
      <c r="M22" s="510"/>
      <c r="N22" s="510"/>
      <c r="O22" s="507"/>
      <c r="P22" s="507"/>
      <c r="Q22" s="553"/>
      <c r="R22" s="562"/>
      <c r="S22" s="562"/>
      <c r="T22" s="510"/>
      <c r="U22" s="510"/>
      <c r="V22" s="508"/>
      <c r="W22" s="584"/>
      <c r="X22" s="507"/>
    </row>
    <row r="23" ht="18.75" customHeight="1">
      <c r="A23" s="507"/>
      <c r="B23" s="508">
        <v>16.0</v>
      </c>
      <c r="C23" s="540"/>
      <c r="D23" s="586"/>
      <c r="E23" s="508"/>
      <c r="F23" s="515"/>
      <c r="G23" s="515"/>
      <c r="H23" s="508"/>
      <c r="I23" s="521"/>
      <c r="J23" s="521"/>
      <c r="K23" s="510"/>
      <c r="L23" s="510"/>
      <c r="M23" s="510"/>
      <c r="N23" s="510"/>
      <c r="O23" s="507"/>
      <c r="P23" s="507"/>
      <c r="Q23" s="553"/>
      <c r="R23" s="562"/>
      <c r="S23" s="562"/>
      <c r="T23" s="510"/>
      <c r="U23" s="510"/>
      <c r="V23" s="508"/>
      <c r="W23" s="584"/>
      <c r="X23" s="515"/>
    </row>
    <row r="24" ht="18.75" customHeight="1">
      <c r="A24" s="507"/>
      <c r="B24" s="508">
        <v>17.0</v>
      </c>
      <c r="C24" s="522"/>
      <c r="D24" s="583"/>
      <c r="E24" s="508"/>
      <c r="F24" s="515"/>
      <c r="G24" s="515"/>
      <c r="H24" s="508"/>
      <c r="I24" s="521"/>
      <c r="J24" s="521"/>
      <c r="K24" s="510"/>
      <c r="L24" s="510"/>
      <c r="M24" s="510"/>
      <c r="N24" s="510"/>
      <c r="O24" s="507"/>
      <c r="P24" s="507"/>
      <c r="Q24" s="553"/>
      <c r="R24" s="562"/>
      <c r="S24" s="562"/>
      <c r="T24" s="510"/>
      <c r="U24" s="510"/>
      <c r="V24" s="508"/>
      <c r="W24" s="585"/>
      <c r="X24" s="515"/>
    </row>
    <row r="25" ht="18.75" customHeight="1">
      <c r="A25" s="507"/>
      <c r="B25" s="508">
        <v>18.0</v>
      </c>
      <c r="C25" s="522"/>
      <c r="D25" s="583"/>
      <c r="E25" s="508"/>
      <c r="F25" s="515"/>
      <c r="G25" s="515"/>
      <c r="H25" s="508"/>
      <c r="I25" s="521"/>
      <c r="J25" s="521"/>
      <c r="K25" s="510"/>
      <c r="L25" s="510"/>
      <c r="M25" s="510"/>
      <c r="N25" s="510"/>
      <c r="O25" s="507"/>
      <c r="P25" s="507"/>
      <c r="Q25" s="553"/>
      <c r="R25" s="562"/>
      <c r="S25" s="562"/>
      <c r="T25" s="510"/>
      <c r="U25" s="510"/>
      <c r="V25" s="508"/>
      <c r="W25" s="589"/>
      <c r="X25" s="528"/>
    </row>
    <row r="26" ht="18.75" customHeight="1">
      <c r="A26" s="507"/>
      <c r="B26" s="508">
        <v>19.0</v>
      </c>
      <c r="C26" s="522"/>
      <c r="D26" s="583"/>
      <c r="E26" s="508"/>
      <c r="F26" s="515"/>
      <c r="G26" s="515"/>
      <c r="H26" s="508"/>
      <c r="I26" s="521"/>
      <c r="J26" s="521"/>
      <c r="K26" s="510"/>
      <c r="L26" s="510"/>
      <c r="M26" s="510"/>
      <c r="N26" s="510"/>
      <c r="O26" s="507"/>
      <c r="P26" s="507"/>
      <c r="Q26" s="553"/>
      <c r="R26" s="562"/>
      <c r="S26" s="562"/>
      <c r="T26" s="510"/>
      <c r="U26" s="510"/>
      <c r="V26" s="508"/>
      <c r="W26" s="590"/>
      <c r="X26" s="507"/>
    </row>
    <row r="27" ht="18.75" customHeight="1">
      <c r="A27" s="507"/>
      <c r="B27" s="508">
        <v>20.0</v>
      </c>
      <c r="C27" s="522"/>
      <c r="D27" s="583"/>
      <c r="E27" s="508"/>
      <c r="F27" s="515"/>
      <c r="G27" s="515"/>
      <c r="H27" s="508"/>
      <c r="I27" s="521"/>
      <c r="J27" s="521"/>
      <c r="K27" s="510"/>
      <c r="L27" s="510"/>
      <c r="M27" s="510"/>
      <c r="N27" s="510"/>
      <c r="O27" s="507"/>
      <c r="P27" s="507"/>
      <c r="Q27" s="553"/>
      <c r="R27" s="562"/>
      <c r="S27" s="562"/>
      <c r="T27" s="510"/>
      <c r="U27" s="510"/>
      <c r="V27" s="508"/>
      <c r="W27" s="584"/>
      <c r="X27" s="515"/>
    </row>
    <row r="28" ht="18.75" customHeight="1">
      <c r="A28" s="507"/>
      <c r="B28" s="508">
        <v>21.0</v>
      </c>
      <c r="C28" s="522"/>
      <c r="D28" s="583"/>
      <c r="E28" s="508"/>
      <c r="F28" s="515"/>
      <c r="G28" s="515"/>
      <c r="H28" s="508"/>
      <c r="I28" s="521"/>
      <c r="J28" s="521"/>
      <c r="K28" s="510"/>
      <c r="L28" s="510"/>
      <c r="M28" s="510"/>
      <c r="N28" s="510"/>
      <c r="O28" s="507"/>
      <c r="P28" s="507"/>
      <c r="Q28" s="507"/>
      <c r="R28" s="510"/>
      <c r="S28" s="510"/>
      <c r="T28" s="510"/>
      <c r="U28" s="510"/>
      <c r="V28" s="513"/>
      <c r="W28" s="582"/>
      <c r="X28" s="507"/>
    </row>
    <row r="29" ht="18.75" customHeight="1">
      <c r="A29" s="507"/>
      <c r="B29" s="508">
        <v>22.0</v>
      </c>
      <c r="C29" s="540"/>
      <c r="D29" s="591"/>
      <c r="E29" s="508"/>
      <c r="F29" s="515"/>
      <c r="G29" s="515"/>
      <c r="H29" s="508"/>
      <c r="I29" s="521"/>
      <c r="J29" s="521"/>
      <c r="K29" s="510"/>
      <c r="L29" s="510"/>
      <c r="M29" s="510"/>
      <c r="N29" s="510"/>
      <c r="O29" s="507"/>
      <c r="P29" s="507"/>
      <c r="Q29" s="507"/>
      <c r="R29" s="510"/>
      <c r="S29" s="510"/>
      <c r="T29" s="510"/>
      <c r="U29" s="510"/>
      <c r="V29" s="513"/>
      <c r="W29" s="582"/>
      <c r="X29" s="507"/>
    </row>
    <row r="30" ht="18.75" customHeight="1">
      <c r="A30" s="507"/>
      <c r="B30" s="508">
        <v>23.0</v>
      </c>
      <c r="C30" s="508"/>
      <c r="D30" s="508"/>
      <c r="E30" s="508"/>
      <c r="F30" s="515"/>
      <c r="G30" s="515"/>
      <c r="H30" s="508"/>
      <c r="I30" s="521"/>
      <c r="J30" s="521"/>
      <c r="K30" s="510"/>
      <c r="L30" s="510"/>
      <c r="M30" s="510"/>
      <c r="N30" s="510"/>
      <c r="O30" s="507"/>
      <c r="P30" s="507"/>
      <c r="Q30" s="507"/>
      <c r="R30" s="510"/>
      <c r="S30" s="510"/>
      <c r="T30" s="510"/>
      <c r="U30" s="510"/>
      <c r="V30" s="513"/>
      <c r="W30" s="582"/>
      <c r="X30" s="507"/>
    </row>
    <row r="31" ht="18.75" customHeight="1">
      <c r="A31" s="507"/>
      <c r="B31" s="508" t="s">
        <v>250</v>
      </c>
      <c r="C31" s="508"/>
      <c r="D31" s="579">
        <f>SUM(D8:D30)</f>
        <v>0</v>
      </c>
      <c r="E31" s="508"/>
      <c r="F31" s="515"/>
      <c r="G31" s="515"/>
      <c r="H31" s="508"/>
      <c r="I31" s="521"/>
      <c r="J31" s="521"/>
      <c r="K31" s="510"/>
      <c r="L31" s="510"/>
      <c r="M31" s="510"/>
      <c r="N31" s="510"/>
      <c r="O31" s="507"/>
      <c r="P31" s="507"/>
      <c r="Q31" s="507"/>
      <c r="R31" s="510"/>
      <c r="S31" s="510"/>
      <c r="T31" s="510"/>
      <c r="U31" s="510"/>
      <c r="V31" s="513"/>
      <c r="W31" s="582"/>
      <c r="X31" s="507"/>
    </row>
    <row r="32" ht="18.75" customHeight="1">
      <c r="A32" s="507"/>
      <c r="B32" s="508"/>
      <c r="C32" s="508"/>
      <c r="D32" s="508"/>
      <c r="E32" s="508"/>
      <c r="F32" s="515"/>
      <c r="G32" s="515"/>
      <c r="H32" s="508"/>
      <c r="I32" s="521"/>
      <c r="J32" s="521"/>
      <c r="K32" s="510"/>
      <c r="L32" s="510"/>
      <c r="M32" s="510"/>
      <c r="N32" s="510"/>
      <c r="O32" s="507"/>
      <c r="P32" s="507"/>
      <c r="Q32" s="507"/>
      <c r="R32" s="510"/>
      <c r="S32" s="510"/>
      <c r="T32" s="510"/>
      <c r="U32" s="510"/>
      <c r="V32" s="513"/>
      <c r="W32" s="582"/>
      <c r="X32" s="507"/>
    </row>
    <row r="33" ht="18.75" customHeight="1">
      <c r="A33" s="507"/>
      <c r="B33" s="508"/>
      <c r="C33" s="508"/>
      <c r="D33" s="508"/>
      <c r="E33" s="508"/>
      <c r="F33" s="515"/>
      <c r="G33" s="515"/>
      <c r="H33" s="508"/>
      <c r="I33" s="521"/>
      <c r="J33" s="521"/>
      <c r="K33" s="510"/>
      <c r="L33" s="510"/>
      <c r="M33" s="510"/>
      <c r="N33" s="510"/>
      <c r="O33" s="507"/>
      <c r="P33" s="507"/>
      <c r="Q33" s="507"/>
      <c r="R33" s="510"/>
      <c r="S33" s="510"/>
      <c r="T33" s="510"/>
      <c r="U33" s="510"/>
      <c r="V33" s="513"/>
      <c r="W33" s="582"/>
      <c r="X33" s="507"/>
    </row>
    <row r="34" ht="18.75" customHeight="1">
      <c r="A34" s="507"/>
      <c r="B34" s="508"/>
      <c r="C34" s="508"/>
      <c r="D34" s="508"/>
      <c r="E34" s="508"/>
      <c r="F34" s="515"/>
      <c r="G34" s="515"/>
      <c r="H34" s="508"/>
      <c r="I34" s="521"/>
      <c r="J34" s="521"/>
      <c r="K34" s="510"/>
      <c r="L34" s="510"/>
      <c r="M34" s="510"/>
      <c r="N34" s="510"/>
      <c r="O34" s="507"/>
      <c r="P34" s="507"/>
      <c r="Q34" s="507"/>
      <c r="R34" s="510"/>
      <c r="S34" s="510"/>
      <c r="T34" s="510"/>
      <c r="U34" s="510"/>
      <c r="V34" s="513"/>
      <c r="W34" s="582"/>
      <c r="X34" s="507"/>
    </row>
    <row r="35" ht="18.75" customHeight="1">
      <c r="A35" s="507"/>
      <c r="B35" s="508"/>
      <c r="C35" s="508"/>
      <c r="D35" s="508"/>
      <c r="E35" s="508"/>
      <c r="F35" s="515"/>
      <c r="G35" s="515"/>
      <c r="H35" s="508"/>
      <c r="I35" s="521"/>
      <c r="J35" s="521"/>
      <c r="K35" s="510"/>
      <c r="L35" s="510"/>
      <c r="M35" s="510"/>
      <c r="N35" s="510"/>
      <c r="O35" s="507"/>
      <c r="P35" s="507"/>
      <c r="Q35" s="507"/>
      <c r="R35" s="510"/>
      <c r="S35" s="510"/>
      <c r="T35" s="510"/>
      <c r="U35" s="510"/>
      <c r="V35" s="513"/>
      <c r="W35" s="582"/>
      <c r="X35" s="507"/>
    </row>
    <row r="36" ht="18.75" customHeight="1">
      <c r="A36" s="507"/>
      <c r="B36" s="508"/>
      <c r="C36" s="508"/>
      <c r="D36" s="508"/>
      <c r="E36" s="508"/>
      <c r="F36" s="515"/>
      <c r="G36" s="515"/>
      <c r="H36" s="508"/>
      <c r="I36" s="521"/>
      <c r="J36" s="521"/>
      <c r="K36" s="510"/>
      <c r="L36" s="510"/>
      <c r="M36" s="510"/>
      <c r="N36" s="510"/>
      <c r="O36" s="507"/>
      <c r="P36" s="507"/>
      <c r="Q36" s="507"/>
      <c r="R36" s="510"/>
      <c r="S36" s="510"/>
      <c r="T36" s="510"/>
      <c r="U36" s="510"/>
      <c r="V36" s="513"/>
      <c r="W36" s="582"/>
      <c r="X36" s="507"/>
      <c r="Y36" s="510"/>
      <c r="Z36" s="510"/>
    </row>
    <row r="37" ht="18.75" customHeight="1">
      <c r="A37" s="507"/>
      <c r="B37" s="508"/>
      <c r="C37" s="508"/>
      <c r="D37" s="508"/>
      <c r="E37" s="508"/>
      <c r="F37" s="515"/>
      <c r="G37" s="515"/>
      <c r="H37" s="508"/>
      <c r="I37" s="521"/>
      <c r="J37" s="521"/>
      <c r="K37" s="510"/>
      <c r="L37" s="510"/>
      <c r="M37" s="510"/>
      <c r="N37" s="510"/>
      <c r="O37" s="507"/>
      <c r="P37" s="507"/>
      <c r="Q37" s="507"/>
      <c r="R37" s="510"/>
      <c r="S37" s="510"/>
      <c r="T37" s="510"/>
      <c r="U37" s="510"/>
      <c r="V37" s="513"/>
      <c r="W37" s="582"/>
      <c r="X37" s="507"/>
      <c r="Y37" s="510"/>
      <c r="Z37" s="510"/>
    </row>
    <row r="38" ht="18.75" customHeight="1">
      <c r="A38" s="507"/>
      <c r="B38" s="508"/>
      <c r="C38" s="508"/>
      <c r="D38" s="508"/>
      <c r="E38" s="508"/>
      <c r="F38" s="515"/>
      <c r="G38" s="515"/>
      <c r="H38" s="508"/>
      <c r="I38" s="521"/>
      <c r="J38" s="521"/>
      <c r="K38" s="510"/>
      <c r="L38" s="510"/>
      <c r="M38" s="510"/>
      <c r="N38" s="510"/>
      <c r="O38" s="507"/>
      <c r="P38" s="507"/>
      <c r="Q38" s="507"/>
      <c r="R38" s="510"/>
      <c r="S38" s="510"/>
      <c r="T38" s="510"/>
      <c r="U38" s="510"/>
      <c r="V38" s="513"/>
      <c r="W38" s="582"/>
      <c r="X38" s="507"/>
      <c r="Y38" s="510"/>
      <c r="Z38" s="510"/>
    </row>
    <row r="39" ht="18.75" customHeight="1">
      <c r="A39" s="507"/>
      <c r="B39" s="508"/>
      <c r="C39" s="508"/>
      <c r="D39" s="508"/>
      <c r="E39" s="508"/>
      <c r="F39" s="515"/>
      <c r="G39" s="515"/>
      <c r="H39" s="508"/>
      <c r="I39" s="521"/>
      <c r="J39" s="521"/>
      <c r="K39" s="510"/>
      <c r="L39" s="510"/>
      <c r="M39" s="510"/>
      <c r="N39" s="510"/>
      <c r="O39" s="507"/>
      <c r="P39" s="507"/>
      <c r="Q39" s="507"/>
      <c r="R39" s="510"/>
      <c r="S39" s="510"/>
      <c r="T39" s="510"/>
      <c r="U39" s="510"/>
      <c r="V39" s="513"/>
      <c r="W39" s="582"/>
      <c r="X39" s="507"/>
      <c r="Y39" s="510"/>
      <c r="Z39" s="510"/>
    </row>
    <row r="40" ht="18.75" customHeight="1">
      <c r="A40" s="507"/>
      <c r="B40" s="508"/>
      <c r="C40" s="508"/>
      <c r="D40" s="508"/>
      <c r="E40" s="508"/>
      <c r="F40" s="515"/>
      <c r="G40" s="515"/>
      <c r="H40" s="508"/>
      <c r="I40" s="521"/>
      <c r="J40" s="521"/>
      <c r="K40" s="510"/>
      <c r="L40" s="510"/>
      <c r="M40" s="510"/>
      <c r="N40" s="510"/>
      <c r="O40" s="507"/>
      <c r="P40" s="507"/>
      <c r="Q40" s="507"/>
      <c r="R40" s="510"/>
      <c r="S40" s="510"/>
      <c r="T40" s="510"/>
      <c r="U40" s="510"/>
      <c r="V40" s="513"/>
      <c r="W40" s="582"/>
      <c r="X40" s="507"/>
      <c r="Y40" s="510"/>
      <c r="Z40" s="510"/>
    </row>
    <row r="41" ht="18.75" customHeight="1">
      <c r="A41" s="507"/>
      <c r="B41" s="508"/>
      <c r="C41" s="508"/>
      <c r="D41" s="508"/>
      <c r="E41" s="508"/>
      <c r="F41" s="515"/>
      <c r="G41" s="515"/>
      <c r="H41" s="508"/>
      <c r="I41" s="521"/>
      <c r="J41" s="521"/>
      <c r="K41" s="510"/>
      <c r="L41" s="510"/>
      <c r="M41" s="510"/>
      <c r="N41" s="510"/>
      <c r="O41" s="507"/>
      <c r="P41" s="507"/>
      <c r="Q41" s="507"/>
      <c r="R41" s="510"/>
      <c r="S41" s="510"/>
      <c r="T41" s="510"/>
      <c r="U41" s="510"/>
      <c r="V41" s="513"/>
      <c r="W41" s="582"/>
      <c r="X41" s="507"/>
      <c r="Y41" s="510"/>
      <c r="Z41" s="510"/>
    </row>
    <row r="42" ht="18.75" customHeight="1">
      <c r="A42" s="507"/>
      <c r="B42" s="508"/>
      <c r="C42" s="508"/>
      <c r="D42" s="508"/>
      <c r="E42" s="508"/>
      <c r="F42" s="515"/>
      <c r="G42" s="515"/>
      <c r="H42" s="508"/>
      <c r="I42" s="521"/>
      <c r="J42" s="521"/>
      <c r="K42" s="510"/>
      <c r="L42" s="510"/>
      <c r="M42" s="510"/>
      <c r="N42" s="510"/>
      <c r="O42" s="507"/>
      <c r="P42" s="507"/>
      <c r="Q42" s="507"/>
      <c r="R42" s="510"/>
      <c r="S42" s="510"/>
      <c r="T42" s="510"/>
      <c r="U42" s="510"/>
      <c r="V42" s="513"/>
      <c r="W42" s="582"/>
      <c r="X42" s="507"/>
      <c r="Y42" s="510"/>
      <c r="Z42" s="510"/>
    </row>
    <row r="43" ht="18.75" customHeight="1">
      <c r="A43" s="507"/>
      <c r="B43" s="508"/>
      <c r="C43" s="508"/>
      <c r="D43" s="508"/>
      <c r="E43" s="508"/>
      <c r="F43" s="515"/>
      <c r="G43" s="515"/>
      <c r="H43" s="508"/>
      <c r="I43" s="521"/>
      <c r="J43" s="521"/>
      <c r="K43" s="510"/>
      <c r="L43" s="510"/>
      <c r="M43" s="510"/>
      <c r="N43" s="510"/>
      <c r="O43" s="507"/>
      <c r="P43" s="507"/>
      <c r="Q43" s="507"/>
      <c r="R43" s="510"/>
      <c r="S43" s="510"/>
      <c r="T43" s="510"/>
      <c r="U43" s="510"/>
      <c r="V43" s="513"/>
      <c r="W43" s="582"/>
      <c r="X43" s="507"/>
      <c r="Y43" s="510"/>
      <c r="Z43" s="510"/>
    </row>
    <row r="44" ht="18.75" customHeight="1">
      <c r="A44" s="507"/>
      <c r="B44" s="508"/>
      <c r="C44" s="508"/>
      <c r="D44" s="508"/>
      <c r="E44" s="508"/>
      <c r="F44" s="515"/>
      <c r="G44" s="515"/>
      <c r="H44" s="508"/>
      <c r="I44" s="521"/>
      <c r="J44" s="521"/>
      <c r="K44" s="510"/>
      <c r="L44" s="510"/>
      <c r="M44" s="510"/>
      <c r="N44" s="510"/>
      <c r="O44" s="507"/>
      <c r="P44" s="507"/>
      <c r="Q44" s="507"/>
      <c r="R44" s="510"/>
      <c r="S44" s="510"/>
      <c r="T44" s="510"/>
      <c r="U44" s="510"/>
      <c r="V44" s="513"/>
      <c r="W44" s="582"/>
      <c r="X44" s="507"/>
      <c r="Y44" s="510"/>
      <c r="Z44" s="510"/>
    </row>
    <row r="45" ht="18.75" customHeight="1">
      <c r="A45" s="507"/>
      <c r="B45" s="508"/>
      <c r="C45" s="508"/>
      <c r="D45" s="508"/>
      <c r="E45" s="508"/>
      <c r="F45" s="515"/>
      <c r="G45" s="515"/>
      <c r="H45" s="508"/>
      <c r="I45" s="521"/>
      <c r="J45" s="521"/>
      <c r="K45" s="510"/>
      <c r="L45" s="510"/>
      <c r="M45" s="510"/>
      <c r="N45" s="510"/>
      <c r="O45" s="507"/>
      <c r="P45" s="507"/>
      <c r="Q45" s="507"/>
      <c r="R45" s="510"/>
      <c r="S45" s="510"/>
      <c r="T45" s="510"/>
      <c r="U45" s="510"/>
      <c r="V45" s="513"/>
      <c r="W45" s="582"/>
      <c r="X45" s="507"/>
      <c r="Y45" s="510"/>
      <c r="Z45" s="510"/>
    </row>
    <row r="46" ht="18.75" customHeight="1">
      <c r="A46" s="507"/>
      <c r="B46" s="508"/>
      <c r="C46" s="508"/>
      <c r="D46" s="508"/>
      <c r="E46" s="508"/>
      <c r="F46" s="515"/>
      <c r="G46" s="515"/>
      <c r="H46" s="508"/>
      <c r="I46" s="521"/>
      <c r="J46" s="521"/>
      <c r="K46" s="510"/>
      <c r="L46" s="510"/>
      <c r="M46" s="510"/>
      <c r="N46" s="510"/>
      <c r="O46" s="507"/>
      <c r="P46" s="507"/>
      <c r="Q46" s="507"/>
      <c r="R46" s="510"/>
      <c r="S46" s="510"/>
      <c r="T46" s="510"/>
      <c r="U46" s="510"/>
      <c r="V46" s="513"/>
      <c r="W46" s="582"/>
      <c r="X46" s="507"/>
      <c r="Y46" s="510"/>
      <c r="Z46" s="510"/>
    </row>
    <row r="47" ht="18.75" customHeight="1">
      <c r="A47" s="507"/>
      <c r="B47" s="508"/>
      <c r="C47" s="508"/>
      <c r="D47" s="508"/>
      <c r="E47" s="508"/>
      <c r="F47" s="515"/>
      <c r="G47" s="515"/>
      <c r="H47" s="508"/>
      <c r="I47" s="521"/>
      <c r="J47" s="521"/>
      <c r="K47" s="510"/>
      <c r="L47" s="510"/>
      <c r="M47" s="510"/>
      <c r="N47" s="510"/>
      <c r="O47" s="507"/>
      <c r="P47" s="507"/>
      <c r="Q47" s="507"/>
      <c r="R47" s="510"/>
      <c r="S47" s="510"/>
      <c r="T47" s="510"/>
      <c r="U47" s="510"/>
      <c r="V47" s="513"/>
      <c r="W47" s="582"/>
      <c r="X47" s="507"/>
      <c r="Y47" s="510"/>
      <c r="Z47" s="510"/>
    </row>
    <row r="48" ht="18.75" customHeight="1">
      <c r="A48" s="507"/>
      <c r="B48" s="508"/>
      <c r="C48" s="508"/>
      <c r="D48" s="508"/>
      <c r="E48" s="508"/>
      <c r="F48" s="515"/>
      <c r="G48" s="515"/>
      <c r="H48" s="508"/>
      <c r="I48" s="521"/>
      <c r="J48" s="521"/>
      <c r="K48" s="510"/>
      <c r="L48" s="510"/>
      <c r="M48" s="510"/>
      <c r="N48" s="510"/>
      <c r="O48" s="507"/>
      <c r="P48" s="507"/>
      <c r="Q48" s="507"/>
      <c r="R48" s="510"/>
      <c r="S48" s="510"/>
      <c r="T48" s="510"/>
      <c r="U48" s="510"/>
      <c r="V48" s="513"/>
      <c r="W48" s="582"/>
      <c r="X48" s="507"/>
      <c r="Y48" s="510"/>
      <c r="Z48" s="510"/>
    </row>
    <row r="49" ht="18.75" customHeight="1">
      <c r="A49" s="507"/>
      <c r="B49" s="508"/>
      <c r="C49" s="508"/>
      <c r="D49" s="508"/>
      <c r="E49" s="508"/>
      <c r="F49" s="515"/>
      <c r="G49" s="515"/>
      <c r="H49" s="508"/>
      <c r="I49" s="521"/>
      <c r="J49" s="521"/>
      <c r="K49" s="510"/>
      <c r="L49" s="510"/>
      <c r="M49" s="510"/>
      <c r="N49" s="510"/>
      <c r="O49" s="507"/>
      <c r="P49" s="507"/>
      <c r="Q49" s="507"/>
      <c r="R49" s="510"/>
      <c r="S49" s="510"/>
      <c r="T49" s="510"/>
      <c r="U49" s="510"/>
      <c r="V49" s="513"/>
      <c r="W49" s="582"/>
      <c r="X49" s="507"/>
      <c r="Y49" s="510"/>
      <c r="Z49" s="510"/>
    </row>
    <row r="50" ht="18.75" customHeight="1">
      <c r="A50" s="507"/>
      <c r="B50" s="508"/>
      <c r="C50" s="508"/>
      <c r="D50" s="508"/>
      <c r="E50" s="508"/>
      <c r="F50" s="515"/>
      <c r="G50" s="515"/>
      <c r="H50" s="508"/>
      <c r="I50" s="521"/>
      <c r="J50" s="521"/>
      <c r="K50" s="510"/>
      <c r="L50" s="510"/>
      <c r="M50" s="510"/>
      <c r="N50" s="510"/>
      <c r="O50" s="507"/>
      <c r="P50" s="507"/>
      <c r="Q50" s="507"/>
      <c r="R50" s="510"/>
      <c r="S50" s="510"/>
      <c r="T50" s="510"/>
      <c r="U50" s="510"/>
      <c r="V50" s="513"/>
      <c r="W50" s="582"/>
      <c r="X50" s="507"/>
      <c r="Y50" s="510"/>
      <c r="Z50" s="510"/>
    </row>
    <row r="51" ht="18.75" customHeight="1">
      <c r="A51" s="507"/>
      <c r="B51" s="508"/>
      <c r="C51" s="508"/>
      <c r="D51" s="508"/>
      <c r="E51" s="508"/>
      <c r="F51" s="515"/>
      <c r="G51" s="515"/>
      <c r="H51" s="508"/>
      <c r="I51" s="521"/>
      <c r="J51" s="521"/>
      <c r="K51" s="510"/>
      <c r="L51" s="510"/>
      <c r="M51" s="510"/>
      <c r="N51" s="510"/>
      <c r="O51" s="507"/>
      <c r="P51" s="507"/>
      <c r="Q51" s="507"/>
      <c r="R51" s="510"/>
      <c r="S51" s="510"/>
      <c r="T51" s="510"/>
      <c r="U51" s="510"/>
      <c r="V51" s="513"/>
      <c r="W51" s="582"/>
      <c r="X51" s="507"/>
      <c r="Y51" s="510"/>
      <c r="Z51" s="510"/>
    </row>
    <row r="52" ht="18.75" customHeight="1">
      <c r="A52" s="507"/>
      <c r="B52" s="508"/>
      <c r="C52" s="508"/>
      <c r="D52" s="508"/>
      <c r="E52" s="508"/>
      <c r="F52" s="515"/>
      <c r="G52" s="515"/>
      <c r="H52" s="508"/>
      <c r="I52" s="521"/>
      <c r="J52" s="521"/>
      <c r="K52" s="510"/>
      <c r="L52" s="510"/>
      <c r="M52" s="510"/>
      <c r="N52" s="510"/>
      <c r="O52" s="507"/>
      <c r="P52" s="507"/>
      <c r="Q52" s="507"/>
      <c r="R52" s="510"/>
      <c r="S52" s="510"/>
      <c r="T52" s="510"/>
      <c r="U52" s="510"/>
      <c r="V52" s="513"/>
      <c r="W52" s="582"/>
      <c r="X52" s="507"/>
      <c r="Y52" s="510"/>
      <c r="Z52" s="510"/>
    </row>
    <row r="53" ht="18.75" customHeight="1">
      <c r="A53" s="507"/>
      <c r="B53" s="508"/>
      <c r="C53" s="508"/>
      <c r="D53" s="508"/>
      <c r="E53" s="508"/>
      <c r="F53" s="515"/>
      <c r="G53" s="515"/>
      <c r="H53" s="508"/>
      <c r="I53" s="521"/>
      <c r="J53" s="521"/>
      <c r="K53" s="510"/>
      <c r="L53" s="510"/>
      <c r="M53" s="510"/>
      <c r="N53" s="510"/>
      <c r="O53" s="507"/>
      <c r="P53" s="507"/>
      <c r="Q53" s="507"/>
      <c r="R53" s="510"/>
      <c r="S53" s="510"/>
      <c r="T53" s="510"/>
      <c r="U53" s="510"/>
      <c r="V53" s="513"/>
      <c r="W53" s="582"/>
      <c r="X53" s="507"/>
      <c r="Y53" s="507"/>
      <c r="Z53" s="507"/>
    </row>
    <row r="54" ht="18.75" customHeight="1">
      <c r="A54" s="507"/>
      <c r="B54" s="508"/>
      <c r="C54" s="508"/>
      <c r="D54" s="508"/>
      <c r="E54" s="508"/>
      <c r="F54" s="515"/>
      <c r="G54" s="515"/>
      <c r="H54" s="508"/>
      <c r="I54" s="521"/>
      <c r="J54" s="521"/>
      <c r="K54" s="510"/>
      <c r="L54" s="510"/>
      <c r="M54" s="510"/>
      <c r="N54" s="510"/>
      <c r="O54" s="507"/>
      <c r="P54" s="507"/>
      <c r="Q54" s="507"/>
      <c r="R54" s="510"/>
      <c r="S54" s="510"/>
      <c r="T54" s="510"/>
      <c r="U54" s="510"/>
      <c r="V54" s="513"/>
      <c r="W54" s="582"/>
      <c r="X54" s="507"/>
      <c r="Y54" s="507"/>
      <c r="Z54" s="507"/>
    </row>
    <row r="55" ht="18.75" customHeight="1">
      <c r="A55" s="507"/>
      <c r="B55" s="508"/>
      <c r="C55" s="508"/>
      <c r="D55" s="508"/>
      <c r="E55" s="508"/>
      <c r="F55" s="515"/>
      <c r="G55" s="515"/>
      <c r="H55" s="508"/>
      <c r="I55" s="521"/>
      <c r="J55" s="521"/>
      <c r="K55" s="510"/>
      <c r="L55" s="510"/>
      <c r="M55" s="510"/>
      <c r="N55" s="510"/>
      <c r="O55" s="507"/>
      <c r="P55" s="507"/>
      <c r="Q55" s="507"/>
      <c r="R55" s="510"/>
      <c r="S55" s="510"/>
      <c r="T55" s="510"/>
      <c r="U55" s="510"/>
      <c r="V55" s="513"/>
      <c r="W55" s="582"/>
      <c r="X55" s="507"/>
      <c r="Y55" s="507"/>
      <c r="Z55" s="507"/>
    </row>
    <row r="56" ht="18.75" customHeight="1">
      <c r="A56" s="507"/>
      <c r="B56" s="508"/>
      <c r="C56" s="508"/>
      <c r="D56" s="508"/>
      <c r="E56" s="508"/>
      <c r="F56" s="515"/>
      <c r="G56" s="515"/>
      <c r="H56" s="508"/>
      <c r="I56" s="521"/>
      <c r="J56" s="521"/>
      <c r="K56" s="510"/>
      <c r="L56" s="510"/>
      <c r="M56" s="510"/>
      <c r="N56" s="510"/>
      <c r="O56" s="507"/>
      <c r="P56" s="507"/>
      <c r="Q56" s="507"/>
      <c r="R56" s="510"/>
      <c r="S56" s="510"/>
      <c r="T56" s="510"/>
      <c r="U56" s="510"/>
      <c r="V56" s="513"/>
      <c r="W56" s="582"/>
      <c r="X56" s="507"/>
      <c r="Y56" s="507"/>
      <c r="Z56" s="507"/>
    </row>
    <row r="57" ht="18.75" customHeight="1">
      <c r="A57" s="507"/>
      <c r="B57" s="508"/>
      <c r="C57" s="508"/>
      <c r="D57" s="508"/>
      <c r="E57" s="508"/>
      <c r="F57" s="515"/>
      <c r="G57" s="515"/>
      <c r="H57" s="508"/>
      <c r="I57" s="521"/>
      <c r="J57" s="521"/>
      <c r="K57" s="510"/>
      <c r="L57" s="510"/>
      <c r="M57" s="510"/>
      <c r="N57" s="510"/>
      <c r="O57" s="507"/>
      <c r="P57" s="507"/>
      <c r="Q57" s="507"/>
      <c r="R57" s="510"/>
      <c r="S57" s="510"/>
      <c r="T57" s="510"/>
      <c r="U57" s="510"/>
      <c r="V57" s="513"/>
      <c r="W57" s="582"/>
      <c r="X57" s="507"/>
      <c r="Y57" s="507"/>
      <c r="Z57" s="507"/>
    </row>
    <row r="58" ht="18.75" customHeight="1">
      <c r="A58" s="507"/>
      <c r="B58" s="508"/>
      <c r="C58" s="508"/>
      <c r="D58" s="508"/>
      <c r="E58" s="508"/>
      <c r="F58" s="515"/>
      <c r="G58" s="515"/>
      <c r="H58" s="508"/>
      <c r="I58" s="521"/>
      <c r="J58" s="521"/>
      <c r="K58" s="510"/>
      <c r="L58" s="510"/>
      <c r="M58" s="510"/>
      <c r="N58" s="510"/>
      <c r="O58" s="507"/>
      <c r="P58" s="507"/>
      <c r="Q58" s="507"/>
      <c r="R58" s="510"/>
      <c r="S58" s="510"/>
      <c r="T58" s="510"/>
      <c r="U58" s="510"/>
      <c r="V58" s="513"/>
      <c r="W58" s="582"/>
      <c r="X58" s="507"/>
      <c r="Y58" s="507"/>
      <c r="Z58" s="507"/>
    </row>
    <row r="59" ht="18.75" customHeight="1">
      <c r="A59" s="507"/>
      <c r="B59" s="508"/>
      <c r="C59" s="508"/>
      <c r="D59" s="508"/>
      <c r="E59" s="508"/>
      <c r="F59" s="515"/>
      <c r="G59" s="515"/>
      <c r="H59" s="508"/>
      <c r="I59" s="521"/>
      <c r="J59" s="521"/>
      <c r="K59" s="510"/>
      <c r="L59" s="510"/>
      <c r="M59" s="510"/>
      <c r="N59" s="510"/>
      <c r="O59" s="507"/>
      <c r="P59" s="507"/>
      <c r="Q59" s="507"/>
      <c r="R59" s="510"/>
      <c r="S59" s="510"/>
      <c r="T59" s="510"/>
      <c r="U59" s="510"/>
      <c r="V59" s="513"/>
      <c r="W59" s="582"/>
      <c r="X59" s="507"/>
      <c r="Y59" s="507"/>
      <c r="Z59" s="507"/>
    </row>
    <row r="60" ht="18.75" customHeight="1">
      <c r="A60" s="507"/>
      <c r="B60" s="508"/>
      <c r="C60" s="508"/>
      <c r="D60" s="508"/>
      <c r="E60" s="508"/>
      <c r="F60" s="515"/>
      <c r="G60" s="515"/>
      <c r="H60" s="508"/>
      <c r="I60" s="521"/>
      <c r="J60" s="521"/>
      <c r="K60" s="510"/>
      <c r="L60" s="510"/>
      <c r="M60" s="510"/>
      <c r="N60" s="510"/>
      <c r="O60" s="507"/>
      <c r="P60" s="507"/>
      <c r="Q60" s="507"/>
      <c r="R60" s="510"/>
      <c r="S60" s="510"/>
      <c r="T60" s="510"/>
      <c r="U60" s="510"/>
      <c r="V60" s="513"/>
      <c r="W60" s="582"/>
      <c r="X60" s="507"/>
      <c r="Y60" s="507"/>
      <c r="Z60" s="507"/>
    </row>
    <row r="61" ht="18.75" customHeight="1">
      <c r="A61" s="507"/>
      <c r="B61" s="508"/>
      <c r="C61" s="508"/>
      <c r="D61" s="508"/>
      <c r="E61" s="508"/>
      <c r="F61" s="515"/>
      <c r="G61" s="515"/>
      <c r="H61" s="508"/>
      <c r="I61" s="521"/>
      <c r="J61" s="521"/>
      <c r="K61" s="510"/>
      <c r="L61" s="510"/>
      <c r="M61" s="510"/>
      <c r="N61" s="510"/>
      <c r="O61" s="507"/>
      <c r="P61" s="507"/>
      <c r="Q61" s="507"/>
      <c r="R61" s="510"/>
      <c r="S61" s="510"/>
      <c r="T61" s="510"/>
      <c r="U61" s="510"/>
      <c r="V61" s="513"/>
      <c r="W61" s="582"/>
      <c r="X61" s="507"/>
      <c r="Y61" s="507"/>
      <c r="Z61" s="507"/>
    </row>
    <row r="62" ht="18.75" customHeight="1">
      <c r="A62" s="507"/>
      <c r="B62" s="508"/>
      <c r="C62" s="508"/>
      <c r="D62" s="508"/>
      <c r="E62" s="508"/>
      <c r="F62" s="515"/>
      <c r="G62" s="515"/>
      <c r="H62" s="508"/>
      <c r="I62" s="521"/>
      <c r="J62" s="521"/>
      <c r="K62" s="510"/>
      <c r="L62" s="510"/>
      <c r="M62" s="510"/>
      <c r="N62" s="510"/>
      <c r="O62" s="507"/>
      <c r="P62" s="507"/>
      <c r="Q62" s="507"/>
      <c r="R62" s="510"/>
      <c r="S62" s="510"/>
      <c r="T62" s="510"/>
      <c r="U62" s="510"/>
      <c r="V62" s="513"/>
      <c r="W62" s="582"/>
      <c r="X62" s="507"/>
      <c r="Y62" s="507"/>
      <c r="Z62" s="507"/>
    </row>
    <row r="63" ht="18.75" customHeight="1">
      <c r="A63" s="507"/>
      <c r="B63" s="508"/>
      <c r="C63" s="508"/>
      <c r="D63" s="508"/>
      <c r="E63" s="508"/>
      <c r="F63" s="515"/>
      <c r="G63" s="515"/>
      <c r="H63" s="508"/>
      <c r="I63" s="521"/>
      <c r="J63" s="521"/>
      <c r="K63" s="510"/>
      <c r="L63" s="510"/>
      <c r="M63" s="510"/>
      <c r="N63" s="510"/>
      <c r="O63" s="507"/>
      <c r="P63" s="507"/>
      <c r="Q63" s="507"/>
      <c r="R63" s="510"/>
      <c r="S63" s="510"/>
      <c r="T63" s="510"/>
      <c r="U63" s="510"/>
      <c r="V63" s="513"/>
      <c r="W63" s="582"/>
      <c r="X63" s="507"/>
      <c r="Y63" s="507"/>
      <c r="Z63" s="507"/>
    </row>
    <row r="64" ht="18.75" customHeight="1">
      <c r="A64" s="507"/>
      <c r="B64" s="508"/>
      <c r="C64" s="508"/>
      <c r="D64" s="508"/>
      <c r="E64" s="508"/>
      <c r="F64" s="515"/>
      <c r="G64" s="515"/>
      <c r="H64" s="508"/>
      <c r="I64" s="521"/>
      <c r="J64" s="521"/>
      <c r="K64" s="510"/>
      <c r="L64" s="510"/>
      <c r="M64" s="510"/>
      <c r="N64" s="510"/>
      <c r="O64" s="507"/>
      <c r="P64" s="507"/>
      <c r="Q64" s="507"/>
      <c r="R64" s="510"/>
      <c r="S64" s="510"/>
      <c r="T64" s="510"/>
      <c r="U64" s="510"/>
      <c r="V64" s="513"/>
      <c r="W64" s="582"/>
      <c r="X64" s="507"/>
      <c r="Y64" s="507"/>
      <c r="Z64" s="507"/>
    </row>
    <row r="65" ht="18.75" customHeight="1">
      <c r="A65" s="507"/>
      <c r="B65" s="508"/>
      <c r="C65" s="508"/>
      <c r="D65" s="508"/>
      <c r="E65" s="508"/>
      <c r="F65" s="515"/>
      <c r="G65" s="515"/>
      <c r="H65" s="508"/>
      <c r="I65" s="521"/>
      <c r="J65" s="521"/>
      <c r="K65" s="510"/>
      <c r="L65" s="510"/>
      <c r="M65" s="510"/>
      <c r="N65" s="510"/>
      <c r="O65" s="507"/>
      <c r="P65" s="507"/>
      <c r="Q65" s="507"/>
      <c r="R65" s="510"/>
      <c r="S65" s="510"/>
      <c r="T65" s="510"/>
      <c r="U65" s="510"/>
      <c r="V65" s="513"/>
      <c r="W65" s="582"/>
      <c r="X65" s="507"/>
      <c r="Y65" s="507"/>
      <c r="Z65" s="507"/>
    </row>
    <row r="66" ht="18.75" customHeight="1">
      <c r="A66" s="507"/>
      <c r="B66" s="508"/>
      <c r="C66" s="508"/>
      <c r="D66" s="508"/>
      <c r="E66" s="508"/>
      <c r="F66" s="515"/>
      <c r="G66" s="515"/>
      <c r="H66" s="508"/>
      <c r="I66" s="521"/>
      <c r="J66" s="521"/>
      <c r="K66" s="510"/>
      <c r="L66" s="510"/>
      <c r="M66" s="510"/>
      <c r="N66" s="510"/>
      <c r="O66" s="507"/>
      <c r="P66" s="507"/>
      <c r="Q66" s="507"/>
      <c r="R66" s="510"/>
      <c r="S66" s="510"/>
      <c r="T66" s="510"/>
      <c r="U66" s="510"/>
      <c r="V66" s="513"/>
      <c r="W66" s="582"/>
      <c r="X66" s="507"/>
      <c r="Y66" s="507"/>
      <c r="Z66" s="507"/>
    </row>
    <row r="67" ht="18.75" customHeight="1">
      <c r="A67" s="507"/>
      <c r="B67" s="508"/>
      <c r="C67" s="508"/>
      <c r="D67" s="508"/>
      <c r="E67" s="508"/>
      <c r="F67" s="515"/>
      <c r="G67" s="515"/>
      <c r="H67" s="508"/>
      <c r="I67" s="521"/>
      <c r="J67" s="521"/>
      <c r="K67" s="510"/>
      <c r="L67" s="510"/>
      <c r="M67" s="510"/>
      <c r="N67" s="510"/>
      <c r="O67" s="507"/>
      <c r="P67" s="507"/>
      <c r="Q67" s="507"/>
      <c r="R67" s="510"/>
      <c r="S67" s="510"/>
      <c r="T67" s="510"/>
      <c r="U67" s="510"/>
      <c r="V67" s="513"/>
      <c r="W67" s="582"/>
      <c r="X67" s="507"/>
      <c r="Y67" s="507"/>
      <c r="Z67" s="507"/>
    </row>
    <row r="68" ht="18.75" customHeight="1">
      <c r="A68" s="507"/>
      <c r="B68" s="508"/>
      <c r="C68" s="508"/>
      <c r="D68" s="508"/>
      <c r="E68" s="508"/>
      <c r="F68" s="515"/>
      <c r="G68" s="515"/>
      <c r="H68" s="508"/>
      <c r="I68" s="521"/>
      <c r="J68" s="521"/>
      <c r="K68" s="510"/>
      <c r="L68" s="510"/>
      <c r="M68" s="510"/>
      <c r="N68" s="510"/>
      <c r="O68" s="507"/>
      <c r="P68" s="507"/>
      <c r="Q68" s="507"/>
      <c r="R68" s="510"/>
      <c r="S68" s="510"/>
      <c r="T68" s="510"/>
      <c r="U68" s="510"/>
      <c r="V68" s="513"/>
      <c r="W68" s="582"/>
      <c r="X68" s="507"/>
      <c r="Y68" s="507"/>
      <c r="Z68" s="507"/>
    </row>
    <row r="69" ht="18.75" customHeight="1">
      <c r="A69" s="507"/>
      <c r="B69" s="508"/>
      <c r="C69" s="508"/>
      <c r="D69" s="508"/>
      <c r="E69" s="508"/>
      <c r="F69" s="515"/>
      <c r="G69" s="515"/>
      <c r="H69" s="508"/>
      <c r="I69" s="521"/>
      <c r="J69" s="521"/>
      <c r="K69" s="510"/>
      <c r="L69" s="510"/>
      <c r="M69" s="510"/>
      <c r="N69" s="510"/>
      <c r="O69" s="507"/>
      <c r="P69" s="507"/>
      <c r="Q69" s="507"/>
      <c r="R69" s="510"/>
      <c r="S69" s="510"/>
      <c r="T69" s="510"/>
      <c r="U69" s="510"/>
      <c r="V69" s="513"/>
      <c r="W69" s="582"/>
      <c r="X69" s="507"/>
      <c r="Y69" s="507"/>
      <c r="Z69" s="507"/>
    </row>
    <row r="70" ht="18.75" customHeight="1">
      <c r="A70" s="507"/>
      <c r="B70" s="508"/>
      <c r="C70" s="508"/>
      <c r="D70" s="508"/>
      <c r="E70" s="508"/>
      <c r="F70" s="515"/>
      <c r="G70" s="515"/>
      <c r="H70" s="508"/>
      <c r="I70" s="521"/>
      <c r="J70" s="521"/>
      <c r="K70" s="510"/>
      <c r="L70" s="510"/>
      <c r="M70" s="510"/>
      <c r="N70" s="510"/>
      <c r="O70" s="507"/>
      <c r="P70" s="507"/>
      <c r="Q70" s="507"/>
      <c r="R70" s="510"/>
      <c r="S70" s="510"/>
      <c r="T70" s="510"/>
      <c r="U70" s="510"/>
      <c r="V70" s="513"/>
      <c r="W70" s="582"/>
      <c r="X70" s="507"/>
      <c r="Y70" s="507"/>
      <c r="Z70" s="507"/>
    </row>
    <row r="71" ht="18.75" customHeight="1">
      <c r="A71" s="507"/>
      <c r="B71" s="508"/>
      <c r="C71" s="508"/>
      <c r="D71" s="508"/>
      <c r="E71" s="508"/>
      <c r="F71" s="515"/>
      <c r="G71" s="515"/>
      <c r="H71" s="508"/>
      <c r="I71" s="521"/>
      <c r="J71" s="521"/>
      <c r="K71" s="510"/>
      <c r="L71" s="510"/>
      <c r="M71" s="510"/>
      <c r="N71" s="510"/>
      <c r="O71" s="507"/>
      <c r="P71" s="507"/>
      <c r="Q71" s="507"/>
      <c r="R71" s="510"/>
      <c r="S71" s="510"/>
      <c r="T71" s="510"/>
      <c r="U71" s="510"/>
      <c r="V71" s="513"/>
      <c r="W71" s="582"/>
      <c r="X71" s="507"/>
      <c r="Y71" s="507"/>
      <c r="Z71" s="507"/>
    </row>
    <row r="72" ht="18.75" customHeight="1">
      <c r="A72" s="507"/>
      <c r="B72" s="508"/>
      <c r="C72" s="508"/>
      <c r="D72" s="508"/>
      <c r="E72" s="508"/>
      <c r="F72" s="515"/>
      <c r="G72" s="515"/>
      <c r="H72" s="508"/>
      <c r="I72" s="521"/>
      <c r="J72" s="521"/>
      <c r="K72" s="510"/>
      <c r="L72" s="510"/>
      <c r="M72" s="510"/>
      <c r="N72" s="510"/>
      <c r="O72" s="507"/>
      <c r="P72" s="507"/>
      <c r="Q72" s="507"/>
      <c r="R72" s="510"/>
      <c r="S72" s="510"/>
      <c r="T72" s="510"/>
      <c r="U72" s="510"/>
      <c r="V72" s="513"/>
      <c r="W72" s="582"/>
      <c r="X72" s="507"/>
      <c r="Y72" s="507"/>
      <c r="Z72" s="507"/>
    </row>
    <row r="73" ht="18.75" customHeight="1">
      <c r="A73" s="507"/>
      <c r="B73" s="508"/>
      <c r="C73" s="508"/>
      <c r="D73" s="508"/>
      <c r="E73" s="508"/>
      <c r="F73" s="515"/>
      <c r="G73" s="515"/>
      <c r="H73" s="508"/>
      <c r="I73" s="521"/>
      <c r="J73" s="521"/>
      <c r="K73" s="510"/>
      <c r="L73" s="510"/>
      <c r="M73" s="510"/>
      <c r="N73" s="510"/>
      <c r="O73" s="507"/>
      <c r="P73" s="507"/>
      <c r="Q73" s="507"/>
      <c r="R73" s="510"/>
      <c r="S73" s="510"/>
      <c r="T73" s="510"/>
      <c r="U73" s="510"/>
      <c r="V73" s="513"/>
      <c r="W73" s="582"/>
      <c r="X73" s="507"/>
      <c r="Y73" s="507"/>
      <c r="Z73" s="507"/>
    </row>
    <row r="74" ht="18.75" customHeight="1">
      <c r="A74" s="507"/>
      <c r="B74" s="508"/>
      <c r="C74" s="508"/>
      <c r="D74" s="508"/>
      <c r="E74" s="508"/>
      <c r="F74" s="515"/>
      <c r="G74" s="515"/>
      <c r="H74" s="508"/>
      <c r="I74" s="521"/>
      <c r="J74" s="521"/>
      <c r="K74" s="510"/>
      <c r="L74" s="510"/>
      <c r="M74" s="510"/>
      <c r="N74" s="510"/>
      <c r="O74" s="507"/>
      <c r="P74" s="507"/>
      <c r="Q74" s="507"/>
      <c r="R74" s="510"/>
      <c r="S74" s="510"/>
      <c r="T74" s="510"/>
      <c r="U74" s="510"/>
      <c r="V74" s="513"/>
      <c r="W74" s="582"/>
      <c r="X74" s="507"/>
      <c r="Y74" s="507"/>
      <c r="Z74" s="507"/>
    </row>
    <row r="75" ht="18.75" customHeight="1">
      <c r="A75" s="507"/>
      <c r="B75" s="508"/>
      <c r="C75" s="508"/>
      <c r="D75" s="508"/>
      <c r="E75" s="508"/>
      <c r="F75" s="515"/>
      <c r="G75" s="515"/>
      <c r="H75" s="508"/>
      <c r="I75" s="521"/>
      <c r="J75" s="521"/>
      <c r="K75" s="510"/>
      <c r="L75" s="510"/>
      <c r="M75" s="510"/>
      <c r="N75" s="510"/>
      <c r="O75" s="507"/>
      <c r="P75" s="507"/>
      <c r="Q75" s="507"/>
      <c r="R75" s="510"/>
      <c r="S75" s="510"/>
      <c r="T75" s="510"/>
      <c r="U75" s="510"/>
      <c r="V75" s="513"/>
      <c r="W75" s="582"/>
      <c r="X75" s="507"/>
      <c r="Y75" s="507"/>
      <c r="Z75" s="507"/>
    </row>
    <row r="76" ht="18.75" customHeight="1">
      <c r="A76" s="507"/>
      <c r="B76" s="508"/>
      <c r="C76" s="508"/>
      <c r="D76" s="508"/>
      <c r="E76" s="508"/>
      <c r="F76" s="515"/>
      <c r="G76" s="515"/>
      <c r="H76" s="508"/>
      <c r="I76" s="521"/>
      <c r="J76" s="521"/>
      <c r="K76" s="510"/>
      <c r="L76" s="510"/>
      <c r="M76" s="510"/>
      <c r="N76" s="510"/>
      <c r="O76" s="507"/>
      <c r="P76" s="507"/>
      <c r="Q76" s="507"/>
      <c r="R76" s="510"/>
      <c r="S76" s="510"/>
      <c r="T76" s="510"/>
      <c r="U76" s="510"/>
      <c r="V76" s="513"/>
      <c r="W76" s="582"/>
      <c r="X76" s="507"/>
      <c r="Y76" s="507"/>
      <c r="Z76" s="507"/>
    </row>
    <row r="77" ht="18.75" customHeight="1">
      <c r="A77" s="507"/>
      <c r="B77" s="508"/>
      <c r="C77" s="508"/>
      <c r="D77" s="508"/>
      <c r="E77" s="508"/>
      <c r="F77" s="515"/>
      <c r="G77" s="515"/>
      <c r="H77" s="508"/>
      <c r="I77" s="521"/>
      <c r="J77" s="521"/>
      <c r="K77" s="510"/>
      <c r="L77" s="510"/>
      <c r="M77" s="510"/>
      <c r="N77" s="510"/>
      <c r="O77" s="507"/>
      <c r="P77" s="507"/>
      <c r="Q77" s="507"/>
      <c r="R77" s="510"/>
      <c r="S77" s="510"/>
      <c r="T77" s="510"/>
      <c r="U77" s="510"/>
      <c r="V77" s="513"/>
      <c r="W77" s="582"/>
      <c r="X77" s="507"/>
      <c r="Y77" s="507"/>
      <c r="Z77" s="507"/>
    </row>
    <row r="78" ht="18.75" customHeight="1">
      <c r="A78" s="507"/>
      <c r="B78" s="508"/>
      <c r="C78" s="508"/>
      <c r="D78" s="508"/>
      <c r="E78" s="508"/>
      <c r="F78" s="515"/>
      <c r="G78" s="515"/>
      <c r="H78" s="508"/>
      <c r="I78" s="521"/>
      <c r="J78" s="521"/>
      <c r="K78" s="510"/>
      <c r="L78" s="510"/>
      <c r="M78" s="510"/>
      <c r="N78" s="510"/>
      <c r="O78" s="507"/>
      <c r="P78" s="507"/>
      <c r="Q78" s="507"/>
      <c r="R78" s="510"/>
      <c r="S78" s="510"/>
      <c r="T78" s="510"/>
      <c r="U78" s="510"/>
      <c r="V78" s="513"/>
      <c r="W78" s="582"/>
      <c r="X78" s="507"/>
      <c r="Y78" s="507"/>
      <c r="Z78" s="507"/>
    </row>
    <row r="79" ht="18.75" customHeight="1">
      <c r="A79" s="507"/>
      <c r="B79" s="508"/>
      <c r="C79" s="508"/>
      <c r="D79" s="508"/>
      <c r="E79" s="508"/>
      <c r="F79" s="515"/>
      <c r="G79" s="515"/>
      <c r="H79" s="508"/>
      <c r="I79" s="521"/>
      <c r="J79" s="521"/>
      <c r="K79" s="510"/>
      <c r="L79" s="510"/>
      <c r="M79" s="510"/>
      <c r="N79" s="510"/>
      <c r="O79" s="507"/>
      <c r="P79" s="507"/>
      <c r="Q79" s="507"/>
      <c r="R79" s="510"/>
      <c r="S79" s="510"/>
      <c r="T79" s="510"/>
      <c r="U79" s="510"/>
      <c r="V79" s="513"/>
      <c r="W79" s="582"/>
      <c r="X79" s="507"/>
      <c r="Y79" s="507"/>
      <c r="Z79" s="507"/>
    </row>
    <row r="80" ht="18.75" customHeight="1">
      <c r="A80" s="507"/>
      <c r="B80" s="508"/>
      <c r="C80" s="508"/>
      <c r="D80" s="508"/>
      <c r="E80" s="508"/>
      <c r="F80" s="515"/>
      <c r="G80" s="515"/>
      <c r="H80" s="508"/>
      <c r="I80" s="521"/>
      <c r="J80" s="521"/>
      <c r="K80" s="510"/>
      <c r="L80" s="510"/>
      <c r="M80" s="510"/>
      <c r="N80" s="510"/>
      <c r="O80" s="507"/>
      <c r="P80" s="507"/>
      <c r="Q80" s="507"/>
      <c r="R80" s="510"/>
      <c r="S80" s="510"/>
      <c r="T80" s="510"/>
      <c r="U80" s="510"/>
      <c r="V80" s="513"/>
      <c r="W80" s="582"/>
      <c r="X80" s="507"/>
      <c r="Y80" s="507"/>
      <c r="Z80" s="507"/>
    </row>
    <row r="81" ht="18.75" customHeight="1">
      <c r="A81" s="507"/>
      <c r="B81" s="508"/>
      <c r="C81" s="508"/>
      <c r="D81" s="508"/>
      <c r="E81" s="508"/>
      <c r="F81" s="515"/>
      <c r="G81" s="515"/>
      <c r="H81" s="508"/>
      <c r="I81" s="521"/>
      <c r="J81" s="521"/>
      <c r="K81" s="510"/>
      <c r="L81" s="510"/>
      <c r="M81" s="510"/>
      <c r="N81" s="510"/>
      <c r="O81" s="507"/>
      <c r="P81" s="507"/>
      <c r="Q81" s="507"/>
      <c r="R81" s="510"/>
      <c r="S81" s="510"/>
      <c r="T81" s="510"/>
      <c r="U81" s="510"/>
      <c r="V81" s="513"/>
      <c r="W81" s="582"/>
      <c r="X81" s="507"/>
      <c r="Y81" s="507"/>
      <c r="Z81" s="507"/>
    </row>
    <row r="82" ht="18.75" customHeight="1">
      <c r="A82" s="507"/>
      <c r="B82" s="508"/>
      <c r="C82" s="508"/>
      <c r="D82" s="508"/>
      <c r="E82" s="508"/>
      <c r="F82" s="515"/>
      <c r="G82" s="515"/>
      <c r="H82" s="508"/>
      <c r="I82" s="521"/>
      <c r="J82" s="521"/>
      <c r="K82" s="510"/>
      <c r="L82" s="510"/>
      <c r="M82" s="510"/>
      <c r="N82" s="510"/>
      <c r="O82" s="507"/>
      <c r="P82" s="507"/>
      <c r="Q82" s="507"/>
      <c r="R82" s="510"/>
      <c r="S82" s="510"/>
      <c r="T82" s="510"/>
      <c r="U82" s="510"/>
      <c r="V82" s="513"/>
      <c r="W82" s="582"/>
      <c r="X82" s="507"/>
      <c r="Y82" s="507"/>
      <c r="Z82" s="507"/>
    </row>
    <row r="83" ht="18.75" customHeight="1">
      <c r="A83" s="507"/>
      <c r="B83" s="508"/>
      <c r="C83" s="508"/>
      <c r="D83" s="508"/>
      <c r="E83" s="508"/>
      <c r="F83" s="515"/>
      <c r="G83" s="515"/>
      <c r="H83" s="508"/>
      <c r="I83" s="521"/>
      <c r="J83" s="521"/>
      <c r="K83" s="510"/>
      <c r="L83" s="510"/>
      <c r="M83" s="510"/>
      <c r="N83" s="510"/>
      <c r="O83" s="507"/>
      <c r="P83" s="507"/>
      <c r="Q83" s="507"/>
      <c r="R83" s="510"/>
      <c r="S83" s="510"/>
      <c r="T83" s="510"/>
      <c r="U83" s="510"/>
      <c r="V83" s="513"/>
      <c r="W83" s="582"/>
      <c r="X83" s="507"/>
      <c r="Y83" s="507"/>
      <c r="Z83" s="507"/>
    </row>
    <row r="84" ht="18.75" customHeight="1">
      <c r="A84" s="507"/>
      <c r="B84" s="508"/>
      <c r="C84" s="508"/>
      <c r="D84" s="508"/>
      <c r="E84" s="508"/>
      <c r="F84" s="515"/>
      <c r="G84" s="515"/>
      <c r="H84" s="508"/>
      <c r="I84" s="521"/>
      <c r="J84" s="521"/>
      <c r="K84" s="510"/>
      <c r="L84" s="510"/>
      <c r="M84" s="510"/>
      <c r="N84" s="510"/>
      <c r="O84" s="507"/>
      <c r="P84" s="507"/>
      <c r="Q84" s="507"/>
      <c r="R84" s="510"/>
      <c r="S84" s="510"/>
      <c r="T84" s="510"/>
      <c r="U84" s="510"/>
      <c r="V84" s="513"/>
      <c r="W84" s="582"/>
      <c r="X84" s="507"/>
      <c r="Y84" s="507"/>
      <c r="Z84" s="507"/>
    </row>
    <row r="85" ht="18.75" customHeight="1">
      <c r="A85" s="507"/>
      <c r="B85" s="508"/>
      <c r="C85" s="508"/>
      <c r="D85" s="508"/>
      <c r="E85" s="508"/>
      <c r="F85" s="515"/>
      <c r="G85" s="515"/>
      <c r="H85" s="508"/>
      <c r="I85" s="521"/>
      <c r="J85" s="521"/>
      <c r="K85" s="510"/>
      <c r="L85" s="510"/>
      <c r="M85" s="510"/>
      <c r="N85" s="510"/>
      <c r="O85" s="507"/>
      <c r="P85" s="507"/>
      <c r="Q85" s="507"/>
      <c r="R85" s="510"/>
      <c r="S85" s="510"/>
      <c r="T85" s="510"/>
      <c r="U85" s="510"/>
      <c r="V85" s="513"/>
      <c r="W85" s="582"/>
      <c r="X85" s="507"/>
      <c r="Y85" s="507"/>
      <c r="Z85" s="507"/>
    </row>
    <row r="86" ht="18.75" customHeight="1">
      <c r="A86" s="507"/>
      <c r="B86" s="508"/>
      <c r="C86" s="508"/>
      <c r="D86" s="508"/>
      <c r="E86" s="508"/>
      <c r="F86" s="515"/>
      <c r="G86" s="515"/>
      <c r="H86" s="508"/>
      <c r="I86" s="521"/>
      <c r="J86" s="521"/>
      <c r="K86" s="510"/>
      <c r="L86" s="510"/>
      <c r="M86" s="510"/>
      <c r="N86" s="510"/>
      <c r="O86" s="507"/>
      <c r="P86" s="507"/>
      <c r="Q86" s="507"/>
      <c r="R86" s="510"/>
      <c r="S86" s="510"/>
      <c r="T86" s="510"/>
      <c r="U86" s="510"/>
      <c r="V86" s="513"/>
      <c r="W86" s="582"/>
      <c r="X86" s="507"/>
      <c r="Y86" s="507"/>
      <c r="Z86" s="507"/>
    </row>
    <row r="87" ht="18.75" customHeight="1">
      <c r="A87" s="507"/>
      <c r="B87" s="508"/>
      <c r="C87" s="508"/>
      <c r="D87" s="508"/>
      <c r="E87" s="508"/>
      <c r="F87" s="515"/>
      <c r="G87" s="515"/>
      <c r="H87" s="508"/>
      <c r="I87" s="521"/>
      <c r="J87" s="521"/>
      <c r="K87" s="510"/>
      <c r="L87" s="510"/>
      <c r="M87" s="510"/>
      <c r="N87" s="510"/>
      <c r="O87" s="507"/>
      <c r="P87" s="507"/>
      <c r="Q87" s="507"/>
      <c r="R87" s="510"/>
      <c r="S87" s="510"/>
      <c r="T87" s="510"/>
      <c r="U87" s="510"/>
      <c r="V87" s="513"/>
      <c r="W87" s="582"/>
      <c r="X87" s="507"/>
      <c r="Y87" s="507"/>
      <c r="Z87" s="507"/>
    </row>
    <row r="88" ht="18.75" customHeight="1">
      <c r="A88" s="507"/>
      <c r="B88" s="508"/>
      <c r="C88" s="508"/>
      <c r="D88" s="508"/>
      <c r="E88" s="508"/>
      <c r="F88" s="515"/>
      <c r="G88" s="515"/>
      <c r="H88" s="508"/>
      <c r="I88" s="521"/>
      <c r="J88" s="521"/>
      <c r="K88" s="510"/>
      <c r="L88" s="510"/>
      <c r="M88" s="510"/>
      <c r="N88" s="510"/>
      <c r="O88" s="507"/>
      <c r="P88" s="507"/>
      <c r="Q88" s="507"/>
      <c r="R88" s="510"/>
      <c r="S88" s="510"/>
      <c r="T88" s="510"/>
      <c r="U88" s="510"/>
      <c r="V88" s="513"/>
      <c r="W88" s="582"/>
      <c r="X88" s="507"/>
      <c r="Y88" s="507"/>
      <c r="Z88" s="507"/>
    </row>
    <row r="89" ht="18.75" customHeight="1">
      <c r="A89" s="507"/>
      <c r="B89" s="508"/>
      <c r="C89" s="508"/>
      <c r="D89" s="508"/>
      <c r="E89" s="508"/>
      <c r="F89" s="515"/>
      <c r="G89" s="515"/>
      <c r="H89" s="508"/>
      <c r="I89" s="521"/>
      <c r="J89" s="521"/>
      <c r="K89" s="510"/>
      <c r="L89" s="510"/>
      <c r="M89" s="510"/>
      <c r="N89" s="510"/>
      <c r="O89" s="507"/>
      <c r="P89" s="507"/>
      <c r="Q89" s="507"/>
      <c r="R89" s="510"/>
      <c r="S89" s="510"/>
      <c r="T89" s="510"/>
      <c r="U89" s="510"/>
      <c r="V89" s="513"/>
      <c r="W89" s="582"/>
      <c r="X89" s="507"/>
      <c r="Y89" s="507"/>
      <c r="Z89" s="507"/>
    </row>
    <row r="90" ht="18.75" customHeight="1">
      <c r="A90" s="507"/>
      <c r="B90" s="508"/>
      <c r="C90" s="508"/>
      <c r="D90" s="508"/>
      <c r="E90" s="508"/>
      <c r="F90" s="515"/>
      <c r="G90" s="515"/>
      <c r="H90" s="508"/>
      <c r="I90" s="521"/>
      <c r="J90" s="521"/>
      <c r="K90" s="510"/>
      <c r="L90" s="510"/>
      <c r="M90" s="510"/>
      <c r="N90" s="510"/>
      <c r="O90" s="507"/>
      <c r="P90" s="507"/>
      <c r="Q90" s="507"/>
      <c r="R90" s="510"/>
      <c r="S90" s="510"/>
      <c r="T90" s="510"/>
      <c r="U90" s="510"/>
      <c r="V90" s="513"/>
      <c r="W90" s="582"/>
      <c r="X90" s="507"/>
      <c r="Y90" s="507"/>
      <c r="Z90" s="507"/>
    </row>
    <row r="91" ht="18.75" customHeight="1">
      <c r="A91" s="507"/>
      <c r="B91" s="508"/>
      <c r="C91" s="508"/>
      <c r="D91" s="508"/>
      <c r="E91" s="508"/>
      <c r="F91" s="515"/>
      <c r="G91" s="515"/>
      <c r="H91" s="508"/>
      <c r="I91" s="521"/>
      <c r="J91" s="521"/>
      <c r="K91" s="510"/>
      <c r="L91" s="510"/>
      <c r="M91" s="510"/>
      <c r="N91" s="510"/>
      <c r="O91" s="507"/>
      <c r="P91" s="507"/>
      <c r="Q91" s="507"/>
      <c r="R91" s="510"/>
      <c r="S91" s="510"/>
      <c r="T91" s="510"/>
      <c r="U91" s="510"/>
      <c r="V91" s="513"/>
      <c r="W91" s="582"/>
      <c r="X91" s="507"/>
      <c r="Y91" s="507"/>
      <c r="Z91" s="507"/>
    </row>
    <row r="92" ht="18.75" customHeight="1">
      <c r="A92" s="507"/>
      <c r="B92" s="508"/>
      <c r="C92" s="508"/>
      <c r="D92" s="508"/>
      <c r="E92" s="508"/>
      <c r="F92" s="515"/>
      <c r="G92" s="515"/>
      <c r="H92" s="508"/>
      <c r="I92" s="521"/>
      <c r="J92" s="521"/>
      <c r="K92" s="510"/>
      <c r="L92" s="510"/>
      <c r="M92" s="510"/>
      <c r="N92" s="510"/>
      <c r="O92" s="507"/>
      <c r="P92" s="507"/>
      <c r="Q92" s="507"/>
      <c r="R92" s="510"/>
      <c r="S92" s="510"/>
      <c r="T92" s="510"/>
      <c r="U92" s="510"/>
      <c r="V92" s="513"/>
      <c r="W92" s="582"/>
      <c r="X92" s="507"/>
      <c r="Y92" s="507"/>
      <c r="Z92" s="507"/>
    </row>
    <row r="93" ht="18.75" customHeight="1">
      <c r="A93" s="507"/>
      <c r="B93" s="508"/>
      <c r="C93" s="508"/>
      <c r="D93" s="508"/>
      <c r="E93" s="508"/>
      <c r="F93" s="515"/>
      <c r="G93" s="515"/>
      <c r="H93" s="508"/>
      <c r="I93" s="521"/>
      <c r="J93" s="521"/>
      <c r="K93" s="510"/>
      <c r="L93" s="510"/>
      <c r="M93" s="510"/>
      <c r="N93" s="510"/>
      <c r="O93" s="507"/>
      <c r="P93" s="507"/>
      <c r="Q93" s="507"/>
      <c r="R93" s="510"/>
      <c r="S93" s="510"/>
      <c r="T93" s="510"/>
      <c r="U93" s="510"/>
      <c r="V93" s="513"/>
      <c r="W93" s="582"/>
      <c r="X93" s="507"/>
      <c r="Y93" s="507"/>
      <c r="Z93" s="507"/>
    </row>
    <row r="94" ht="18.75" customHeight="1">
      <c r="A94" s="507"/>
      <c r="B94" s="508"/>
      <c r="C94" s="508"/>
      <c r="D94" s="508"/>
      <c r="E94" s="508"/>
      <c r="F94" s="515"/>
      <c r="G94" s="515"/>
      <c r="H94" s="508"/>
      <c r="I94" s="521"/>
      <c r="J94" s="521"/>
      <c r="K94" s="510"/>
      <c r="L94" s="510"/>
      <c r="M94" s="510"/>
      <c r="N94" s="510"/>
      <c r="O94" s="507"/>
      <c r="P94" s="507"/>
      <c r="Q94" s="507"/>
      <c r="R94" s="510"/>
      <c r="S94" s="510"/>
      <c r="T94" s="510"/>
      <c r="U94" s="510"/>
      <c r="V94" s="513"/>
      <c r="W94" s="582"/>
      <c r="X94" s="507"/>
      <c r="Y94" s="507"/>
      <c r="Z94" s="507"/>
    </row>
    <row r="95" ht="18.75" customHeight="1">
      <c r="A95" s="507"/>
      <c r="B95" s="508"/>
      <c r="C95" s="508"/>
      <c r="D95" s="508"/>
      <c r="E95" s="508"/>
      <c r="F95" s="515"/>
      <c r="G95" s="515"/>
      <c r="H95" s="508"/>
      <c r="I95" s="521"/>
      <c r="J95" s="521"/>
      <c r="K95" s="510"/>
      <c r="L95" s="510"/>
      <c r="M95" s="510"/>
      <c r="N95" s="510"/>
      <c r="O95" s="507"/>
      <c r="P95" s="507"/>
      <c r="Q95" s="507"/>
      <c r="R95" s="510"/>
      <c r="S95" s="510"/>
      <c r="T95" s="510"/>
      <c r="U95" s="510"/>
      <c r="V95" s="513"/>
      <c r="W95" s="582"/>
      <c r="X95" s="507"/>
      <c r="Y95" s="507"/>
      <c r="Z95" s="507"/>
    </row>
    <row r="96" ht="18.75" customHeight="1">
      <c r="A96" s="507"/>
      <c r="B96" s="508"/>
      <c r="C96" s="508"/>
      <c r="D96" s="508"/>
      <c r="E96" s="508"/>
      <c r="F96" s="515"/>
      <c r="G96" s="515"/>
      <c r="H96" s="508"/>
      <c r="I96" s="521"/>
      <c r="J96" s="521"/>
      <c r="K96" s="510"/>
      <c r="L96" s="510"/>
      <c r="M96" s="510"/>
      <c r="N96" s="510"/>
      <c r="O96" s="507"/>
      <c r="P96" s="507"/>
      <c r="Q96" s="507"/>
      <c r="R96" s="510"/>
      <c r="S96" s="510"/>
      <c r="T96" s="510"/>
      <c r="U96" s="510"/>
      <c r="V96" s="513"/>
      <c r="W96" s="582"/>
      <c r="X96" s="507"/>
      <c r="Y96" s="507"/>
      <c r="Z96" s="507"/>
    </row>
    <row r="97" ht="18.75" customHeight="1">
      <c r="A97" s="507"/>
      <c r="B97" s="508"/>
      <c r="C97" s="508"/>
      <c r="D97" s="508"/>
      <c r="E97" s="508"/>
      <c r="F97" s="515"/>
      <c r="G97" s="515"/>
      <c r="H97" s="508"/>
      <c r="I97" s="521"/>
      <c r="J97" s="521"/>
      <c r="K97" s="510"/>
      <c r="L97" s="510"/>
      <c r="M97" s="510"/>
      <c r="N97" s="510"/>
      <c r="O97" s="507"/>
      <c r="P97" s="507"/>
      <c r="Q97" s="507"/>
      <c r="R97" s="510"/>
      <c r="S97" s="510"/>
      <c r="T97" s="510"/>
      <c r="U97" s="510"/>
      <c r="V97" s="513"/>
      <c r="W97" s="582"/>
      <c r="X97" s="507"/>
      <c r="Y97" s="507"/>
      <c r="Z97" s="507"/>
    </row>
    <row r="98" ht="18.75" customHeight="1">
      <c r="A98" s="507"/>
      <c r="B98" s="508"/>
      <c r="C98" s="508"/>
      <c r="D98" s="508"/>
      <c r="E98" s="508"/>
      <c r="F98" s="515"/>
      <c r="G98" s="515"/>
      <c r="H98" s="508"/>
      <c r="I98" s="521"/>
      <c r="J98" s="521"/>
      <c r="K98" s="510"/>
      <c r="L98" s="510"/>
      <c r="M98" s="510"/>
      <c r="N98" s="510"/>
      <c r="O98" s="507"/>
      <c r="P98" s="507"/>
      <c r="Q98" s="507"/>
      <c r="R98" s="510"/>
      <c r="S98" s="510"/>
      <c r="T98" s="510"/>
      <c r="U98" s="510"/>
      <c r="V98" s="513"/>
      <c r="W98" s="582"/>
      <c r="X98" s="507"/>
      <c r="Y98" s="507"/>
      <c r="Z98" s="507"/>
    </row>
    <row r="99" ht="18.75" customHeight="1">
      <c r="A99" s="507"/>
      <c r="B99" s="508"/>
      <c r="C99" s="508"/>
      <c r="D99" s="508"/>
      <c r="E99" s="508"/>
      <c r="F99" s="515"/>
      <c r="G99" s="515"/>
      <c r="H99" s="508"/>
      <c r="I99" s="521"/>
      <c r="J99" s="521"/>
      <c r="K99" s="510"/>
      <c r="L99" s="510"/>
      <c r="M99" s="510"/>
      <c r="N99" s="510"/>
      <c r="O99" s="507"/>
      <c r="P99" s="507"/>
      <c r="Q99" s="507"/>
      <c r="R99" s="510"/>
      <c r="S99" s="510"/>
      <c r="T99" s="510"/>
      <c r="U99" s="510"/>
      <c r="V99" s="513"/>
      <c r="W99" s="582"/>
      <c r="X99" s="507"/>
      <c r="Y99" s="507"/>
      <c r="Z99" s="507"/>
    </row>
    <row r="100" ht="18.75" customHeight="1">
      <c r="A100" s="507"/>
      <c r="B100" s="508"/>
      <c r="C100" s="508"/>
      <c r="D100" s="508"/>
      <c r="E100" s="508"/>
      <c r="F100" s="515"/>
      <c r="G100" s="515"/>
      <c r="H100" s="508"/>
      <c r="I100" s="521"/>
      <c r="J100" s="521"/>
      <c r="K100" s="510"/>
      <c r="L100" s="510"/>
      <c r="M100" s="510"/>
      <c r="N100" s="510"/>
      <c r="O100" s="507"/>
      <c r="P100" s="507"/>
      <c r="Q100" s="507"/>
      <c r="R100" s="510"/>
      <c r="S100" s="510"/>
      <c r="T100" s="510"/>
      <c r="U100" s="510"/>
      <c r="V100" s="513"/>
      <c r="W100" s="582"/>
      <c r="X100" s="507"/>
      <c r="Y100" s="507"/>
      <c r="Z100" s="507"/>
    </row>
    <row r="101" ht="18.75" customHeight="1">
      <c r="A101" s="507"/>
      <c r="B101" s="508"/>
      <c r="C101" s="508"/>
      <c r="D101" s="508"/>
      <c r="E101" s="508"/>
      <c r="F101" s="515"/>
      <c r="G101" s="515"/>
      <c r="H101" s="508"/>
      <c r="I101" s="521"/>
      <c r="J101" s="521"/>
      <c r="K101" s="510"/>
      <c r="L101" s="510"/>
      <c r="M101" s="510"/>
      <c r="N101" s="510"/>
      <c r="O101" s="507"/>
      <c r="P101" s="507"/>
      <c r="Q101" s="507"/>
      <c r="R101" s="510"/>
      <c r="S101" s="510"/>
      <c r="T101" s="510"/>
      <c r="U101" s="510"/>
      <c r="V101" s="513"/>
      <c r="W101" s="582"/>
      <c r="X101" s="507"/>
      <c r="Y101" s="507"/>
      <c r="Z101" s="507"/>
    </row>
    <row r="102" ht="18.75" customHeight="1">
      <c r="A102" s="507"/>
      <c r="B102" s="508"/>
      <c r="C102" s="508"/>
      <c r="D102" s="508"/>
      <c r="E102" s="508"/>
      <c r="F102" s="515"/>
      <c r="G102" s="515"/>
      <c r="H102" s="508"/>
      <c r="I102" s="521"/>
      <c r="J102" s="521"/>
      <c r="K102" s="510"/>
      <c r="L102" s="510"/>
      <c r="M102" s="510"/>
      <c r="N102" s="510"/>
      <c r="O102" s="507"/>
      <c r="P102" s="507"/>
      <c r="Q102" s="507"/>
      <c r="R102" s="510"/>
      <c r="S102" s="510"/>
      <c r="T102" s="510"/>
      <c r="U102" s="510"/>
      <c r="V102" s="513"/>
      <c r="W102" s="582"/>
      <c r="X102" s="507"/>
      <c r="Y102" s="507"/>
      <c r="Z102" s="507"/>
    </row>
    <row r="103" ht="18.75" customHeight="1">
      <c r="A103" s="507"/>
      <c r="B103" s="508"/>
      <c r="C103" s="508"/>
      <c r="D103" s="508"/>
      <c r="E103" s="508"/>
      <c r="F103" s="515"/>
      <c r="G103" s="515"/>
      <c r="H103" s="508"/>
      <c r="I103" s="521"/>
      <c r="J103" s="521"/>
      <c r="K103" s="510"/>
      <c r="L103" s="510"/>
      <c r="M103" s="510"/>
      <c r="N103" s="510"/>
      <c r="O103" s="507"/>
      <c r="P103" s="507"/>
      <c r="Q103" s="507"/>
      <c r="R103" s="510"/>
      <c r="S103" s="510"/>
      <c r="T103" s="510"/>
      <c r="U103" s="510"/>
      <c r="V103" s="513"/>
      <c r="W103" s="582"/>
      <c r="X103" s="507"/>
      <c r="Y103" s="507"/>
      <c r="Z103" s="507"/>
    </row>
    <row r="104" ht="18.75" customHeight="1">
      <c r="A104" s="507"/>
      <c r="B104" s="508"/>
      <c r="C104" s="508"/>
      <c r="D104" s="508"/>
      <c r="E104" s="508"/>
      <c r="F104" s="515"/>
      <c r="G104" s="515"/>
      <c r="H104" s="508"/>
      <c r="I104" s="521"/>
      <c r="J104" s="521"/>
      <c r="K104" s="510"/>
      <c r="L104" s="510"/>
      <c r="M104" s="510"/>
      <c r="N104" s="510"/>
      <c r="O104" s="507"/>
      <c r="P104" s="507"/>
      <c r="Q104" s="507"/>
      <c r="R104" s="510"/>
      <c r="S104" s="510"/>
      <c r="T104" s="510"/>
      <c r="U104" s="510"/>
      <c r="V104" s="513"/>
      <c r="W104" s="582"/>
      <c r="X104" s="507"/>
      <c r="Y104" s="507"/>
      <c r="Z104" s="507"/>
    </row>
    <row r="105" ht="18.75" customHeight="1">
      <c r="A105" s="507"/>
      <c r="B105" s="508"/>
      <c r="C105" s="508"/>
      <c r="D105" s="508"/>
      <c r="E105" s="508"/>
      <c r="F105" s="515"/>
      <c r="G105" s="515"/>
      <c r="H105" s="508"/>
      <c r="I105" s="521"/>
      <c r="J105" s="521"/>
      <c r="K105" s="510"/>
      <c r="L105" s="510"/>
      <c r="M105" s="510"/>
      <c r="N105" s="510"/>
      <c r="O105" s="507"/>
      <c r="P105" s="507"/>
      <c r="Q105" s="507"/>
      <c r="R105" s="510"/>
      <c r="S105" s="510"/>
      <c r="T105" s="510"/>
      <c r="U105" s="510"/>
      <c r="V105" s="513"/>
      <c r="W105" s="582"/>
      <c r="X105" s="507"/>
      <c r="Y105" s="507"/>
      <c r="Z105" s="507"/>
    </row>
    <row r="106" ht="18.75" customHeight="1">
      <c r="A106" s="507"/>
      <c r="B106" s="508"/>
      <c r="C106" s="508"/>
      <c r="D106" s="508"/>
      <c r="E106" s="508"/>
      <c r="F106" s="515"/>
      <c r="G106" s="515"/>
      <c r="H106" s="508"/>
      <c r="I106" s="521"/>
      <c r="J106" s="521"/>
      <c r="K106" s="510"/>
      <c r="L106" s="510"/>
      <c r="M106" s="510"/>
      <c r="N106" s="510"/>
      <c r="O106" s="507"/>
      <c r="P106" s="507"/>
      <c r="Q106" s="507"/>
      <c r="R106" s="510"/>
      <c r="S106" s="510"/>
      <c r="T106" s="510"/>
      <c r="U106" s="510"/>
      <c r="V106" s="513"/>
      <c r="W106" s="582"/>
      <c r="X106" s="507"/>
      <c r="Y106" s="507"/>
      <c r="Z106" s="507"/>
    </row>
    <row r="107" ht="18.75" customHeight="1">
      <c r="A107" s="507"/>
      <c r="B107" s="508"/>
      <c r="C107" s="508"/>
      <c r="D107" s="508"/>
      <c r="E107" s="508"/>
      <c r="F107" s="515"/>
      <c r="G107" s="515"/>
      <c r="H107" s="508"/>
      <c r="I107" s="521"/>
      <c r="J107" s="521"/>
      <c r="K107" s="510"/>
      <c r="L107" s="510"/>
      <c r="M107" s="510"/>
      <c r="N107" s="510"/>
      <c r="O107" s="507"/>
      <c r="P107" s="507"/>
      <c r="Q107" s="507"/>
      <c r="R107" s="510"/>
      <c r="S107" s="510"/>
      <c r="T107" s="510"/>
      <c r="U107" s="510"/>
      <c r="V107" s="513"/>
      <c r="W107" s="582"/>
      <c r="X107" s="507"/>
      <c r="Y107" s="507"/>
      <c r="Z107" s="507"/>
    </row>
    <row r="108" ht="18.75" customHeight="1">
      <c r="A108" s="507"/>
      <c r="B108" s="508"/>
      <c r="C108" s="508"/>
      <c r="D108" s="508"/>
      <c r="E108" s="508"/>
      <c r="F108" s="515"/>
      <c r="G108" s="515"/>
      <c r="H108" s="508"/>
      <c r="I108" s="521"/>
      <c r="J108" s="521"/>
      <c r="K108" s="510"/>
      <c r="L108" s="510"/>
      <c r="M108" s="510"/>
      <c r="N108" s="510"/>
      <c r="O108" s="507"/>
      <c r="P108" s="507"/>
      <c r="Q108" s="507"/>
      <c r="R108" s="510"/>
      <c r="S108" s="510"/>
      <c r="T108" s="510"/>
      <c r="U108" s="510"/>
      <c r="V108" s="513"/>
      <c r="W108" s="582"/>
      <c r="X108" s="507"/>
      <c r="Y108" s="507"/>
      <c r="Z108" s="507"/>
    </row>
    <row r="109" ht="18.75" customHeight="1">
      <c r="A109" s="507"/>
      <c r="B109" s="508"/>
      <c r="C109" s="508"/>
      <c r="D109" s="508"/>
      <c r="E109" s="508"/>
      <c r="F109" s="515"/>
      <c r="G109" s="515"/>
      <c r="H109" s="508"/>
      <c r="I109" s="521"/>
      <c r="J109" s="521"/>
      <c r="K109" s="510"/>
      <c r="L109" s="510"/>
      <c r="M109" s="510"/>
      <c r="N109" s="510"/>
      <c r="O109" s="507"/>
      <c r="P109" s="507"/>
      <c r="Q109" s="507"/>
      <c r="R109" s="510"/>
      <c r="S109" s="510"/>
      <c r="T109" s="510"/>
      <c r="U109" s="510"/>
      <c r="V109" s="513"/>
      <c r="W109" s="582"/>
      <c r="X109" s="507"/>
      <c r="Y109" s="507"/>
      <c r="Z109" s="507"/>
    </row>
    <row r="110" ht="18.75" customHeight="1">
      <c r="A110" s="507"/>
      <c r="B110" s="508"/>
      <c r="C110" s="508"/>
      <c r="D110" s="508"/>
      <c r="E110" s="508"/>
      <c r="F110" s="515"/>
      <c r="G110" s="515"/>
      <c r="H110" s="508"/>
      <c r="I110" s="521"/>
      <c r="J110" s="521"/>
      <c r="K110" s="510"/>
      <c r="L110" s="510"/>
      <c r="M110" s="510"/>
      <c r="N110" s="510"/>
      <c r="O110" s="507"/>
      <c r="P110" s="507"/>
      <c r="Q110" s="507"/>
      <c r="R110" s="510"/>
      <c r="S110" s="510"/>
      <c r="T110" s="510"/>
      <c r="U110" s="510"/>
      <c r="V110" s="513"/>
      <c r="W110" s="582"/>
      <c r="X110" s="507"/>
      <c r="Y110" s="507"/>
      <c r="Z110" s="507"/>
    </row>
    <row r="111" ht="18.75" customHeight="1">
      <c r="A111" s="507"/>
      <c r="B111" s="508"/>
      <c r="C111" s="508"/>
      <c r="D111" s="508"/>
      <c r="E111" s="508"/>
      <c r="F111" s="515"/>
      <c r="G111" s="515"/>
      <c r="H111" s="508"/>
      <c r="I111" s="521"/>
      <c r="J111" s="521"/>
      <c r="K111" s="510"/>
      <c r="L111" s="510"/>
      <c r="M111" s="510"/>
      <c r="N111" s="510"/>
      <c r="O111" s="507"/>
      <c r="P111" s="507"/>
      <c r="Q111" s="507"/>
      <c r="R111" s="510"/>
      <c r="S111" s="510"/>
      <c r="T111" s="510"/>
      <c r="U111" s="510"/>
      <c r="V111" s="513"/>
      <c r="W111" s="582"/>
      <c r="X111" s="507"/>
      <c r="Y111" s="507"/>
      <c r="Z111" s="507"/>
    </row>
    <row r="112" ht="18.75" customHeight="1">
      <c r="A112" s="507"/>
      <c r="B112" s="508"/>
      <c r="C112" s="508"/>
      <c r="D112" s="508"/>
      <c r="E112" s="508"/>
      <c r="F112" s="515"/>
      <c r="G112" s="515"/>
      <c r="H112" s="508"/>
      <c r="I112" s="521"/>
      <c r="J112" s="521"/>
      <c r="K112" s="510"/>
      <c r="L112" s="510"/>
      <c r="M112" s="510"/>
      <c r="N112" s="510"/>
      <c r="O112" s="507"/>
      <c r="P112" s="507"/>
      <c r="Q112" s="507"/>
      <c r="R112" s="510"/>
      <c r="S112" s="510"/>
      <c r="T112" s="510"/>
      <c r="U112" s="510"/>
      <c r="V112" s="513"/>
      <c r="W112" s="582"/>
      <c r="X112" s="507"/>
      <c r="Y112" s="507"/>
      <c r="Z112" s="507"/>
    </row>
    <row r="113" ht="18.75" customHeight="1">
      <c r="A113" s="507"/>
      <c r="B113" s="508"/>
      <c r="C113" s="508"/>
      <c r="D113" s="508"/>
      <c r="E113" s="508"/>
      <c r="F113" s="515"/>
      <c r="G113" s="515"/>
      <c r="H113" s="508"/>
      <c r="I113" s="521"/>
      <c r="J113" s="521"/>
      <c r="K113" s="510"/>
      <c r="L113" s="510"/>
      <c r="M113" s="510"/>
      <c r="N113" s="510"/>
      <c r="O113" s="507"/>
      <c r="P113" s="507"/>
      <c r="Q113" s="507"/>
      <c r="R113" s="510"/>
      <c r="S113" s="510"/>
      <c r="T113" s="510"/>
      <c r="U113" s="510"/>
      <c r="V113" s="513"/>
      <c r="W113" s="582"/>
      <c r="X113" s="507"/>
      <c r="Y113" s="507"/>
      <c r="Z113" s="507"/>
    </row>
    <row r="114" ht="18.75" customHeight="1">
      <c r="A114" s="507"/>
      <c r="B114" s="508"/>
      <c r="C114" s="508"/>
      <c r="D114" s="508"/>
      <c r="E114" s="508"/>
      <c r="F114" s="515"/>
      <c r="G114" s="515"/>
      <c r="H114" s="508"/>
      <c r="I114" s="521"/>
      <c r="J114" s="521"/>
      <c r="K114" s="510"/>
      <c r="L114" s="510"/>
      <c r="M114" s="510"/>
      <c r="N114" s="510"/>
      <c r="O114" s="507"/>
      <c r="P114" s="507"/>
      <c r="Q114" s="507"/>
      <c r="R114" s="510"/>
      <c r="S114" s="510"/>
      <c r="T114" s="510"/>
      <c r="U114" s="510"/>
      <c r="V114" s="513"/>
      <c r="W114" s="582"/>
      <c r="X114" s="507"/>
      <c r="Y114" s="507"/>
      <c r="Z114" s="507"/>
    </row>
    <row r="115" ht="18.75" customHeight="1">
      <c r="A115" s="507"/>
      <c r="B115" s="508"/>
      <c r="C115" s="508"/>
      <c r="D115" s="508"/>
      <c r="E115" s="508"/>
      <c r="F115" s="515"/>
      <c r="G115" s="515"/>
      <c r="H115" s="508"/>
      <c r="I115" s="521"/>
      <c r="J115" s="521"/>
      <c r="K115" s="510"/>
      <c r="L115" s="510"/>
      <c r="M115" s="510"/>
      <c r="N115" s="510"/>
      <c r="O115" s="507"/>
      <c r="P115" s="507"/>
      <c r="Q115" s="507"/>
      <c r="R115" s="510"/>
      <c r="S115" s="510"/>
      <c r="T115" s="510"/>
      <c r="U115" s="510"/>
      <c r="V115" s="513"/>
      <c r="W115" s="582"/>
      <c r="X115" s="507"/>
      <c r="Y115" s="507"/>
      <c r="Z115" s="507"/>
    </row>
    <row r="116" ht="18.75" customHeight="1">
      <c r="A116" s="507"/>
      <c r="B116" s="508"/>
      <c r="C116" s="508"/>
      <c r="D116" s="508"/>
      <c r="E116" s="508"/>
      <c r="F116" s="515"/>
      <c r="G116" s="515"/>
      <c r="H116" s="508"/>
      <c r="I116" s="521"/>
      <c r="J116" s="521"/>
      <c r="K116" s="510"/>
      <c r="L116" s="510"/>
      <c r="M116" s="510"/>
      <c r="N116" s="510"/>
      <c r="O116" s="507"/>
      <c r="P116" s="507"/>
      <c r="Q116" s="507"/>
      <c r="R116" s="510"/>
      <c r="S116" s="510"/>
      <c r="T116" s="510"/>
      <c r="U116" s="510"/>
      <c r="V116" s="513"/>
      <c r="W116" s="582"/>
      <c r="X116" s="507"/>
      <c r="Y116" s="507"/>
      <c r="Z116" s="507"/>
    </row>
    <row r="117" ht="18.75" customHeight="1">
      <c r="A117" s="507"/>
      <c r="B117" s="508"/>
      <c r="C117" s="508"/>
      <c r="D117" s="508"/>
      <c r="E117" s="508"/>
      <c r="F117" s="515"/>
      <c r="G117" s="515"/>
      <c r="H117" s="508"/>
      <c r="I117" s="521"/>
      <c r="J117" s="521"/>
      <c r="K117" s="510"/>
      <c r="L117" s="510"/>
      <c r="M117" s="510"/>
      <c r="N117" s="510"/>
      <c r="O117" s="507"/>
      <c r="P117" s="507"/>
      <c r="Q117" s="507"/>
      <c r="R117" s="510"/>
      <c r="S117" s="510"/>
      <c r="T117" s="510"/>
      <c r="U117" s="510"/>
      <c r="V117" s="513"/>
      <c r="W117" s="582"/>
      <c r="X117" s="507"/>
      <c r="Y117" s="507"/>
      <c r="Z117" s="507"/>
    </row>
    <row r="118" ht="18.75" customHeight="1">
      <c r="A118" s="507"/>
      <c r="B118" s="508"/>
      <c r="C118" s="508"/>
      <c r="D118" s="508"/>
      <c r="E118" s="508"/>
      <c r="F118" s="515"/>
      <c r="G118" s="515"/>
      <c r="H118" s="508"/>
      <c r="I118" s="521"/>
      <c r="J118" s="521"/>
      <c r="K118" s="510"/>
      <c r="L118" s="510"/>
      <c r="M118" s="510"/>
      <c r="N118" s="510"/>
      <c r="O118" s="507"/>
      <c r="P118" s="507"/>
      <c r="Q118" s="507"/>
      <c r="R118" s="510"/>
      <c r="S118" s="510"/>
      <c r="T118" s="510"/>
      <c r="U118" s="510"/>
      <c r="V118" s="513"/>
      <c r="W118" s="582"/>
      <c r="X118" s="507"/>
      <c r="Y118" s="507"/>
      <c r="Z118" s="507"/>
    </row>
    <row r="119" ht="18.75" customHeight="1">
      <c r="A119" s="507"/>
      <c r="B119" s="508"/>
      <c r="C119" s="508"/>
      <c r="D119" s="508"/>
      <c r="E119" s="508"/>
      <c r="F119" s="515"/>
      <c r="G119" s="515"/>
      <c r="H119" s="508"/>
      <c r="I119" s="521"/>
      <c r="J119" s="521"/>
      <c r="K119" s="510"/>
      <c r="L119" s="510"/>
      <c r="M119" s="510"/>
      <c r="N119" s="510"/>
      <c r="O119" s="507"/>
      <c r="P119" s="507"/>
      <c r="Q119" s="507"/>
      <c r="R119" s="510"/>
      <c r="S119" s="510"/>
      <c r="T119" s="510"/>
      <c r="U119" s="510"/>
      <c r="V119" s="513"/>
      <c r="W119" s="582"/>
      <c r="X119" s="507"/>
      <c r="Y119" s="507"/>
      <c r="Z119" s="507"/>
    </row>
    <row r="120" ht="18.75" customHeight="1">
      <c r="A120" s="507"/>
      <c r="B120" s="508"/>
      <c r="C120" s="508"/>
      <c r="D120" s="508"/>
      <c r="E120" s="508"/>
      <c r="F120" s="515"/>
      <c r="G120" s="515"/>
      <c r="H120" s="508"/>
      <c r="I120" s="521"/>
      <c r="J120" s="521"/>
      <c r="K120" s="510"/>
      <c r="L120" s="510"/>
      <c r="M120" s="510"/>
      <c r="N120" s="510"/>
      <c r="O120" s="507"/>
      <c r="P120" s="507"/>
      <c r="Q120" s="507"/>
      <c r="R120" s="510"/>
      <c r="S120" s="510"/>
      <c r="T120" s="510"/>
      <c r="U120" s="510"/>
      <c r="V120" s="513"/>
      <c r="W120" s="582"/>
      <c r="X120" s="507"/>
      <c r="Y120" s="507"/>
      <c r="Z120" s="507"/>
    </row>
    <row r="121" ht="18.75" customHeight="1">
      <c r="A121" s="507"/>
      <c r="B121" s="508"/>
      <c r="C121" s="508"/>
      <c r="D121" s="508"/>
      <c r="E121" s="508"/>
      <c r="F121" s="515"/>
      <c r="G121" s="515"/>
      <c r="H121" s="508"/>
      <c r="I121" s="521"/>
      <c r="J121" s="521"/>
      <c r="K121" s="510"/>
      <c r="L121" s="510"/>
      <c r="M121" s="510"/>
      <c r="N121" s="510"/>
      <c r="O121" s="507"/>
      <c r="P121" s="507"/>
      <c r="Q121" s="507"/>
      <c r="R121" s="510"/>
      <c r="S121" s="510"/>
      <c r="T121" s="510"/>
      <c r="U121" s="510"/>
      <c r="V121" s="513"/>
      <c r="W121" s="582"/>
      <c r="X121" s="507"/>
      <c r="Y121" s="507"/>
      <c r="Z121" s="507"/>
    </row>
    <row r="122" ht="18.75" customHeight="1">
      <c r="A122" s="507"/>
      <c r="B122" s="508"/>
      <c r="C122" s="508"/>
      <c r="D122" s="508"/>
      <c r="E122" s="508"/>
      <c r="F122" s="515"/>
      <c r="G122" s="515"/>
      <c r="H122" s="508"/>
      <c r="I122" s="521"/>
      <c r="J122" s="521"/>
      <c r="K122" s="510"/>
      <c r="L122" s="510"/>
      <c r="M122" s="510"/>
      <c r="N122" s="510"/>
      <c r="O122" s="507"/>
      <c r="P122" s="507"/>
      <c r="Q122" s="507"/>
      <c r="R122" s="510"/>
      <c r="S122" s="510"/>
      <c r="T122" s="510"/>
      <c r="U122" s="510"/>
      <c r="V122" s="513"/>
      <c r="W122" s="582"/>
      <c r="X122" s="507"/>
      <c r="Y122" s="507"/>
      <c r="Z122" s="507"/>
    </row>
    <row r="123" ht="18.75" customHeight="1">
      <c r="A123" s="507"/>
      <c r="B123" s="508"/>
      <c r="C123" s="508"/>
      <c r="D123" s="508"/>
      <c r="E123" s="508"/>
      <c r="F123" s="515"/>
      <c r="G123" s="515"/>
      <c r="H123" s="508"/>
      <c r="I123" s="521"/>
      <c r="J123" s="521"/>
      <c r="K123" s="510"/>
      <c r="L123" s="510"/>
      <c r="M123" s="510"/>
      <c r="N123" s="510"/>
      <c r="O123" s="507"/>
      <c r="P123" s="507"/>
      <c r="Q123" s="507"/>
      <c r="R123" s="510"/>
      <c r="S123" s="510"/>
      <c r="T123" s="510"/>
      <c r="U123" s="510"/>
      <c r="V123" s="513"/>
      <c r="W123" s="582"/>
      <c r="X123" s="507"/>
      <c r="Y123" s="507"/>
      <c r="Z123" s="507"/>
    </row>
    <row r="124" ht="18.75" customHeight="1">
      <c r="A124" s="507"/>
      <c r="B124" s="508"/>
      <c r="C124" s="508"/>
      <c r="D124" s="508"/>
      <c r="E124" s="508"/>
      <c r="F124" s="515"/>
      <c r="G124" s="515"/>
      <c r="H124" s="508"/>
      <c r="I124" s="521"/>
      <c r="J124" s="521"/>
      <c r="K124" s="510"/>
      <c r="L124" s="510"/>
      <c r="M124" s="510"/>
      <c r="N124" s="510"/>
      <c r="O124" s="507"/>
      <c r="P124" s="507"/>
      <c r="Q124" s="507"/>
      <c r="R124" s="510"/>
      <c r="S124" s="510"/>
      <c r="T124" s="510"/>
      <c r="U124" s="510"/>
      <c r="V124" s="513"/>
      <c r="W124" s="582"/>
      <c r="X124" s="507"/>
      <c r="Y124" s="507"/>
      <c r="Z124" s="507"/>
    </row>
    <row r="125" ht="18.75" customHeight="1">
      <c r="A125" s="507"/>
      <c r="B125" s="508"/>
      <c r="C125" s="508"/>
      <c r="D125" s="508"/>
      <c r="E125" s="508"/>
      <c r="F125" s="515"/>
      <c r="G125" s="515"/>
      <c r="H125" s="508"/>
      <c r="I125" s="521"/>
      <c r="J125" s="521"/>
      <c r="K125" s="510"/>
      <c r="L125" s="510"/>
      <c r="M125" s="510"/>
      <c r="N125" s="510"/>
      <c r="O125" s="507"/>
      <c r="P125" s="507"/>
      <c r="Q125" s="507"/>
      <c r="R125" s="510"/>
      <c r="S125" s="510"/>
      <c r="T125" s="510"/>
      <c r="U125" s="510"/>
      <c r="V125" s="513"/>
      <c r="W125" s="582"/>
      <c r="X125" s="507"/>
      <c r="Y125" s="507"/>
      <c r="Z125" s="507"/>
    </row>
    <row r="126" ht="18.75" customHeight="1">
      <c r="A126" s="507"/>
      <c r="B126" s="508"/>
      <c r="C126" s="508"/>
      <c r="D126" s="508"/>
      <c r="E126" s="508"/>
      <c r="F126" s="515"/>
      <c r="G126" s="515"/>
      <c r="H126" s="508"/>
      <c r="I126" s="521"/>
      <c r="J126" s="521"/>
      <c r="K126" s="510"/>
      <c r="L126" s="510"/>
      <c r="M126" s="510"/>
      <c r="N126" s="510"/>
      <c r="O126" s="507"/>
      <c r="P126" s="507"/>
      <c r="Q126" s="507"/>
      <c r="R126" s="510"/>
      <c r="S126" s="510"/>
      <c r="T126" s="510"/>
      <c r="U126" s="510"/>
      <c r="V126" s="513"/>
      <c r="W126" s="582"/>
      <c r="X126" s="507"/>
      <c r="Y126" s="507"/>
      <c r="Z126" s="507"/>
    </row>
    <row r="127" ht="18.75" customHeight="1">
      <c r="A127" s="507"/>
      <c r="B127" s="508"/>
      <c r="C127" s="508"/>
      <c r="D127" s="508"/>
      <c r="E127" s="508"/>
      <c r="F127" s="515"/>
      <c r="G127" s="515"/>
      <c r="H127" s="508"/>
      <c r="I127" s="521"/>
      <c r="J127" s="521"/>
      <c r="K127" s="510"/>
      <c r="L127" s="510"/>
      <c r="M127" s="510"/>
      <c r="N127" s="510"/>
      <c r="O127" s="507"/>
      <c r="P127" s="507"/>
      <c r="Q127" s="507"/>
      <c r="R127" s="510"/>
      <c r="S127" s="510"/>
      <c r="T127" s="510"/>
      <c r="U127" s="510"/>
      <c r="V127" s="513"/>
      <c r="W127" s="582"/>
      <c r="X127" s="507"/>
      <c r="Y127" s="507"/>
      <c r="Z127" s="507"/>
    </row>
    <row r="128" ht="18.75" customHeight="1">
      <c r="A128" s="507"/>
      <c r="B128" s="508"/>
      <c r="C128" s="508"/>
      <c r="D128" s="508"/>
      <c r="E128" s="508"/>
      <c r="F128" s="515"/>
      <c r="G128" s="515"/>
      <c r="H128" s="508"/>
      <c r="I128" s="521"/>
      <c r="J128" s="521"/>
      <c r="K128" s="510"/>
      <c r="L128" s="510"/>
      <c r="M128" s="510"/>
      <c r="N128" s="510"/>
      <c r="O128" s="507"/>
      <c r="P128" s="507"/>
      <c r="Q128" s="507"/>
      <c r="R128" s="510"/>
      <c r="S128" s="510"/>
      <c r="T128" s="510"/>
      <c r="U128" s="510"/>
      <c r="V128" s="513"/>
      <c r="W128" s="582"/>
      <c r="X128" s="507"/>
      <c r="Y128" s="507"/>
      <c r="Z128" s="507"/>
    </row>
    <row r="129" ht="18.75" customHeight="1">
      <c r="A129" s="507"/>
      <c r="B129" s="508"/>
      <c r="C129" s="508"/>
      <c r="D129" s="508"/>
      <c r="E129" s="508"/>
      <c r="F129" s="515"/>
      <c r="G129" s="515"/>
      <c r="H129" s="508"/>
      <c r="I129" s="521"/>
      <c r="J129" s="521"/>
      <c r="K129" s="510"/>
      <c r="L129" s="510"/>
      <c r="M129" s="510"/>
      <c r="N129" s="510"/>
      <c r="O129" s="507"/>
      <c r="P129" s="507"/>
      <c r="Q129" s="507"/>
      <c r="R129" s="510"/>
      <c r="S129" s="510"/>
      <c r="T129" s="510"/>
      <c r="U129" s="510"/>
      <c r="V129" s="513"/>
      <c r="W129" s="582"/>
      <c r="X129" s="507"/>
      <c r="Y129" s="507"/>
      <c r="Z129" s="507"/>
    </row>
    <row r="130" ht="18.75" customHeight="1">
      <c r="A130" s="507"/>
      <c r="B130" s="508"/>
      <c r="C130" s="508"/>
      <c r="D130" s="508"/>
      <c r="E130" s="508"/>
      <c r="F130" s="515"/>
      <c r="G130" s="515"/>
      <c r="H130" s="508"/>
      <c r="I130" s="521"/>
      <c r="J130" s="521"/>
      <c r="K130" s="510"/>
      <c r="L130" s="510"/>
      <c r="M130" s="510"/>
      <c r="N130" s="510"/>
      <c r="O130" s="507"/>
      <c r="P130" s="507"/>
      <c r="Q130" s="507"/>
      <c r="R130" s="510"/>
      <c r="S130" s="510"/>
      <c r="T130" s="510"/>
      <c r="U130" s="510"/>
      <c r="V130" s="513"/>
      <c r="W130" s="582"/>
      <c r="X130" s="507"/>
      <c r="Y130" s="507"/>
      <c r="Z130" s="507"/>
    </row>
    <row r="131" ht="18.75" customHeight="1">
      <c r="A131" s="507"/>
      <c r="B131" s="508"/>
      <c r="C131" s="508"/>
      <c r="D131" s="508"/>
      <c r="E131" s="508"/>
      <c r="F131" s="515"/>
      <c r="G131" s="515"/>
      <c r="H131" s="508"/>
      <c r="I131" s="521"/>
      <c r="J131" s="521"/>
      <c r="K131" s="510"/>
      <c r="L131" s="510"/>
      <c r="M131" s="510"/>
      <c r="N131" s="510"/>
      <c r="O131" s="507"/>
      <c r="P131" s="507"/>
      <c r="Q131" s="507"/>
      <c r="R131" s="510"/>
      <c r="S131" s="510"/>
      <c r="T131" s="510"/>
      <c r="U131" s="510"/>
      <c r="V131" s="513"/>
      <c r="W131" s="582"/>
      <c r="X131" s="507"/>
      <c r="Y131" s="507"/>
      <c r="Z131" s="507"/>
    </row>
    <row r="132" ht="18.75" customHeight="1">
      <c r="A132" s="507"/>
      <c r="B132" s="508"/>
      <c r="C132" s="508"/>
      <c r="D132" s="508"/>
      <c r="E132" s="508"/>
      <c r="F132" s="515"/>
      <c r="G132" s="515"/>
      <c r="H132" s="508"/>
      <c r="I132" s="521"/>
      <c r="J132" s="521"/>
      <c r="K132" s="510"/>
      <c r="L132" s="510"/>
      <c r="M132" s="510"/>
      <c r="N132" s="510"/>
      <c r="O132" s="507"/>
      <c r="P132" s="507"/>
      <c r="Q132" s="507"/>
      <c r="R132" s="510"/>
      <c r="S132" s="510"/>
      <c r="T132" s="510"/>
      <c r="U132" s="510"/>
      <c r="V132" s="513"/>
      <c r="W132" s="582"/>
      <c r="X132" s="507"/>
      <c r="Y132" s="507"/>
      <c r="Z132" s="507"/>
    </row>
    <row r="133" ht="18.75" customHeight="1">
      <c r="A133" s="507"/>
      <c r="B133" s="508"/>
      <c r="C133" s="508"/>
      <c r="D133" s="508"/>
      <c r="E133" s="508"/>
      <c r="F133" s="515"/>
      <c r="G133" s="515"/>
      <c r="H133" s="508"/>
      <c r="I133" s="521"/>
      <c r="J133" s="521"/>
      <c r="K133" s="510"/>
      <c r="L133" s="510"/>
      <c r="M133" s="510"/>
      <c r="N133" s="510"/>
      <c r="O133" s="507"/>
      <c r="P133" s="507"/>
      <c r="Q133" s="507"/>
      <c r="R133" s="510"/>
      <c r="S133" s="510"/>
      <c r="T133" s="510"/>
      <c r="U133" s="510"/>
      <c r="V133" s="513"/>
      <c r="W133" s="582"/>
      <c r="X133" s="507"/>
      <c r="Y133" s="507"/>
      <c r="Z133" s="507"/>
    </row>
    <row r="134" ht="18.75" customHeight="1">
      <c r="A134" s="507"/>
      <c r="B134" s="508"/>
      <c r="C134" s="508"/>
      <c r="D134" s="508"/>
      <c r="E134" s="508"/>
      <c r="F134" s="515"/>
      <c r="G134" s="515"/>
      <c r="H134" s="508"/>
      <c r="I134" s="521"/>
      <c r="J134" s="521"/>
      <c r="K134" s="510"/>
      <c r="L134" s="510"/>
      <c r="M134" s="510"/>
      <c r="N134" s="510"/>
      <c r="O134" s="507"/>
      <c r="P134" s="507"/>
      <c r="Q134" s="507"/>
      <c r="R134" s="510"/>
      <c r="S134" s="510"/>
      <c r="T134" s="510"/>
      <c r="U134" s="510"/>
      <c r="V134" s="513"/>
      <c r="W134" s="582"/>
      <c r="X134" s="507"/>
      <c r="Y134" s="507"/>
      <c r="Z134" s="507"/>
    </row>
    <row r="135" ht="18.75" customHeight="1">
      <c r="A135" s="507"/>
      <c r="B135" s="508"/>
      <c r="C135" s="508"/>
      <c r="D135" s="508"/>
      <c r="E135" s="508"/>
      <c r="F135" s="515"/>
      <c r="G135" s="515"/>
      <c r="H135" s="508"/>
      <c r="I135" s="521"/>
      <c r="J135" s="521"/>
      <c r="K135" s="510"/>
      <c r="L135" s="510"/>
      <c r="M135" s="510"/>
      <c r="N135" s="510"/>
      <c r="O135" s="507"/>
      <c r="P135" s="507"/>
      <c r="Q135" s="507"/>
      <c r="R135" s="510"/>
      <c r="S135" s="510"/>
      <c r="T135" s="510"/>
      <c r="U135" s="510"/>
      <c r="V135" s="513"/>
      <c r="W135" s="582"/>
      <c r="X135" s="507"/>
      <c r="Y135" s="507"/>
      <c r="Z135" s="507"/>
    </row>
    <row r="136" ht="18.75" customHeight="1">
      <c r="A136" s="507"/>
      <c r="B136" s="508"/>
      <c r="C136" s="508"/>
      <c r="D136" s="508"/>
      <c r="E136" s="508"/>
      <c r="F136" s="515"/>
      <c r="G136" s="515"/>
      <c r="H136" s="508"/>
      <c r="I136" s="521"/>
      <c r="J136" s="521"/>
      <c r="K136" s="510"/>
      <c r="L136" s="510"/>
      <c r="M136" s="510"/>
      <c r="N136" s="510"/>
      <c r="O136" s="507"/>
      <c r="P136" s="507"/>
      <c r="Q136" s="507"/>
      <c r="R136" s="510"/>
      <c r="S136" s="510"/>
      <c r="T136" s="510"/>
      <c r="U136" s="510"/>
      <c r="V136" s="513"/>
      <c r="W136" s="582"/>
      <c r="X136" s="507"/>
      <c r="Y136" s="507"/>
      <c r="Z136" s="507"/>
    </row>
    <row r="137" ht="18.75" customHeight="1">
      <c r="A137" s="507"/>
      <c r="B137" s="508"/>
      <c r="C137" s="508"/>
      <c r="D137" s="508"/>
      <c r="E137" s="508"/>
      <c r="F137" s="515"/>
      <c r="G137" s="515"/>
      <c r="H137" s="508"/>
      <c r="I137" s="521"/>
      <c r="J137" s="521"/>
      <c r="K137" s="510"/>
      <c r="L137" s="510"/>
      <c r="M137" s="510"/>
      <c r="N137" s="510"/>
      <c r="O137" s="507"/>
      <c r="P137" s="507"/>
      <c r="Q137" s="507"/>
      <c r="R137" s="510"/>
      <c r="S137" s="510"/>
      <c r="T137" s="510"/>
      <c r="U137" s="510"/>
      <c r="V137" s="513"/>
      <c r="W137" s="582"/>
      <c r="X137" s="507"/>
      <c r="Y137" s="507"/>
      <c r="Z137" s="507"/>
    </row>
    <row r="138" ht="18.75" customHeight="1">
      <c r="A138" s="507"/>
      <c r="B138" s="508"/>
      <c r="C138" s="508"/>
      <c r="D138" s="508"/>
      <c r="E138" s="508"/>
      <c r="F138" s="515"/>
      <c r="G138" s="515"/>
      <c r="H138" s="508"/>
      <c r="I138" s="521"/>
      <c r="J138" s="521"/>
      <c r="K138" s="510"/>
      <c r="L138" s="510"/>
      <c r="M138" s="510"/>
      <c r="N138" s="510"/>
      <c r="O138" s="507"/>
      <c r="P138" s="507"/>
      <c r="Q138" s="507"/>
      <c r="R138" s="510"/>
      <c r="S138" s="510"/>
      <c r="T138" s="510"/>
      <c r="U138" s="510"/>
      <c r="V138" s="513"/>
      <c r="W138" s="582"/>
      <c r="X138" s="507"/>
      <c r="Y138" s="507"/>
      <c r="Z138" s="507"/>
    </row>
    <row r="139" ht="18.75" customHeight="1">
      <c r="A139" s="507"/>
      <c r="B139" s="508"/>
      <c r="C139" s="508"/>
      <c r="D139" s="508"/>
      <c r="E139" s="508"/>
      <c r="F139" s="515"/>
      <c r="G139" s="515"/>
      <c r="H139" s="508"/>
      <c r="I139" s="521"/>
      <c r="J139" s="521"/>
      <c r="K139" s="510"/>
      <c r="L139" s="510"/>
      <c r="M139" s="510"/>
      <c r="N139" s="510"/>
      <c r="O139" s="507"/>
      <c r="P139" s="507"/>
      <c r="Q139" s="507"/>
      <c r="R139" s="510"/>
      <c r="S139" s="510"/>
      <c r="T139" s="510"/>
      <c r="U139" s="510"/>
      <c r="V139" s="513"/>
      <c r="W139" s="582"/>
      <c r="X139" s="507"/>
      <c r="Y139" s="507"/>
      <c r="Z139" s="507"/>
    </row>
    <row r="140" ht="18.75" customHeight="1">
      <c r="A140" s="507"/>
      <c r="B140" s="508"/>
      <c r="C140" s="508"/>
      <c r="D140" s="508"/>
      <c r="E140" s="508"/>
      <c r="F140" s="515"/>
      <c r="G140" s="515"/>
      <c r="H140" s="508"/>
      <c r="I140" s="521"/>
      <c r="J140" s="521"/>
      <c r="K140" s="510"/>
      <c r="L140" s="510"/>
      <c r="M140" s="510"/>
      <c r="N140" s="510"/>
      <c r="O140" s="507"/>
      <c r="P140" s="507"/>
      <c r="Q140" s="507"/>
      <c r="R140" s="510"/>
      <c r="S140" s="510"/>
      <c r="T140" s="510"/>
      <c r="U140" s="510"/>
      <c r="V140" s="513"/>
      <c r="W140" s="582"/>
      <c r="X140" s="507"/>
      <c r="Y140" s="507"/>
      <c r="Z140" s="507"/>
    </row>
    <row r="141" ht="18.75" customHeight="1">
      <c r="A141" s="507"/>
      <c r="B141" s="508"/>
      <c r="C141" s="508"/>
      <c r="D141" s="508"/>
      <c r="E141" s="508"/>
      <c r="F141" s="515"/>
      <c r="G141" s="515"/>
      <c r="H141" s="508"/>
      <c r="I141" s="521"/>
      <c r="J141" s="521"/>
      <c r="K141" s="510"/>
      <c r="L141" s="510"/>
      <c r="M141" s="510"/>
      <c r="N141" s="510"/>
      <c r="O141" s="507"/>
      <c r="P141" s="507"/>
      <c r="Q141" s="507"/>
      <c r="R141" s="510"/>
      <c r="S141" s="510"/>
      <c r="T141" s="510"/>
      <c r="U141" s="510"/>
      <c r="V141" s="513"/>
      <c r="W141" s="582"/>
      <c r="X141" s="507"/>
      <c r="Y141" s="507"/>
      <c r="Z141" s="507"/>
    </row>
    <row r="142" ht="18.75" customHeight="1">
      <c r="A142" s="507"/>
      <c r="B142" s="508"/>
      <c r="C142" s="508"/>
      <c r="D142" s="508"/>
      <c r="E142" s="508"/>
      <c r="F142" s="515"/>
      <c r="G142" s="515"/>
      <c r="H142" s="508"/>
      <c r="I142" s="521"/>
      <c r="J142" s="521"/>
      <c r="K142" s="510"/>
      <c r="L142" s="510"/>
      <c r="M142" s="510"/>
      <c r="N142" s="510"/>
      <c r="O142" s="507"/>
      <c r="P142" s="507"/>
      <c r="Q142" s="507"/>
      <c r="R142" s="510"/>
      <c r="S142" s="510"/>
      <c r="T142" s="510"/>
      <c r="U142" s="510"/>
      <c r="V142" s="513"/>
      <c r="W142" s="582"/>
      <c r="X142" s="507"/>
      <c r="Y142" s="507"/>
      <c r="Z142" s="507"/>
    </row>
    <row r="143" ht="18.75" customHeight="1">
      <c r="A143" s="507"/>
      <c r="B143" s="508"/>
      <c r="C143" s="508"/>
      <c r="D143" s="508"/>
      <c r="E143" s="508"/>
      <c r="F143" s="515"/>
      <c r="G143" s="515"/>
      <c r="H143" s="508"/>
      <c r="I143" s="521"/>
      <c r="J143" s="521"/>
      <c r="K143" s="510"/>
      <c r="L143" s="510"/>
      <c r="M143" s="510"/>
      <c r="N143" s="510"/>
      <c r="O143" s="507"/>
      <c r="P143" s="507"/>
      <c r="Q143" s="507"/>
      <c r="R143" s="510"/>
      <c r="S143" s="510"/>
      <c r="T143" s="510"/>
      <c r="U143" s="510"/>
      <c r="V143" s="513"/>
      <c r="W143" s="582"/>
      <c r="X143" s="507"/>
      <c r="Y143" s="507"/>
      <c r="Z143" s="507"/>
    </row>
    <row r="144" ht="18.75" customHeight="1">
      <c r="A144" s="507"/>
      <c r="B144" s="508"/>
      <c r="C144" s="508"/>
      <c r="D144" s="508"/>
      <c r="E144" s="508"/>
      <c r="F144" s="515"/>
      <c r="G144" s="515"/>
      <c r="H144" s="508"/>
      <c r="I144" s="521"/>
      <c r="J144" s="521"/>
      <c r="K144" s="510"/>
      <c r="L144" s="510"/>
      <c r="M144" s="510"/>
      <c r="N144" s="510"/>
      <c r="O144" s="507"/>
      <c r="P144" s="507"/>
      <c r="Q144" s="507"/>
      <c r="R144" s="510"/>
      <c r="S144" s="510"/>
      <c r="T144" s="510"/>
      <c r="U144" s="510"/>
      <c r="V144" s="513"/>
      <c r="W144" s="582"/>
      <c r="X144" s="507"/>
      <c r="Y144" s="507"/>
      <c r="Z144" s="507"/>
    </row>
    <row r="145" ht="18.75" customHeight="1">
      <c r="A145" s="507"/>
      <c r="B145" s="508"/>
      <c r="C145" s="508"/>
      <c r="D145" s="508"/>
      <c r="E145" s="508"/>
      <c r="F145" s="515"/>
      <c r="G145" s="515"/>
      <c r="H145" s="508"/>
      <c r="I145" s="521"/>
      <c r="J145" s="521"/>
      <c r="K145" s="510"/>
      <c r="L145" s="510"/>
      <c r="M145" s="510"/>
      <c r="N145" s="510"/>
      <c r="O145" s="507"/>
      <c r="P145" s="507"/>
      <c r="Q145" s="507"/>
      <c r="R145" s="510"/>
      <c r="S145" s="510"/>
      <c r="T145" s="510"/>
      <c r="U145" s="510"/>
      <c r="V145" s="513"/>
      <c r="W145" s="582"/>
      <c r="X145" s="507"/>
      <c r="Y145" s="507"/>
      <c r="Z145" s="507"/>
    </row>
    <row r="146" ht="18.75" customHeight="1">
      <c r="A146" s="507"/>
      <c r="B146" s="508"/>
      <c r="C146" s="508"/>
      <c r="D146" s="508"/>
      <c r="E146" s="508"/>
      <c r="F146" s="515"/>
      <c r="G146" s="515"/>
      <c r="H146" s="508"/>
      <c r="I146" s="521"/>
      <c r="J146" s="521"/>
      <c r="K146" s="510"/>
      <c r="L146" s="510"/>
      <c r="M146" s="510"/>
      <c r="N146" s="510"/>
      <c r="O146" s="507"/>
      <c r="P146" s="507"/>
      <c r="Q146" s="507"/>
      <c r="R146" s="510"/>
      <c r="S146" s="510"/>
      <c r="T146" s="510"/>
      <c r="U146" s="510"/>
      <c r="V146" s="513"/>
      <c r="W146" s="582"/>
      <c r="X146" s="507"/>
      <c r="Y146" s="507"/>
      <c r="Z146" s="507"/>
    </row>
    <row r="147" ht="18.75" customHeight="1">
      <c r="A147" s="507"/>
      <c r="B147" s="508"/>
      <c r="C147" s="508"/>
      <c r="D147" s="508"/>
      <c r="E147" s="508"/>
      <c r="F147" s="515"/>
      <c r="G147" s="515"/>
      <c r="H147" s="508"/>
      <c r="I147" s="521"/>
      <c r="J147" s="521"/>
      <c r="K147" s="510"/>
      <c r="L147" s="510"/>
      <c r="M147" s="510"/>
      <c r="N147" s="510"/>
      <c r="O147" s="507"/>
      <c r="P147" s="507"/>
      <c r="Q147" s="507"/>
      <c r="R147" s="510"/>
      <c r="S147" s="510"/>
      <c r="T147" s="510"/>
      <c r="U147" s="510"/>
      <c r="V147" s="513"/>
      <c r="W147" s="582"/>
      <c r="X147" s="507"/>
      <c r="Y147" s="507"/>
      <c r="Z147" s="507"/>
    </row>
    <row r="148" ht="18.75" customHeight="1">
      <c r="A148" s="507"/>
      <c r="B148" s="508"/>
      <c r="C148" s="508"/>
      <c r="D148" s="508"/>
      <c r="E148" s="508"/>
      <c r="F148" s="515"/>
      <c r="G148" s="515"/>
      <c r="H148" s="508"/>
      <c r="I148" s="521"/>
      <c r="J148" s="521"/>
      <c r="K148" s="510"/>
      <c r="L148" s="510"/>
      <c r="M148" s="510"/>
      <c r="N148" s="510"/>
      <c r="O148" s="507"/>
      <c r="P148" s="507"/>
      <c r="Q148" s="507"/>
      <c r="R148" s="510"/>
      <c r="S148" s="510"/>
      <c r="T148" s="510"/>
      <c r="U148" s="510"/>
      <c r="V148" s="513"/>
      <c r="W148" s="582"/>
      <c r="X148" s="507"/>
      <c r="Y148" s="507"/>
      <c r="Z148" s="507"/>
    </row>
    <row r="149" ht="18.75" customHeight="1">
      <c r="A149" s="507"/>
      <c r="B149" s="508"/>
      <c r="C149" s="508"/>
      <c r="D149" s="508"/>
      <c r="E149" s="508"/>
      <c r="F149" s="515"/>
      <c r="G149" s="515"/>
      <c r="H149" s="508"/>
      <c r="I149" s="521"/>
      <c r="J149" s="521"/>
      <c r="K149" s="510"/>
      <c r="L149" s="510"/>
      <c r="M149" s="510"/>
      <c r="N149" s="510"/>
      <c r="O149" s="507"/>
      <c r="P149" s="507"/>
      <c r="Q149" s="507"/>
      <c r="R149" s="510"/>
      <c r="S149" s="510"/>
      <c r="T149" s="510"/>
      <c r="U149" s="510"/>
      <c r="V149" s="513"/>
      <c r="W149" s="582"/>
      <c r="X149" s="507"/>
      <c r="Y149" s="507"/>
      <c r="Z149" s="507"/>
    </row>
    <row r="150" ht="18.75" customHeight="1">
      <c r="A150" s="507"/>
      <c r="B150" s="508"/>
      <c r="C150" s="508"/>
      <c r="D150" s="508"/>
      <c r="E150" s="508"/>
      <c r="F150" s="515"/>
      <c r="G150" s="515"/>
      <c r="H150" s="508"/>
      <c r="I150" s="521"/>
      <c r="J150" s="521"/>
      <c r="K150" s="510"/>
      <c r="L150" s="510"/>
      <c r="M150" s="510"/>
      <c r="N150" s="510"/>
      <c r="O150" s="507"/>
      <c r="P150" s="507"/>
      <c r="Q150" s="507"/>
      <c r="R150" s="510"/>
      <c r="S150" s="510"/>
      <c r="T150" s="510"/>
      <c r="U150" s="510"/>
      <c r="V150" s="513"/>
      <c r="W150" s="582"/>
      <c r="X150" s="507"/>
      <c r="Y150" s="507"/>
      <c r="Z150" s="507"/>
    </row>
    <row r="151" ht="18.75" customHeight="1">
      <c r="A151" s="507"/>
      <c r="B151" s="508"/>
      <c r="C151" s="508"/>
      <c r="D151" s="508"/>
      <c r="E151" s="508"/>
      <c r="F151" s="515"/>
      <c r="G151" s="515"/>
      <c r="H151" s="508"/>
      <c r="I151" s="521"/>
      <c r="J151" s="521"/>
      <c r="K151" s="510"/>
      <c r="L151" s="510"/>
      <c r="M151" s="510"/>
      <c r="N151" s="510"/>
      <c r="O151" s="507"/>
      <c r="P151" s="507"/>
      <c r="Q151" s="507"/>
      <c r="R151" s="510"/>
      <c r="S151" s="510"/>
      <c r="T151" s="510"/>
      <c r="U151" s="510"/>
      <c r="V151" s="513"/>
      <c r="W151" s="582"/>
      <c r="X151" s="507"/>
      <c r="Y151" s="507"/>
      <c r="Z151" s="507"/>
    </row>
    <row r="152" ht="18.75" customHeight="1">
      <c r="A152" s="507"/>
      <c r="B152" s="508"/>
      <c r="C152" s="508"/>
      <c r="D152" s="508"/>
      <c r="E152" s="508"/>
      <c r="F152" s="515"/>
      <c r="G152" s="515"/>
      <c r="H152" s="508"/>
      <c r="I152" s="521"/>
      <c r="J152" s="521"/>
      <c r="K152" s="510"/>
      <c r="L152" s="510"/>
      <c r="M152" s="510"/>
      <c r="N152" s="510"/>
      <c r="O152" s="507"/>
      <c r="P152" s="507"/>
      <c r="Q152" s="507"/>
      <c r="R152" s="510"/>
      <c r="S152" s="510"/>
      <c r="T152" s="510"/>
      <c r="U152" s="510"/>
      <c r="V152" s="513"/>
      <c r="W152" s="582"/>
      <c r="X152" s="507"/>
      <c r="Y152" s="507"/>
      <c r="Z152" s="507"/>
    </row>
    <row r="153" ht="18.75" customHeight="1">
      <c r="A153" s="507"/>
      <c r="B153" s="508"/>
      <c r="C153" s="508"/>
      <c r="D153" s="508"/>
      <c r="E153" s="508"/>
      <c r="F153" s="515"/>
      <c r="G153" s="515"/>
      <c r="H153" s="508"/>
      <c r="I153" s="521"/>
      <c r="J153" s="521"/>
      <c r="K153" s="510"/>
      <c r="L153" s="510"/>
      <c r="M153" s="510"/>
      <c r="N153" s="510"/>
      <c r="O153" s="507"/>
      <c r="P153" s="507"/>
      <c r="Q153" s="507"/>
      <c r="R153" s="510"/>
      <c r="S153" s="510"/>
      <c r="T153" s="510"/>
      <c r="U153" s="510"/>
      <c r="V153" s="513"/>
      <c r="W153" s="582"/>
      <c r="X153" s="507"/>
      <c r="Y153" s="507"/>
      <c r="Z153" s="507"/>
    </row>
    <row r="154" ht="18.75" customHeight="1">
      <c r="A154" s="507"/>
      <c r="B154" s="508"/>
      <c r="C154" s="508"/>
      <c r="D154" s="508"/>
      <c r="E154" s="508"/>
      <c r="F154" s="515"/>
      <c r="G154" s="515"/>
      <c r="H154" s="508"/>
      <c r="I154" s="521"/>
      <c r="J154" s="521"/>
      <c r="K154" s="510"/>
      <c r="L154" s="510"/>
      <c r="M154" s="510"/>
      <c r="N154" s="510"/>
      <c r="O154" s="507"/>
      <c r="P154" s="507"/>
      <c r="Q154" s="507"/>
      <c r="R154" s="510"/>
      <c r="S154" s="510"/>
      <c r="T154" s="510"/>
      <c r="U154" s="510"/>
      <c r="V154" s="513"/>
      <c r="W154" s="582"/>
      <c r="X154" s="507"/>
      <c r="Y154" s="507"/>
      <c r="Z154" s="507"/>
    </row>
    <row r="155" ht="18.75" customHeight="1">
      <c r="A155" s="507"/>
      <c r="B155" s="508"/>
      <c r="C155" s="508"/>
      <c r="D155" s="508"/>
      <c r="E155" s="508"/>
      <c r="F155" s="515"/>
      <c r="G155" s="515"/>
      <c r="H155" s="508"/>
      <c r="I155" s="521"/>
      <c r="J155" s="521"/>
      <c r="K155" s="510"/>
      <c r="L155" s="510"/>
      <c r="M155" s="510"/>
      <c r="N155" s="510"/>
      <c r="O155" s="507"/>
      <c r="P155" s="507"/>
      <c r="Q155" s="507"/>
      <c r="R155" s="510"/>
      <c r="S155" s="510"/>
      <c r="T155" s="510"/>
      <c r="U155" s="510"/>
      <c r="V155" s="513"/>
      <c r="W155" s="582"/>
      <c r="X155" s="507"/>
      <c r="Y155" s="507"/>
      <c r="Z155" s="507"/>
    </row>
    <row r="156" ht="18.75" customHeight="1">
      <c r="A156" s="507"/>
      <c r="B156" s="508"/>
      <c r="C156" s="508"/>
      <c r="D156" s="508"/>
      <c r="E156" s="508"/>
      <c r="F156" s="515"/>
      <c r="G156" s="515"/>
      <c r="H156" s="508"/>
      <c r="I156" s="521"/>
      <c r="J156" s="521"/>
      <c r="K156" s="510"/>
      <c r="L156" s="510"/>
      <c r="M156" s="510"/>
      <c r="N156" s="510"/>
      <c r="O156" s="507"/>
      <c r="P156" s="507"/>
      <c r="Q156" s="507"/>
      <c r="R156" s="510"/>
      <c r="S156" s="510"/>
      <c r="T156" s="510"/>
      <c r="U156" s="510"/>
      <c r="V156" s="513"/>
      <c r="W156" s="582"/>
      <c r="X156" s="507"/>
      <c r="Y156" s="507"/>
      <c r="Z156" s="507"/>
    </row>
    <row r="157" ht="18.75" customHeight="1">
      <c r="A157" s="507"/>
      <c r="B157" s="508"/>
      <c r="C157" s="508"/>
      <c r="D157" s="508"/>
      <c r="E157" s="508"/>
      <c r="F157" s="515"/>
      <c r="G157" s="515"/>
      <c r="H157" s="508"/>
      <c r="I157" s="521"/>
      <c r="J157" s="521"/>
      <c r="K157" s="510"/>
      <c r="L157" s="510"/>
      <c r="M157" s="510"/>
      <c r="N157" s="510"/>
      <c r="O157" s="507"/>
      <c r="P157" s="507"/>
      <c r="Q157" s="507"/>
      <c r="R157" s="510"/>
      <c r="S157" s="510"/>
      <c r="T157" s="510"/>
      <c r="U157" s="510"/>
      <c r="V157" s="513"/>
      <c r="W157" s="582"/>
      <c r="X157" s="507"/>
      <c r="Y157" s="507"/>
      <c r="Z157" s="507"/>
    </row>
    <row r="158" ht="18.75" customHeight="1">
      <c r="A158" s="507"/>
      <c r="B158" s="508"/>
      <c r="C158" s="508"/>
      <c r="D158" s="508"/>
      <c r="E158" s="508"/>
      <c r="F158" s="515"/>
      <c r="G158" s="515"/>
      <c r="H158" s="508"/>
      <c r="I158" s="521"/>
      <c r="J158" s="521"/>
      <c r="K158" s="510"/>
      <c r="L158" s="510"/>
      <c r="M158" s="510"/>
      <c r="N158" s="510"/>
      <c r="O158" s="507"/>
      <c r="P158" s="507"/>
      <c r="Q158" s="507"/>
      <c r="R158" s="510"/>
      <c r="S158" s="510"/>
      <c r="T158" s="510"/>
      <c r="U158" s="510"/>
      <c r="V158" s="513"/>
      <c r="W158" s="582"/>
      <c r="X158" s="507"/>
      <c r="Y158" s="507"/>
      <c r="Z158" s="507"/>
    </row>
    <row r="159" ht="18.75" customHeight="1">
      <c r="A159" s="507"/>
      <c r="B159" s="508"/>
      <c r="C159" s="508"/>
      <c r="D159" s="508"/>
      <c r="E159" s="508"/>
      <c r="F159" s="515"/>
      <c r="G159" s="515"/>
      <c r="H159" s="508"/>
      <c r="I159" s="521"/>
      <c r="J159" s="521"/>
      <c r="K159" s="510"/>
      <c r="L159" s="510"/>
      <c r="M159" s="510"/>
      <c r="N159" s="510"/>
      <c r="O159" s="507"/>
      <c r="P159" s="507"/>
      <c r="Q159" s="507"/>
      <c r="R159" s="510"/>
      <c r="S159" s="510"/>
      <c r="T159" s="510"/>
      <c r="U159" s="510"/>
      <c r="V159" s="513"/>
      <c r="W159" s="582"/>
      <c r="X159" s="507"/>
      <c r="Y159" s="507"/>
      <c r="Z159" s="507"/>
    </row>
    <row r="160" ht="18.75" customHeight="1">
      <c r="A160" s="507"/>
      <c r="B160" s="508"/>
      <c r="C160" s="508"/>
      <c r="D160" s="508"/>
      <c r="E160" s="508"/>
      <c r="F160" s="515"/>
      <c r="G160" s="515"/>
      <c r="H160" s="508"/>
      <c r="I160" s="521"/>
      <c r="J160" s="521"/>
      <c r="K160" s="510"/>
      <c r="L160" s="510"/>
      <c r="M160" s="510"/>
      <c r="N160" s="510"/>
      <c r="O160" s="507"/>
      <c r="P160" s="507"/>
      <c r="Q160" s="507"/>
      <c r="R160" s="510"/>
      <c r="S160" s="510"/>
      <c r="T160" s="510"/>
      <c r="U160" s="510"/>
      <c r="V160" s="513"/>
      <c r="W160" s="582"/>
      <c r="X160" s="507"/>
      <c r="Y160" s="507"/>
      <c r="Z160" s="507"/>
    </row>
    <row r="161" ht="18.75" customHeight="1">
      <c r="A161" s="507"/>
      <c r="B161" s="508"/>
      <c r="C161" s="508"/>
      <c r="D161" s="508"/>
      <c r="E161" s="508"/>
      <c r="F161" s="515"/>
      <c r="G161" s="515"/>
      <c r="H161" s="508"/>
      <c r="I161" s="521"/>
      <c r="J161" s="521"/>
      <c r="K161" s="510"/>
      <c r="L161" s="510"/>
      <c r="M161" s="510"/>
      <c r="N161" s="510"/>
      <c r="O161" s="507"/>
      <c r="P161" s="507"/>
      <c r="Q161" s="507"/>
      <c r="R161" s="510"/>
      <c r="S161" s="510"/>
      <c r="T161" s="510"/>
      <c r="U161" s="510"/>
      <c r="V161" s="513"/>
      <c r="W161" s="582"/>
      <c r="X161" s="507"/>
      <c r="Y161" s="507"/>
      <c r="Z161" s="507"/>
    </row>
    <row r="162" ht="18.75" customHeight="1">
      <c r="A162" s="507"/>
      <c r="B162" s="508"/>
      <c r="C162" s="508"/>
      <c r="D162" s="508"/>
      <c r="E162" s="508"/>
      <c r="F162" s="515"/>
      <c r="G162" s="515"/>
      <c r="H162" s="508"/>
      <c r="I162" s="521"/>
      <c r="J162" s="521"/>
      <c r="K162" s="510"/>
      <c r="L162" s="510"/>
      <c r="M162" s="510"/>
      <c r="N162" s="510"/>
      <c r="O162" s="507"/>
      <c r="P162" s="507"/>
      <c r="Q162" s="507"/>
      <c r="R162" s="510"/>
      <c r="S162" s="510"/>
      <c r="T162" s="510"/>
      <c r="U162" s="510"/>
      <c r="V162" s="513"/>
      <c r="W162" s="582"/>
      <c r="X162" s="507"/>
      <c r="Y162" s="507"/>
      <c r="Z162" s="507"/>
    </row>
    <row r="163" ht="18.75" customHeight="1">
      <c r="A163" s="507"/>
      <c r="B163" s="508"/>
      <c r="C163" s="508"/>
      <c r="D163" s="508"/>
      <c r="E163" s="508"/>
      <c r="F163" s="515"/>
      <c r="G163" s="515"/>
      <c r="H163" s="508"/>
      <c r="I163" s="521"/>
      <c r="J163" s="521"/>
      <c r="K163" s="510"/>
      <c r="L163" s="510"/>
      <c r="M163" s="510"/>
      <c r="N163" s="510"/>
      <c r="O163" s="507"/>
      <c r="P163" s="507"/>
      <c r="Q163" s="507"/>
      <c r="R163" s="510"/>
      <c r="S163" s="510"/>
      <c r="T163" s="510"/>
      <c r="U163" s="510"/>
      <c r="V163" s="513"/>
      <c r="W163" s="582"/>
      <c r="X163" s="507"/>
      <c r="Y163" s="507"/>
      <c r="Z163" s="507"/>
    </row>
    <row r="164" ht="18.75" customHeight="1">
      <c r="A164" s="507"/>
      <c r="B164" s="508"/>
      <c r="C164" s="508"/>
      <c r="D164" s="508"/>
      <c r="E164" s="508"/>
      <c r="F164" s="515"/>
      <c r="G164" s="515"/>
      <c r="H164" s="508"/>
      <c r="I164" s="521"/>
      <c r="J164" s="521"/>
      <c r="K164" s="510"/>
      <c r="L164" s="510"/>
      <c r="M164" s="510"/>
      <c r="N164" s="510"/>
      <c r="O164" s="507"/>
      <c r="P164" s="507"/>
      <c r="Q164" s="507"/>
      <c r="R164" s="510"/>
      <c r="S164" s="510"/>
      <c r="T164" s="510"/>
      <c r="U164" s="510"/>
      <c r="V164" s="513"/>
      <c r="W164" s="582"/>
      <c r="X164" s="507"/>
      <c r="Y164" s="507"/>
      <c r="Z164" s="507"/>
    </row>
    <row r="165" ht="18.75" customHeight="1">
      <c r="A165" s="507"/>
      <c r="B165" s="508"/>
      <c r="C165" s="508"/>
      <c r="D165" s="508"/>
      <c r="E165" s="508"/>
      <c r="F165" s="515"/>
      <c r="G165" s="515"/>
      <c r="H165" s="508"/>
      <c r="I165" s="521"/>
      <c r="J165" s="521"/>
      <c r="K165" s="510"/>
      <c r="L165" s="510"/>
      <c r="M165" s="510"/>
      <c r="N165" s="510"/>
      <c r="O165" s="507"/>
      <c r="P165" s="507"/>
      <c r="Q165" s="507"/>
      <c r="R165" s="510"/>
      <c r="S165" s="510"/>
      <c r="T165" s="510"/>
      <c r="U165" s="510"/>
      <c r="V165" s="513"/>
      <c r="W165" s="582"/>
      <c r="X165" s="507"/>
      <c r="Y165" s="507"/>
      <c r="Z165" s="507"/>
    </row>
    <row r="166" ht="18.75" customHeight="1">
      <c r="A166" s="507"/>
      <c r="B166" s="508"/>
      <c r="C166" s="508"/>
      <c r="D166" s="508"/>
      <c r="E166" s="508"/>
      <c r="F166" s="515"/>
      <c r="G166" s="515"/>
      <c r="H166" s="508"/>
      <c r="I166" s="521"/>
      <c r="J166" s="521"/>
      <c r="K166" s="510"/>
      <c r="L166" s="510"/>
      <c r="M166" s="510"/>
      <c r="N166" s="510"/>
      <c r="O166" s="507"/>
      <c r="P166" s="507"/>
      <c r="Q166" s="507"/>
      <c r="R166" s="510"/>
      <c r="S166" s="510"/>
      <c r="T166" s="510"/>
      <c r="U166" s="510"/>
      <c r="V166" s="513"/>
      <c r="W166" s="582"/>
      <c r="X166" s="507"/>
      <c r="Y166" s="507"/>
      <c r="Z166" s="507"/>
    </row>
    <row r="167" ht="18.75" customHeight="1">
      <c r="A167" s="507"/>
      <c r="B167" s="508"/>
      <c r="C167" s="508"/>
      <c r="D167" s="508"/>
      <c r="E167" s="508"/>
      <c r="F167" s="515"/>
      <c r="G167" s="515"/>
      <c r="H167" s="508"/>
      <c r="I167" s="521"/>
      <c r="J167" s="521"/>
      <c r="K167" s="510"/>
      <c r="L167" s="510"/>
      <c r="M167" s="510"/>
      <c r="N167" s="510"/>
      <c r="O167" s="507"/>
      <c r="P167" s="507"/>
      <c r="Q167" s="507"/>
      <c r="R167" s="510"/>
      <c r="S167" s="510"/>
      <c r="T167" s="510"/>
      <c r="U167" s="510"/>
      <c r="V167" s="513"/>
      <c r="W167" s="582"/>
      <c r="X167" s="507"/>
      <c r="Y167" s="507"/>
      <c r="Z167" s="507"/>
    </row>
    <row r="168" ht="18.75" customHeight="1">
      <c r="A168" s="507"/>
      <c r="B168" s="508"/>
      <c r="C168" s="508"/>
      <c r="D168" s="508"/>
      <c r="E168" s="508"/>
      <c r="F168" s="515"/>
      <c r="G168" s="515"/>
      <c r="H168" s="508"/>
      <c r="I168" s="521"/>
      <c r="J168" s="521"/>
      <c r="K168" s="510"/>
      <c r="L168" s="510"/>
      <c r="M168" s="510"/>
      <c r="N168" s="510"/>
      <c r="O168" s="507"/>
      <c r="P168" s="507"/>
      <c r="Q168" s="507"/>
      <c r="R168" s="510"/>
      <c r="S168" s="510"/>
      <c r="T168" s="510"/>
      <c r="U168" s="510"/>
      <c r="V168" s="513"/>
      <c r="W168" s="582"/>
      <c r="X168" s="507"/>
      <c r="Y168" s="507"/>
      <c r="Z168" s="507"/>
    </row>
    <row r="169" ht="18.75" customHeight="1">
      <c r="A169" s="507"/>
      <c r="B169" s="508"/>
      <c r="C169" s="508"/>
      <c r="D169" s="508"/>
      <c r="E169" s="508"/>
      <c r="F169" s="515"/>
      <c r="G169" s="515"/>
      <c r="H169" s="508"/>
      <c r="I169" s="521"/>
      <c r="J169" s="521"/>
      <c r="K169" s="510"/>
      <c r="L169" s="510"/>
      <c r="M169" s="510"/>
      <c r="N169" s="510"/>
      <c r="O169" s="507"/>
      <c r="P169" s="507"/>
      <c r="Q169" s="507"/>
      <c r="R169" s="510"/>
      <c r="S169" s="510"/>
      <c r="T169" s="510"/>
      <c r="U169" s="510"/>
      <c r="V169" s="513"/>
      <c r="W169" s="582"/>
      <c r="X169" s="507"/>
      <c r="Y169" s="507"/>
      <c r="Z169" s="507"/>
    </row>
    <row r="170" ht="18.75" customHeight="1">
      <c r="A170" s="507"/>
      <c r="B170" s="508"/>
      <c r="C170" s="508"/>
      <c r="D170" s="508"/>
      <c r="E170" s="508"/>
      <c r="F170" s="515"/>
      <c r="G170" s="515"/>
      <c r="H170" s="508"/>
      <c r="I170" s="521"/>
      <c r="J170" s="521"/>
      <c r="K170" s="510"/>
      <c r="L170" s="510"/>
      <c r="M170" s="510"/>
      <c r="N170" s="510"/>
      <c r="O170" s="507"/>
      <c r="P170" s="507"/>
      <c r="Q170" s="507"/>
      <c r="R170" s="510"/>
      <c r="S170" s="510"/>
      <c r="T170" s="510"/>
      <c r="U170" s="510"/>
      <c r="V170" s="513"/>
      <c r="W170" s="582"/>
      <c r="X170" s="507"/>
      <c r="Y170" s="507"/>
      <c r="Z170" s="507"/>
    </row>
    <row r="171" ht="18.75" customHeight="1">
      <c r="A171" s="507"/>
      <c r="B171" s="508"/>
      <c r="C171" s="508"/>
      <c r="D171" s="508"/>
      <c r="E171" s="508"/>
      <c r="F171" s="515"/>
      <c r="G171" s="515"/>
      <c r="H171" s="508"/>
      <c r="I171" s="521"/>
      <c r="J171" s="521"/>
      <c r="K171" s="510"/>
      <c r="L171" s="510"/>
      <c r="M171" s="510"/>
      <c r="N171" s="510"/>
      <c r="O171" s="507"/>
      <c r="P171" s="507"/>
      <c r="Q171" s="507"/>
      <c r="R171" s="510"/>
      <c r="S171" s="510"/>
      <c r="T171" s="510"/>
      <c r="U171" s="510"/>
      <c r="V171" s="513"/>
      <c r="W171" s="582"/>
      <c r="X171" s="507"/>
      <c r="Y171" s="507"/>
      <c r="Z171" s="507"/>
    </row>
    <row r="172" ht="18.75" customHeight="1">
      <c r="A172" s="507"/>
      <c r="B172" s="508"/>
      <c r="C172" s="508"/>
      <c r="D172" s="508"/>
      <c r="E172" s="508"/>
      <c r="F172" s="515"/>
      <c r="G172" s="515"/>
      <c r="H172" s="508"/>
      <c r="I172" s="521"/>
      <c r="J172" s="521"/>
      <c r="K172" s="510"/>
      <c r="L172" s="510"/>
      <c r="M172" s="510"/>
      <c r="N172" s="510"/>
      <c r="O172" s="507"/>
      <c r="P172" s="507"/>
      <c r="Q172" s="507"/>
      <c r="R172" s="510"/>
      <c r="S172" s="510"/>
      <c r="T172" s="510"/>
      <c r="U172" s="510"/>
      <c r="V172" s="513"/>
      <c r="W172" s="582"/>
      <c r="X172" s="507"/>
      <c r="Y172" s="507"/>
      <c r="Z172" s="507"/>
    </row>
    <row r="173" ht="18.75" customHeight="1">
      <c r="A173" s="507"/>
      <c r="B173" s="508"/>
      <c r="C173" s="508"/>
      <c r="D173" s="508"/>
      <c r="E173" s="508"/>
      <c r="F173" s="515"/>
      <c r="G173" s="515"/>
      <c r="H173" s="508"/>
      <c r="I173" s="521"/>
      <c r="J173" s="521"/>
      <c r="K173" s="510"/>
      <c r="L173" s="510"/>
      <c r="M173" s="510"/>
      <c r="N173" s="510"/>
      <c r="O173" s="507"/>
      <c r="P173" s="507"/>
      <c r="Q173" s="507"/>
      <c r="R173" s="510"/>
      <c r="S173" s="510"/>
      <c r="T173" s="510"/>
      <c r="U173" s="510"/>
      <c r="V173" s="513"/>
      <c r="W173" s="582"/>
      <c r="X173" s="507"/>
      <c r="Y173" s="507"/>
      <c r="Z173" s="507"/>
    </row>
    <row r="174" ht="18.75" customHeight="1">
      <c r="A174" s="507"/>
      <c r="B174" s="508"/>
      <c r="C174" s="508"/>
      <c r="D174" s="508"/>
      <c r="E174" s="508"/>
      <c r="F174" s="515"/>
      <c r="G174" s="515"/>
      <c r="H174" s="508"/>
      <c r="I174" s="521"/>
      <c r="J174" s="521"/>
      <c r="K174" s="510"/>
      <c r="L174" s="510"/>
      <c r="M174" s="510"/>
      <c r="N174" s="510"/>
      <c r="O174" s="507"/>
      <c r="P174" s="507"/>
      <c r="Q174" s="507"/>
      <c r="R174" s="510"/>
      <c r="S174" s="510"/>
      <c r="T174" s="510"/>
      <c r="U174" s="510"/>
      <c r="V174" s="513"/>
      <c r="W174" s="582"/>
      <c r="X174" s="507"/>
      <c r="Y174" s="507"/>
      <c r="Z174" s="507"/>
    </row>
    <row r="175" ht="18.75" customHeight="1">
      <c r="A175" s="507"/>
      <c r="B175" s="508"/>
      <c r="C175" s="508"/>
      <c r="D175" s="508"/>
      <c r="E175" s="508"/>
      <c r="F175" s="515"/>
      <c r="G175" s="515"/>
      <c r="H175" s="508"/>
      <c r="I175" s="521"/>
      <c r="J175" s="521"/>
      <c r="K175" s="510"/>
      <c r="L175" s="510"/>
      <c r="M175" s="510"/>
      <c r="N175" s="510"/>
      <c r="O175" s="507"/>
      <c r="P175" s="507"/>
      <c r="Q175" s="507"/>
      <c r="R175" s="510"/>
      <c r="S175" s="510"/>
      <c r="T175" s="510"/>
      <c r="U175" s="510"/>
      <c r="V175" s="513"/>
      <c r="W175" s="582"/>
      <c r="X175" s="507"/>
      <c r="Y175" s="507"/>
      <c r="Z175" s="507"/>
    </row>
    <row r="176" ht="18.75" customHeight="1">
      <c r="A176" s="507"/>
      <c r="B176" s="508"/>
      <c r="C176" s="508"/>
      <c r="D176" s="508"/>
      <c r="E176" s="508"/>
      <c r="F176" s="515"/>
      <c r="G176" s="515"/>
      <c r="H176" s="508"/>
      <c r="I176" s="521"/>
      <c r="J176" s="521"/>
      <c r="K176" s="510"/>
      <c r="L176" s="510"/>
      <c r="M176" s="510"/>
      <c r="N176" s="510"/>
      <c r="O176" s="507"/>
      <c r="P176" s="507"/>
      <c r="Q176" s="507"/>
      <c r="R176" s="510"/>
      <c r="S176" s="510"/>
      <c r="T176" s="510"/>
      <c r="U176" s="510"/>
      <c r="V176" s="513"/>
      <c r="W176" s="582"/>
      <c r="X176" s="507"/>
      <c r="Y176" s="507"/>
      <c r="Z176" s="507"/>
    </row>
    <row r="177" ht="18.75" customHeight="1">
      <c r="A177" s="507"/>
      <c r="B177" s="508"/>
      <c r="C177" s="508"/>
      <c r="D177" s="508"/>
      <c r="E177" s="508"/>
      <c r="F177" s="515"/>
      <c r="G177" s="515"/>
      <c r="H177" s="508"/>
      <c r="I177" s="521"/>
      <c r="J177" s="521"/>
      <c r="K177" s="510"/>
      <c r="L177" s="510"/>
      <c r="M177" s="510"/>
      <c r="N177" s="510"/>
      <c r="O177" s="507"/>
      <c r="P177" s="507"/>
      <c r="Q177" s="507"/>
      <c r="R177" s="510"/>
      <c r="S177" s="510"/>
      <c r="T177" s="510"/>
      <c r="U177" s="510"/>
      <c r="V177" s="513"/>
      <c r="W177" s="582"/>
      <c r="X177" s="507"/>
      <c r="Y177" s="507"/>
      <c r="Z177" s="507"/>
    </row>
    <row r="178" ht="18.75" customHeight="1">
      <c r="A178" s="507"/>
      <c r="B178" s="508"/>
      <c r="C178" s="508"/>
      <c r="D178" s="508"/>
      <c r="E178" s="508"/>
      <c r="F178" s="515"/>
      <c r="G178" s="515"/>
      <c r="H178" s="508"/>
      <c r="I178" s="521"/>
      <c r="J178" s="521"/>
      <c r="K178" s="510"/>
      <c r="L178" s="510"/>
      <c r="M178" s="510"/>
      <c r="N178" s="510"/>
      <c r="O178" s="507"/>
      <c r="P178" s="507"/>
      <c r="Q178" s="507"/>
      <c r="R178" s="510"/>
      <c r="S178" s="510"/>
      <c r="T178" s="510"/>
      <c r="U178" s="510"/>
      <c r="V178" s="513"/>
      <c r="W178" s="582"/>
      <c r="X178" s="507"/>
      <c r="Y178" s="507"/>
      <c r="Z178" s="507"/>
    </row>
    <row r="179" ht="18.75" customHeight="1">
      <c r="A179" s="507"/>
      <c r="B179" s="508"/>
      <c r="C179" s="508"/>
      <c r="D179" s="508"/>
      <c r="E179" s="508"/>
      <c r="F179" s="515"/>
      <c r="G179" s="515"/>
      <c r="H179" s="508"/>
      <c r="I179" s="521"/>
      <c r="J179" s="521"/>
      <c r="K179" s="510"/>
      <c r="L179" s="510"/>
      <c r="M179" s="510"/>
      <c r="N179" s="510"/>
      <c r="O179" s="507"/>
      <c r="P179" s="507"/>
      <c r="Q179" s="507"/>
      <c r="R179" s="510"/>
      <c r="S179" s="510"/>
      <c r="T179" s="510"/>
      <c r="U179" s="510"/>
      <c r="V179" s="513"/>
      <c r="W179" s="582"/>
      <c r="X179" s="507"/>
      <c r="Y179" s="507"/>
      <c r="Z179" s="507"/>
    </row>
    <row r="180" ht="18.75" customHeight="1">
      <c r="A180" s="507"/>
      <c r="B180" s="508"/>
      <c r="C180" s="508"/>
      <c r="D180" s="508"/>
      <c r="E180" s="508"/>
      <c r="F180" s="515"/>
      <c r="G180" s="515"/>
      <c r="H180" s="508"/>
      <c r="I180" s="521"/>
      <c r="J180" s="521"/>
      <c r="K180" s="510"/>
      <c r="L180" s="510"/>
      <c r="M180" s="510"/>
      <c r="N180" s="510"/>
      <c r="O180" s="507"/>
      <c r="P180" s="507"/>
      <c r="Q180" s="507"/>
      <c r="R180" s="510"/>
      <c r="S180" s="510"/>
      <c r="T180" s="510"/>
      <c r="U180" s="510"/>
      <c r="V180" s="513"/>
      <c r="W180" s="582"/>
      <c r="X180" s="507"/>
      <c r="Y180" s="507"/>
      <c r="Z180" s="507"/>
    </row>
    <row r="181" ht="18.75" customHeight="1">
      <c r="A181" s="507"/>
      <c r="B181" s="508"/>
      <c r="C181" s="508"/>
      <c r="D181" s="508"/>
      <c r="E181" s="508"/>
      <c r="F181" s="515"/>
      <c r="G181" s="515"/>
      <c r="H181" s="508"/>
      <c r="I181" s="521"/>
      <c r="J181" s="521"/>
      <c r="K181" s="510"/>
      <c r="L181" s="510"/>
      <c r="M181" s="510"/>
      <c r="N181" s="510"/>
      <c r="O181" s="507"/>
      <c r="P181" s="507"/>
      <c r="Q181" s="507"/>
      <c r="R181" s="510"/>
      <c r="S181" s="510"/>
      <c r="T181" s="510"/>
      <c r="U181" s="510"/>
      <c r="V181" s="513"/>
      <c r="W181" s="582"/>
      <c r="X181" s="507"/>
      <c r="Y181" s="507"/>
      <c r="Z181" s="507"/>
    </row>
    <row r="182" ht="18.75" customHeight="1">
      <c r="A182" s="507"/>
      <c r="B182" s="508"/>
      <c r="C182" s="508"/>
      <c r="D182" s="508"/>
      <c r="E182" s="508"/>
      <c r="F182" s="515"/>
      <c r="G182" s="515"/>
      <c r="H182" s="508"/>
      <c r="I182" s="521"/>
      <c r="J182" s="521"/>
      <c r="K182" s="510"/>
      <c r="L182" s="510"/>
      <c r="M182" s="510"/>
      <c r="N182" s="510"/>
      <c r="O182" s="507"/>
      <c r="P182" s="507"/>
      <c r="Q182" s="507"/>
      <c r="R182" s="510"/>
      <c r="S182" s="510"/>
      <c r="T182" s="510"/>
      <c r="U182" s="510"/>
      <c r="V182" s="513"/>
      <c r="W182" s="582"/>
      <c r="X182" s="507"/>
      <c r="Y182" s="507"/>
      <c r="Z182" s="507"/>
    </row>
    <row r="183" ht="18.75" customHeight="1">
      <c r="A183" s="507"/>
      <c r="B183" s="508"/>
      <c r="C183" s="508"/>
      <c r="D183" s="508"/>
      <c r="E183" s="508"/>
      <c r="F183" s="515"/>
      <c r="G183" s="515"/>
      <c r="H183" s="508"/>
      <c r="I183" s="521"/>
      <c r="J183" s="521"/>
      <c r="K183" s="510"/>
      <c r="L183" s="510"/>
      <c r="M183" s="510"/>
      <c r="N183" s="510"/>
      <c r="O183" s="507"/>
      <c r="P183" s="507"/>
      <c r="Q183" s="507"/>
      <c r="R183" s="510"/>
      <c r="S183" s="510"/>
      <c r="T183" s="510"/>
      <c r="U183" s="510"/>
      <c r="V183" s="513"/>
      <c r="W183" s="582"/>
      <c r="X183" s="507"/>
      <c r="Y183" s="507"/>
      <c r="Z183" s="507"/>
    </row>
    <row r="184" ht="18.75" customHeight="1">
      <c r="A184" s="507"/>
      <c r="B184" s="508"/>
      <c r="C184" s="508"/>
      <c r="D184" s="508"/>
      <c r="E184" s="508"/>
      <c r="F184" s="515"/>
      <c r="G184" s="515"/>
      <c r="H184" s="508"/>
      <c r="I184" s="521"/>
      <c r="J184" s="521"/>
      <c r="K184" s="510"/>
      <c r="L184" s="510"/>
      <c r="M184" s="510"/>
      <c r="N184" s="510"/>
      <c r="O184" s="507"/>
      <c r="P184" s="507"/>
      <c r="Q184" s="507"/>
      <c r="R184" s="510"/>
      <c r="S184" s="510"/>
      <c r="T184" s="510"/>
      <c r="U184" s="510"/>
      <c r="V184" s="513"/>
      <c r="W184" s="582"/>
      <c r="X184" s="507"/>
      <c r="Y184" s="507"/>
      <c r="Z184" s="507"/>
    </row>
    <row r="185" ht="18.75" customHeight="1">
      <c r="A185" s="507"/>
      <c r="B185" s="508"/>
      <c r="C185" s="508"/>
      <c r="D185" s="508"/>
      <c r="E185" s="508"/>
      <c r="F185" s="515"/>
      <c r="G185" s="515"/>
      <c r="H185" s="508"/>
      <c r="I185" s="521"/>
      <c r="J185" s="521"/>
      <c r="K185" s="510"/>
      <c r="L185" s="510"/>
      <c r="M185" s="510"/>
      <c r="N185" s="510"/>
      <c r="O185" s="507"/>
      <c r="P185" s="507"/>
      <c r="Q185" s="507"/>
      <c r="R185" s="510"/>
      <c r="S185" s="510"/>
      <c r="T185" s="510"/>
      <c r="U185" s="510"/>
      <c r="V185" s="513"/>
      <c r="W185" s="582"/>
      <c r="X185" s="507"/>
      <c r="Y185" s="507"/>
      <c r="Z185" s="507"/>
    </row>
    <row r="186" ht="18.75" customHeight="1">
      <c r="A186" s="507"/>
      <c r="B186" s="508"/>
      <c r="C186" s="508"/>
      <c r="D186" s="508"/>
      <c r="E186" s="508"/>
      <c r="F186" s="515"/>
      <c r="G186" s="515"/>
      <c r="H186" s="508"/>
      <c r="I186" s="521"/>
      <c r="J186" s="521"/>
      <c r="K186" s="510"/>
      <c r="L186" s="510"/>
      <c r="M186" s="510"/>
      <c r="N186" s="510"/>
      <c r="O186" s="507"/>
      <c r="P186" s="507"/>
      <c r="Q186" s="507"/>
      <c r="R186" s="510"/>
      <c r="S186" s="510"/>
      <c r="T186" s="510"/>
      <c r="U186" s="510"/>
      <c r="V186" s="513"/>
      <c r="W186" s="582"/>
      <c r="X186" s="507"/>
      <c r="Y186" s="507"/>
      <c r="Z186" s="507"/>
    </row>
    <row r="187" ht="18.75" customHeight="1">
      <c r="A187" s="507"/>
      <c r="B187" s="508"/>
      <c r="C187" s="508"/>
      <c r="D187" s="508"/>
      <c r="E187" s="508"/>
      <c r="F187" s="515"/>
      <c r="G187" s="515"/>
      <c r="H187" s="508"/>
      <c r="I187" s="521"/>
      <c r="J187" s="521"/>
      <c r="K187" s="510"/>
      <c r="L187" s="510"/>
      <c r="M187" s="510"/>
      <c r="N187" s="510"/>
      <c r="O187" s="507"/>
      <c r="P187" s="507"/>
      <c r="Q187" s="507"/>
      <c r="R187" s="510"/>
      <c r="S187" s="510"/>
      <c r="T187" s="510"/>
      <c r="U187" s="510"/>
      <c r="V187" s="513"/>
      <c r="W187" s="582"/>
      <c r="X187" s="507"/>
      <c r="Y187" s="507"/>
      <c r="Z187" s="507"/>
    </row>
    <row r="188" ht="18.75" customHeight="1">
      <c r="A188" s="507"/>
      <c r="B188" s="508"/>
      <c r="C188" s="508"/>
      <c r="D188" s="508"/>
      <c r="E188" s="508"/>
      <c r="F188" s="515"/>
      <c r="G188" s="515"/>
      <c r="H188" s="508"/>
      <c r="I188" s="521"/>
      <c r="J188" s="521"/>
      <c r="K188" s="510"/>
      <c r="L188" s="510"/>
      <c r="M188" s="510"/>
      <c r="N188" s="510"/>
      <c r="O188" s="507"/>
      <c r="P188" s="507"/>
      <c r="Q188" s="507"/>
      <c r="R188" s="510"/>
      <c r="S188" s="510"/>
      <c r="T188" s="510"/>
      <c r="U188" s="510"/>
      <c r="V188" s="513"/>
      <c r="W188" s="582"/>
      <c r="X188" s="507"/>
      <c r="Y188" s="507"/>
      <c r="Z188" s="507"/>
    </row>
    <row r="189" ht="18.75" customHeight="1">
      <c r="A189" s="507"/>
      <c r="B189" s="508"/>
      <c r="C189" s="508"/>
      <c r="D189" s="508"/>
      <c r="E189" s="508"/>
      <c r="F189" s="515"/>
      <c r="G189" s="515"/>
      <c r="H189" s="508"/>
      <c r="I189" s="521"/>
      <c r="J189" s="521"/>
      <c r="K189" s="510"/>
      <c r="L189" s="510"/>
      <c r="M189" s="510"/>
      <c r="N189" s="510"/>
      <c r="O189" s="507"/>
      <c r="P189" s="507"/>
      <c r="Q189" s="507"/>
      <c r="R189" s="510"/>
      <c r="S189" s="510"/>
      <c r="T189" s="510"/>
      <c r="U189" s="510"/>
      <c r="V189" s="513"/>
      <c r="W189" s="582"/>
      <c r="X189" s="507"/>
      <c r="Y189" s="507"/>
      <c r="Z189" s="507"/>
    </row>
    <row r="190" ht="18.75" customHeight="1">
      <c r="A190" s="507"/>
      <c r="B190" s="508"/>
      <c r="C190" s="508"/>
      <c r="D190" s="508"/>
      <c r="E190" s="508"/>
      <c r="F190" s="515"/>
      <c r="G190" s="515"/>
      <c r="H190" s="508"/>
      <c r="I190" s="521"/>
      <c r="J190" s="521"/>
      <c r="K190" s="510"/>
      <c r="L190" s="510"/>
      <c r="M190" s="510"/>
      <c r="N190" s="510"/>
      <c r="O190" s="507"/>
      <c r="P190" s="507"/>
      <c r="Q190" s="507"/>
      <c r="R190" s="510"/>
      <c r="S190" s="510"/>
      <c r="T190" s="510"/>
      <c r="U190" s="510"/>
      <c r="V190" s="513"/>
      <c r="W190" s="582"/>
      <c r="X190" s="507"/>
      <c r="Y190" s="507"/>
      <c r="Z190" s="507"/>
    </row>
    <row r="191" ht="18.75" customHeight="1">
      <c r="A191" s="507"/>
      <c r="B191" s="508"/>
      <c r="C191" s="508"/>
      <c r="D191" s="508"/>
      <c r="E191" s="508"/>
      <c r="F191" s="515"/>
      <c r="G191" s="515"/>
      <c r="H191" s="508"/>
      <c r="I191" s="521"/>
      <c r="J191" s="521"/>
      <c r="K191" s="510"/>
      <c r="L191" s="510"/>
      <c r="M191" s="510"/>
      <c r="N191" s="510"/>
      <c r="O191" s="507"/>
      <c r="P191" s="507"/>
      <c r="Q191" s="507"/>
      <c r="R191" s="510"/>
      <c r="S191" s="510"/>
      <c r="T191" s="510"/>
      <c r="U191" s="510"/>
      <c r="V191" s="513"/>
      <c r="W191" s="582"/>
      <c r="X191" s="507"/>
      <c r="Y191" s="507"/>
      <c r="Z191" s="507"/>
    </row>
    <row r="192" ht="18.75" customHeight="1">
      <c r="A192" s="507"/>
      <c r="B192" s="508"/>
      <c r="C192" s="508"/>
      <c r="D192" s="508"/>
      <c r="E192" s="508"/>
      <c r="F192" s="515"/>
      <c r="G192" s="515"/>
      <c r="H192" s="508"/>
      <c r="I192" s="521"/>
      <c r="J192" s="521"/>
      <c r="K192" s="510"/>
      <c r="L192" s="510"/>
      <c r="M192" s="510"/>
      <c r="N192" s="510"/>
      <c r="O192" s="507"/>
      <c r="P192" s="507"/>
      <c r="Q192" s="507"/>
      <c r="R192" s="510"/>
      <c r="S192" s="510"/>
      <c r="T192" s="510"/>
      <c r="U192" s="510"/>
      <c r="V192" s="513"/>
      <c r="W192" s="582"/>
      <c r="X192" s="507"/>
      <c r="Y192" s="507"/>
      <c r="Z192" s="507"/>
    </row>
    <row r="193" ht="18.75" customHeight="1">
      <c r="A193" s="507"/>
      <c r="B193" s="508"/>
      <c r="C193" s="508"/>
      <c r="D193" s="508"/>
      <c r="E193" s="508"/>
      <c r="F193" s="515"/>
      <c r="G193" s="515"/>
      <c r="H193" s="508"/>
      <c r="I193" s="521"/>
      <c r="J193" s="521"/>
      <c r="K193" s="510"/>
      <c r="L193" s="510"/>
      <c r="M193" s="510"/>
      <c r="N193" s="510"/>
      <c r="O193" s="507"/>
      <c r="P193" s="507"/>
      <c r="Q193" s="507"/>
      <c r="R193" s="510"/>
      <c r="S193" s="510"/>
      <c r="T193" s="510"/>
      <c r="U193" s="510"/>
      <c r="V193" s="513"/>
      <c r="W193" s="582"/>
      <c r="X193" s="507"/>
      <c r="Y193" s="507"/>
      <c r="Z193" s="507"/>
    </row>
    <row r="194" ht="18.75" customHeight="1">
      <c r="A194" s="507"/>
      <c r="B194" s="508"/>
      <c r="C194" s="508"/>
      <c r="D194" s="508"/>
      <c r="E194" s="508"/>
      <c r="F194" s="515"/>
      <c r="G194" s="515"/>
      <c r="H194" s="508"/>
      <c r="I194" s="521"/>
      <c r="J194" s="521"/>
      <c r="K194" s="510"/>
      <c r="L194" s="510"/>
      <c r="M194" s="510"/>
      <c r="N194" s="510"/>
      <c r="O194" s="507"/>
      <c r="P194" s="507"/>
      <c r="Q194" s="507"/>
      <c r="R194" s="510"/>
      <c r="S194" s="510"/>
      <c r="T194" s="510"/>
      <c r="U194" s="510"/>
      <c r="V194" s="513"/>
      <c r="W194" s="582"/>
      <c r="X194" s="507"/>
      <c r="Y194" s="507"/>
      <c r="Z194" s="507"/>
    </row>
    <row r="195" ht="18.75" customHeight="1">
      <c r="A195" s="507"/>
      <c r="B195" s="508"/>
      <c r="C195" s="508"/>
      <c r="D195" s="508"/>
      <c r="E195" s="508"/>
      <c r="F195" s="515"/>
      <c r="G195" s="515"/>
      <c r="H195" s="508"/>
      <c r="I195" s="521"/>
      <c r="J195" s="521"/>
      <c r="K195" s="510"/>
      <c r="L195" s="510"/>
      <c r="M195" s="510"/>
      <c r="N195" s="510"/>
      <c r="O195" s="507"/>
      <c r="P195" s="507"/>
      <c r="Q195" s="507"/>
      <c r="R195" s="510"/>
      <c r="S195" s="510"/>
      <c r="T195" s="510"/>
      <c r="U195" s="510"/>
      <c r="V195" s="513"/>
      <c r="W195" s="582"/>
      <c r="X195" s="507"/>
      <c r="Y195" s="507"/>
      <c r="Z195" s="507"/>
    </row>
    <row r="196" ht="18.75" customHeight="1">
      <c r="A196" s="507"/>
      <c r="B196" s="508"/>
      <c r="C196" s="508"/>
      <c r="D196" s="508"/>
      <c r="E196" s="508"/>
      <c r="F196" s="515"/>
      <c r="G196" s="515"/>
      <c r="H196" s="508"/>
      <c r="I196" s="521"/>
      <c r="J196" s="521"/>
      <c r="K196" s="510"/>
      <c r="L196" s="510"/>
      <c r="M196" s="510"/>
      <c r="N196" s="510"/>
      <c r="O196" s="507"/>
      <c r="P196" s="507"/>
      <c r="Q196" s="507"/>
      <c r="R196" s="510"/>
      <c r="S196" s="510"/>
      <c r="T196" s="510"/>
      <c r="U196" s="510"/>
      <c r="V196" s="513"/>
      <c r="W196" s="582"/>
      <c r="X196" s="507"/>
      <c r="Y196" s="507"/>
      <c r="Z196" s="507"/>
    </row>
    <row r="197" ht="18.75" customHeight="1">
      <c r="A197" s="507"/>
      <c r="B197" s="508"/>
      <c r="C197" s="508"/>
      <c r="D197" s="508"/>
      <c r="E197" s="508"/>
      <c r="F197" s="515"/>
      <c r="G197" s="515"/>
      <c r="H197" s="508"/>
      <c r="I197" s="521"/>
      <c r="J197" s="521"/>
      <c r="K197" s="510"/>
      <c r="L197" s="510"/>
      <c r="M197" s="510"/>
      <c r="N197" s="510"/>
      <c r="O197" s="507"/>
      <c r="P197" s="507"/>
      <c r="Q197" s="507"/>
      <c r="R197" s="510"/>
      <c r="S197" s="510"/>
      <c r="T197" s="510"/>
      <c r="U197" s="510"/>
      <c r="V197" s="513"/>
      <c r="W197" s="582"/>
      <c r="X197" s="507"/>
      <c r="Y197" s="507"/>
      <c r="Z197" s="507"/>
    </row>
    <row r="198" ht="18.75" customHeight="1">
      <c r="A198" s="507"/>
      <c r="B198" s="508"/>
      <c r="C198" s="508"/>
      <c r="D198" s="508"/>
      <c r="E198" s="508"/>
      <c r="F198" s="515"/>
      <c r="G198" s="515"/>
      <c r="H198" s="508"/>
      <c r="I198" s="521"/>
      <c r="J198" s="521"/>
      <c r="K198" s="510"/>
      <c r="L198" s="510"/>
      <c r="M198" s="510"/>
      <c r="N198" s="510"/>
      <c r="O198" s="507"/>
      <c r="P198" s="507"/>
      <c r="Q198" s="507"/>
      <c r="R198" s="510"/>
      <c r="S198" s="510"/>
      <c r="T198" s="510"/>
      <c r="U198" s="510"/>
      <c r="V198" s="513"/>
      <c r="W198" s="582"/>
      <c r="X198" s="507"/>
      <c r="Y198" s="507"/>
      <c r="Z198" s="507"/>
    </row>
    <row r="199" ht="18.75" customHeight="1">
      <c r="A199" s="507"/>
      <c r="B199" s="508"/>
      <c r="C199" s="508"/>
      <c r="D199" s="508"/>
      <c r="E199" s="508"/>
      <c r="F199" s="515"/>
      <c r="G199" s="515"/>
      <c r="H199" s="508"/>
      <c r="I199" s="521"/>
      <c r="J199" s="521"/>
      <c r="K199" s="510"/>
      <c r="L199" s="510"/>
      <c r="M199" s="510"/>
      <c r="N199" s="510"/>
      <c r="O199" s="507"/>
      <c r="P199" s="507"/>
      <c r="Q199" s="507"/>
      <c r="R199" s="510"/>
      <c r="S199" s="510"/>
      <c r="T199" s="510"/>
      <c r="U199" s="510"/>
      <c r="V199" s="513"/>
      <c r="W199" s="582"/>
      <c r="X199" s="507"/>
      <c r="Y199" s="507"/>
      <c r="Z199" s="507"/>
    </row>
    <row r="200" ht="18.75" customHeight="1">
      <c r="A200" s="507"/>
      <c r="B200" s="508"/>
      <c r="C200" s="508"/>
      <c r="D200" s="508"/>
      <c r="E200" s="508"/>
      <c r="F200" s="515"/>
      <c r="G200" s="515"/>
      <c r="H200" s="508"/>
      <c r="I200" s="521"/>
      <c r="J200" s="521"/>
      <c r="K200" s="510"/>
      <c r="L200" s="510"/>
      <c r="M200" s="510"/>
      <c r="N200" s="510"/>
      <c r="O200" s="507"/>
      <c r="P200" s="507"/>
      <c r="Q200" s="507"/>
      <c r="R200" s="510"/>
      <c r="S200" s="510"/>
      <c r="T200" s="510"/>
      <c r="U200" s="510"/>
      <c r="V200" s="513"/>
      <c r="W200" s="582"/>
      <c r="X200" s="507"/>
      <c r="Y200" s="507"/>
      <c r="Z200" s="507"/>
    </row>
    <row r="201" ht="18.75" customHeight="1">
      <c r="A201" s="507"/>
      <c r="B201" s="508"/>
      <c r="C201" s="508"/>
      <c r="D201" s="508"/>
      <c r="E201" s="508"/>
      <c r="F201" s="515"/>
      <c r="G201" s="515"/>
      <c r="H201" s="508"/>
      <c r="I201" s="521"/>
      <c r="J201" s="521"/>
      <c r="K201" s="510"/>
      <c r="L201" s="510"/>
      <c r="M201" s="510"/>
      <c r="N201" s="510"/>
      <c r="O201" s="507"/>
      <c r="P201" s="507"/>
      <c r="Q201" s="507"/>
      <c r="R201" s="510"/>
      <c r="S201" s="510"/>
      <c r="T201" s="510"/>
      <c r="U201" s="510"/>
      <c r="V201" s="513"/>
      <c r="W201" s="582"/>
      <c r="X201" s="507"/>
      <c r="Y201" s="507"/>
      <c r="Z201" s="507"/>
    </row>
    <row r="202" ht="18.75" customHeight="1">
      <c r="A202" s="507"/>
      <c r="B202" s="508"/>
      <c r="C202" s="508"/>
      <c r="D202" s="508"/>
      <c r="E202" s="508"/>
      <c r="F202" s="515"/>
      <c r="G202" s="515"/>
      <c r="H202" s="508"/>
      <c r="I202" s="521"/>
      <c r="J202" s="521"/>
      <c r="K202" s="510"/>
      <c r="L202" s="510"/>
      <c r="M202" s="510"/>
      <c r="N202" s="510"/>
      <c r="O202" s="507"/>
      <c r="P202" s="507"/>
      <c r="Q202" s="507"/>
      <c r="R202" s="510"/>
      <c r="S202" s="510"/>
      <c r="T202" s="510"/>
      <c r="U202" s="510"/>
      <c r="V202" s="513"/>
      <c r="W202" s="582"/>
      <c r="X202" s="507"/>
      <c r="Y202" s="507"/>
      <c r="Z202" s="507"/>
    </row>
    <row r="203" ht="18.75" customHeight="1">
      <c r="A203" s="507"/>
      <c r="B203" s="508"/>
      <c r="C203" s="508"/>
      <c r="D203" s="508"/>
      <c r="E203" s="508"/>
      <c r="F203" s="515"/>
      <c r="G203" s="515"/>
      <c r="H203" s="508"/>
      <c r="I203" s="521"/>
      <c r="J203" s="521"/>
      <c r="K203" s="510"/>
      <c r="L203" s="510"/>
      <c r="M203" s="510"/>
      <c r="N203" s="510"/>
      <c r="O203" s="507"/>
      <c r="P203" s="507"/>
      <c r="Q203" s="507"/>
      <c r="R203" s="510"/>
      <c r="S203" s="510"/>
      <c r="T203" s="510"/>
      <c r="U203" s="510"/>
      <c r="V203" s="513"/>
      <c r="W203" s="582"/>
      <c r="X203" s="507"/>
      <c r="Y203" s="507"/>
      <c r="Z203" s="507"/>
    </row>
    <row r="204" ht="18.75" customHeight="1">
      <c r="A204" s="507"/>
      <c r="B204" s="508"/>
      <c r="C204" s="508"/>
      <c r="D204" s="508"/>
      <c r="E204" s="508"/>
      <c r="F204" s="515"/>
      <c r="G204" s="515"/>
      <c r="H204" s="508"/>
      <c r="I204" s="521"/>
      <c r="J204" s="521"/>
      <c r="K204" s="510"/>
      <c r="L204" s="510"/>
      <c r="M204" s="510"/>
      <c r="N204" s="510"/>
      <c r="O204" s="507"/>
      <c r="P204" s="507"/>
      <c r="Q204" s="507"/>
      <c r="R204" s="510"/>
      <c r="S204" s="510"/>
      <c r="T204" s="510"/>
      <c r="U204" s="510"/>
      <c r="V204" s="513"/>
      <c r="W204" s="582"/>
      <c r="X204" s="507"/>
      <c r="Y204" s="507"/>
      <c r="Z204" s="507"/>
    </row>
    <row r="205" ht="18.75" customHeight="1">
      <c r="A205" s="507"/>
      <c r="B205" s="508"/>
      <c r="C205" s="508"/>
      <c r="D205" s="508"/>
      <c r="E205" s="508"/>
      <c r="F205" s="515"/>
      <c r="G205" s="515"/>
      <c r="H205" s="508"/>
      <c r="I205" s="521"/>
      <c r="J205" s="521"/>
      <c r="K205" s="510"/>
      <c r="L205" s="510"/>
      <c r="M205" s="510"/>
      <c r="N205" s="510"/>
      <c r="O205" s="507"/>
      <c r="P205" s="507"/>
      <c r="Q205" s="507"/>
      <c r="R205" s="510"/>
      <c r="S205" s="510"/>
      <c r="T205" s="510"/>
      <c r="U205" s="510"/>
      <c r="V205" s="513"/>
      <c r="W205" s="582"/>
      <c r="X205" s="507"/>
      <c r="Y205" s="507"/>
      <c r="Z205" s="507"/>
    </row>
    <row r="206" ht="18.75" customHeight="1">
      <c r="A206" s="507"/>
      <c r="B206" s="508"/>
      <c r="C206" s="508"/>
      <c r="D206" s="508"/>
      <c r="E206" s="508"/>
      <c r="F206" s="515"/>
      <c r="G206" s="515"/>
      <c r="H206" s="508"/>
      <c r="I206" s="521"/>
      <c r="J206" s="521"/>
      <c r="K206" s="510"/>
      <c r="L206" s="510"/>
      <c r="M206" s="510"/>
      <c r="N206" s="510"/>
      <c r="O206" s="507"/>
      <c r="P206" s="507"/>
      <c r="Q206" s="507"/>
      <c r="R206" s="510"/>
      <c r="S206" s="510"/>
      <c r="T206" s="510"/>
      <c r="U206" s="510"/>
      <c r="V206" s="513"/>
      <c r="W206" s="582"/>
      <c r="X206" s="507"/>
      <c r="Y206" s="507"/>
      <c r="Z206" s="507"/>
    </row>
    <row r="207" ht="18.75" customHeight="1">
      <c r="A207" s="507"/>
      <c r="B207" s="508"/>
      <c r="C207" s="508"/>
      <c r="D207" s="508"/>
      <c r="E207" s="508"/>
      <c r="F207" s="515"/>
      <c r="G207" s="515"/>
      <c r="H207" s="508"/>
      <c r="I207" s="521"/>
      <c r="J207" s="521"/>
      <c r="K207" s="510"/>
      <c r="L207" s="510"/>
      <c r="M207" s="510"/>
      <c r="N207" s="510"/>
      <c r="O207" s="507"/>
      <c r="P207" s="507"/>
      <c r="Q207" s="507"/>
      <c r="R207" s="510"/>
      <c r="S207" s="510"/>
      <c r="T207" s="510"/>
      <c r="U207" s="510"/>
      <c r="V207" s="513"/>
      <c r="W207" s="582"/>
      <c r="X207" s="507"/>
      <c r="Y207" s="507"/>
      <c r="Z207" s="507"/>
    </row>
    <row r="208" ht="18.75" customHeight="1">
      <c r="A208" s="507"/>
      <c r="B208" s="508"/>
      <c r="C208" s="508"/>
      <c r="D208" s="508"/>
      <c r="E208" s="508"/>
      <c r="F208" s="515"/>
      <c r="G208" s="515"/>
      <c r="H208" s="508"/>
      <c r="I208" s="521"/>
      <c r="J208" s="521"/>
      <c r="K208" s="510"/>
      <c r="L208" s="510"/>
      <c r="M208" s="510"/>
      <c r="N208" s="510"/>
      <c r="O208" s="507"/>
      <c r="P208" s="507"/>
      <c r="Q208" s="507"/>
      <c r="R208" s="510"/>
      <c r="S208" s="510"/>
      <c r="T208" s="510"/>
      <c r="U208" s="510"/>
      <c r="V208" s="513"/>
      <c r="W208" s="582"/>
      <c r="X208" s="507"/>
      <c r="Y208" s="507"/>
      <c r="Z208" s="507"/>
    </row>
    <row r="209" ht="18.75" customHeight="1">
      <c r="A209" s="507"/>
      <c r="B209" s="508"/>
      <c r="C209" s="508"/>
      <c r="D209" s="508"/>
      <c r="E209" s="508"/>
      <c r="F209" s="515"/>
      <c r="G209" s="515"/>
      <c r="H209" s="508"/>
      <c r="I209" s="521"/>
      <c r="J209" s="521"/>
      <c r="K209" s="510"/>
      <c r="L209" s="510"/>
      <c r="M209" s="510"/>
      <c r="N209" s="510"/>
      <c r="O209" s="507"/>
      <c r="P209" s="507"/>
      <c r="Q209" s="507"/>
      <c r="R209" s="510"/>
      <c r="S209" s="510"/>
      <c r="T209" s="510"/>
      <c r="U209" s="510"/>
      <c r="V209" s="513"/>
      <c r="W209" s="582"/>
      <c r="X209" s="507"/>
      <c r="Y209" s="507"/>
      <c r="Z209" s="507"/>
    </row>
    <row r="210" ht="18.75" customHeight="1">
      <c r="A210" s="507"/>
      <c r="B210" s="508"/>
      <c r="C210" s="508"/>
      <c r="D210" s="508"/>
      <c r="E210" s="508"/>
      <c r="F210" s="515"/>
      <c r="G210" s="515"/>
      <c r="H210" s="508"/>
      <c r="I210" s="521"/>
      <c r="J210" s="521"/>
      <c r="K210" s="510"/>
      <c r="L210" s="510"/>
      <c r="M210" s="510"/>
      <c r="N210" s="510"/>
      <c r="O210" s="507"/>
      <c r="P210" s="507"/>
      <c r="Q210" s="507"/>
      <c r="R210" s="510"/>
      <c r="S210" s="510"/>
      <c r="T210" s="510"/>
      <c r="U210" s="510"/>
      <c r="V210" s="513"/>
      <c r="W210" s="582"/>
      <c r="X210" s="507"/>
      <c r="Y210" s="507"/>
      <c r="Z210" s="507"/>
    </row>
    <row r="211" ht="18.75" customHeight="1">
      <c r="A211" s="507"/>
      <c r="B211" s="508"/>
      <c r="C211" s="508"/>
      <c r="D211" s="508"/>
      <c r="E211" s="508"/>
      <c r="F211" s="515"/>
      <c r="G211" s="515"/>
      <c r="H211" s="508"/>
      <c r="I211" s="521"/>
      <c r="J211" s="521"/>
      <c r="K211" s="510"/>
      <c r="L211" s="510"/>
      <c r="M211" s="510"/>
      <c r="N211" s="510"/>
      <c r="O211" s="507"/>
      <c r="P211" s="507"/>
      <c r="Q211" s="507"/>
      <c r="R211" s="510"/>
      <c r="S211" s="510"/>
      <c r="T211" s="510"/>
      <c r="U211" s="510"/>
      <c r="V211" s="513"/>
      <c r="W211" s="582"/>
      <c r="X211" s="507"/>
      <c r="Y211" s="507"/>
      <c r="Z211" s="507"/>
    </row>
    <row r="212" ht="18.75" customHeight="1">
      <c r="A212" s="507"/>
      <c r="B212" s="508"/>
      <c r="C212" s="508"/>
      <c r="D212" s="508"/>
      <c r="E212" s="508"/>
      <c r="F212" s="515"/>
      <c r="G212" s="515"/>
      <c r="H212" s="508"/>
      <c r="I212" s="521"/>
      <c r="J212" s="521"/>
      <c r="K212" s="510"/>
      <c r="L212" s="510"/>
      <c r="M212" s="510"/>
      <c r="N212" s="510"/>
      <c r="O212" s="507"/>
      <c r="P212" s="507"/>
      <c r="Q212" s="507"/>
      <c r="R212" s="510"/>
      <c r="S212" s="510"/>
      <c r="T212" s="510"/>
      <c r="U212" s="510"/>
      <c r="V212" s="513"/>
      <c r="W212" s="582"/>
      <c r="X212" s="507"/>
      <c r="Y212" s="507"/>
      <c r="Z212" s="507"/>
    </row>
    <row r="213" ht="18.75" customHeight="1">
      <c r="A213" s="507"/>
      <c r="B213" s="508"/>
      <c r="C213" s="508"/>
      <c r="D213" s="508"/>
      <c r="E213" s="508"/>
      <c r="F213" s="515"/>
      <c r="G213" s="515"/>
      <c r="H213" s="508"/>
      <c r="I213" s="521"/>
      <c r="J213" s="521"/>
      <c r="K213" s="510"/>
      <c r="L213" s="510"/>
      <c r="M213" s="510"/>
      <c r="N213" s="510"/>
      <c r="O213" s="507"/>
      <c r="P213" s="507"/>
      <c r="Q213" s="507"/>
      <c r="R213" s="510"/>
      <c r="S213" s="510"/>
      <c r="T213" s="510"/>
      <c r="U213" s="510"/>
      <c r="V213" s="513"/>
      <c r="W213" s="582"/>
      <c r="X213" s="507"/>
      <c r="Y213" s="507"/>
      <c r="Z213" s="507"/>
    </row>
    <row r="214" ht="18.75" customHeight="1">
      <c r="A214" s="507"/>
      <c r="B214" s="508"/>
      <c r="C214" s="508"/>
      <c r="D214" s="508"/>
      <c r="E214" s="508"/>
      <c r="F214" s="515"/>
      <c r="G214" s="515"/>
      <c r="H214" s="508"/>
      <c r="I214" s="521"/>
      <c r="J214" s="521"/>
      <c r="K214" s="510"/>
      <c r="L214" s="510"/>
      <c r="M214" s="510"/>
      <c r="N214" s="510"/>
      <c r="O214" s="507"/>
      <c r="P214" s="507"/>
      <c r="Q214" s="507"/>
      <c r="R214" s="510"/>
      <c r="S214" s="510"/>
      <c r="T214" s="510"/>
      <c r="U214" s="510"/>
      <c r="V214" s="513"/>
      <c r="W214" s="582"/>
      <c r="X214" s="507"/>
      <c r="Y214" s="507"/>
      <c r="Z214" s="507"/>
    </row>
    <row r="215" ht="18.75" customHeight="1">
      <c r="A215" s="507"/>
      <c r="B215" s="508"/>
      <c r="C215" s="508"/>
      <c r="D215" s="508"/>
      <c r="E215" s="508"/>
      <c r="F215" s="515"/>
      <c r="G215" s="515"/>
      <c r="H215" s="508"/>
      <c r="I215" s="521"/>
      <c r="J215" s="521"/>
      <c r="K215" s="510"/>
      <c r="L215" s="510"/>
      <c r="M215" s="510"/>
      <c r="N215" s="510"/>
      <c r="O215" s="507"/>
      <c r="P215" s="507"/>
      <c r="Q215" s="507"/>
      <c r="R215" s="510"/>
      <c r="S215" s="510"/>
      <c r="T215" s="510"/>
      <c r="U215" s="510"/>
      <c r="V215" s="513"/>
      <c r="W215" s="582"/>
      <c r="X215" s="507"/>
      <c r="Y215" s="507"/>
      <c r="Z215" s="507"/>
    </row>
    <row r="216" ht="18.75" customHeight="1">
      <c r="A216" s="507"/>
      <c r="B216" s="508"/>
      <c r="C216" s="508"/>
      <c r="D216" s="508"/>
      <c r="E216" s="508"/>
      <c r="F216" s="515"/>
      <c r="G216" s="515"/>
      <c r="H216" s="508"/>
      <c r="I216" s="521"/>
      <c r="J216" s="521"/>
      <c r="K216" s="510"/>
      <c r="L216" s="510"/>
      <c r="M216" s="510"/>
      <c r="N216" s="510"/>
      <c r="O216" s="507"/>
      <c r="P216" s="507"/>
      <c r="Q216" s="507"/>
      <c r="R216" s="510"/>
      <c r="S216" s="510"/>
      <c r="T216" s="510"/>
      <c r="U216" s="510"/>
      <c r="V216" s="513"/>
      <c r="W216" s="582"/>
      <c r="X216" s="507"/>
      <c r="Y216" s="507"/>
      <c r="Z216" s="507"/>
    </row>
    <row r="217" ht="18.75" customHeight="1">
      <c r="A217" s="507"/>
      <c r="B217" s="508"/>
      <c r="C217" s="508"/>
      <c r="D217" s="508"/>
      <c r="E217" s="508"/>
      <c r="F217" s="515"/>
      <c r="G217" s="515"/>
      <c r="H217" s="508"/>
      <c r="I217" s="521"/>
      <c r="J217" s="521"/>
      <c r="K217" s="510"/>
      <c r="L217" s="510"/>
      <c r="M217" s="510"/>
      <c r="N217" s="510"/>
      <c r="O217" s="507"/>
      <c r="P217" s="507"/>
      <c r="Q217" s="507"/>
      <c r="R217" s="510"/>
      <c r="S217" s="510"/>
      <c r="T217" s="510"/>
      <c r="U217" s="510"/>
      <c r="V217" s="513"/>
      <c r="W217" s="582"/>
      <c r="X217" s="507"/>
      <c r="Y217" s="507"/>
      <c r="Z217" s="507"/>
    </row>
    <row r="218" ht="18.75" customHeight="1">
      <c r="A218" s="507"/>
      <c r="B218" s="508"/>
      <c r="C218" s="508"/>
      <c r="D218" s="508"/>
      <c r="E218" s="508"/>
      <c r="F218" s="515"/>
      <c r="G218" s="515"/>
      <c r="H218" s="508"/>
      <c r="I218" s="521"/>
      <c r="J218" s="521"/>
      <c r="K218" s="510"/>
      <c r="L218" s="510"/>
      <c r="M218" s="510"/>
      <c r="N218" s="510"/>
      <c r="O218" s="507"/>
      <c r="P218" s="507"/>
      <c r="Q218" s="507"/>
      <c r="R218" s="510"/>
      <c r="S218" s="510"/>
      <c r="T218" s="510"/>
      <c r="U218" s="510"/>
      <c r="V218" s="513"/>
      <c r="W218" s="582"/>
      <c r="X218" s="507"/>
      <c r="Y218" s="507"/>
      <c r="Z218" s="507"/>
    </row>
    <row r="219" ht="18.75" customHeight="1">
      <c r="A219" s="507"/>
      <c r="B219" s="508"/>
      <c r="C219" s="508"/>
      <c r="D219" s="508"/>
      <c r="E219" s="508"/>
      <c r="F219" s="515"/>
      <c r="G219" s="515"/>
      <c r="H219" s="508"/>
      <c r="I219" s="521"/>
      <c r="J219" s="521"/>
      <c r="K219" s="510"/>
      <c r="L219" s="510"/>
      <c r="M219" s="510"/>
      <c r="N219" s="510"/>
      <c r="O219" s="507"/>
      <c r="P219" s="507"/>
      <c r="Q219" s="507"/>
      <c r="R219" s="510"/>
      <c r="S219" s="510"/>
      <c r="T219" s="510"/>
      <c r="U219" s="510"/>
      <c r="V219" s="513"/>
      <c r="W219" s="582"/>
      <c r="X219" s="507"/>
      <c r="Y219" s="507"/>
      <c r="Z219" s="507"/>
    </row>
    <row r="220" ht="18.75" customHeight="1">
      <c r="A220" s="507"/>
      <c r="B220" s="508"/>
      <c r="C220" s="508"/>
      <c r="D220" s="508"/>
      <c r="E220" s="508"/>
      <c r="F220" s="515"/>
      <c r="G220" s="515"/>
      <c r="H220" s="508"/>
      <c r="I220" s="521"/>
      <c r="J220" s="521"/>
      <c r="K220" s="510"/>
      <c r="L220" s="510"/>
      <c r="M220" s="510"/>
      <c r="N220" s="510"/>
      <c r="O220" s="507"/>
      <c r="P220" s="507"/>
      <c r="Q220" s="507"/>
      <c r="R220" s="510"/>
      <c r="S220" s="510"/>
      <c r="T220" s="510"/>
      <c r="U220" s="510"/>
      <c r="V220" s="513"/>
      <c r="W220" s="582"/>
      <c r="X220" s="507"/>
      <c r="Y220" s="507"/>
      <c r="Z220" s="507"/>
    </row>
    <row r="221" ht="18.75" customHeight="1">
      <c r="A221" s="507"/>
      <c r="B221" s="508"/>
      <c r="C221" s="508"/>
      <c r="D221" s="508"/>
      <c r="E221" s="508"/>
      <c r="F221" s="515"/>
      <c r="G221" s="515"/>
      <c r="H221" s="508"/>
      <c r="I221" s="521"/>
      <c r="J221" s="521"/>
      <c r="K221" s="510"/>
      <c r="L221" s="510"/>
      <c r="M221" s="510"/>
      <c r="N221" s="510"/>
      <c r="O221" s="507"/>
      <c r="P221" s="507"/>
      <c r="Q221" s="507"/>
      <c r="R221" s="510"/>
      <c r="S221" s="510"/>
      <c r="T221" s="510"/>
      <c r="U221" s="510"/>
      <c r="V221" s="513"/>
      <c r="W221" s="582"/>
      <c r="X221" s="507"/>
      <c r="Y221" s="507"/>
      <c r="Z221" s="507"/>
    </row>
    <row r="222" ht="18.75" customHeight="1">
      <c r="A222" s="507"/>
      <c r="B222" s="508"/>
      <c r="C222" s="508"/>
      <c r="D222" s="508"/>
      <c r="E222" s="508"/>
      <c r="F222" s="515"/>
      <c r="G222" s="515"/>
      <c r="H222" s="508"/>
      <c r="I222" s="521"/>
      <c r="J222" s="521"/>
      <c r="K222" s="510"/>
      <c r="L222" s="510"/>
      <c r="M222" s="510"/>
      <c r="N222" s="510"/>
      <c r="O222" s="507"/>
      <c r="P222" s="507"/>
      <c r="Q222" s="507"/>
      <c r="R222" s="510"/>
      <c r="S222" s="510"/>
      <c r="T222" s="510"/>
      <c r="U222" s="510"/>
      <c r="V222" s="513"/>
      <c r="W222" s="582"/>
      <c r="X222" s="507"/>
      <c r="Y222" s="507"/>
      <c r="Z222" s="507"/>
    </row>
    <row r="223" ht="18.75" customHeight="1">
      <c r="A223" s="507"/>
      <c r="B223" s="508"/>
      <c r="C223" s="540"/>
      <c r="D223" s="508"/>
      <c r="E223" s="540"/>
      <c r="F223" s="541"/>
      <c r="G223" s="541"/>
      <c r="H223" s="540"/>
      <c r="I223" s="521"/>
      <c r="J223" s="521"/>
      <c r="K223" s="510"/>
      <c r="L223" s="510"/>
      <c r="M223" s="510"/>
      <c r="N223" s="510"/>
      <c r="O223" s="507"/>
      <c r="P223" s="507"/>
      <c r="Q223" s="507"/>
      <c r="R223" s="510"/>
      <c r="S223" s="510"/>
      <c r="T223" s="510"/>
      <c r="U223" s="510"/>
      <c r="V223" s="513"/>
      <c r="W223" s="582"/>
      <c r="X223" s="507"/>
      <c r="Y223" s="507"/>
      <c r="Z223" s="507"/>
    </row>
    <row r="224" ht="18.75" customHeight="1">
      <c r="A224" s="507"/>
      <c r="B224" s="540"/>
      <c r="C224" s="540"/>
      <c r="D224" s="540"/>
      <c r="E224" s="540"/>
      <c r="F224" s="541"/>
      <c r="G224" s="541"/>
      <c r="H224" s="540"/>
      <c r="I224" s="521"/>
      <c r="J224" s="521"/>
      <c r="K224" s="510"/>
      <c r="L224" s="510"/>
      <c r="M224" s="510"/>
      <c r="N224" s="510"/>
      <c r="O224" s="507"/>
      <c r="P224" s="507"/>
      <c r="Q224" s="507"/>
      <c r="R224" s="510"/>
      <c r="S224" s="510"/>
      <c r="T224" s="510"/>
      <c r="U224" s="510"/>
      <c r="V224" s="513"/>
      <c r="W224" s="582"/>
      <c r="X224" s="507"/>
      <c r="Y224" s="507"/>
      <c r="Z224" s="507"/>
    </row>
    <row r="225" ht="18.75" customHeight="1">
      <c r="A225" s="507"/>
      <c r="B225" s="540"/>
      <c r="C225" s="540"/>
      <c r="D225" s="540"/>
      <c r="E225" s="540"/>
      <c r="F225" s="541"/>
      <c r="G225" s="541"/>
      <c r="H225" s="540"/>
      <c r="I225" s="521"/>
      <c r="J225" s="521"/>
      <c r="K225" s="510"/>
      <c r="L225" s="510"/>
      <c r="M225" s="510"/>
      <c r="N225" s="510"/>
      <c r="O225" s="507"/>
      <c r="P225" s="507"/>
      <c r="Q225" s="507"/>
      <c r="R225" s="510"/>
      <c r="S225" s="510"/>
      <c r="T225" s="510"/>
      <c r="U225" s="510"/>
      <c r="V225" s="513"/>
      <c r="W225" s="582"/>
      <c r="X225" s="507"/>
      <c r="Y225" s="507"/>
      <c r="Z225" s="507"/>
    </row>
    <row r="226" ht="18.75" customHeight="1">
      <c r="A226" s="507"/>
      <c r="B226" s="540"/>
      <c r="C226" s="540"/>
      <c r="D226" s="540"/>
      <c r="E226" s="540"/>
      <c r="F226" s="541"/>
      <c r="G226" s="541"/>
      <c r="H226" s="540"/>
      <c r="I226" s="521"/>
      <c r="J226" s="521"/>
      <c r="K226" s="510"/>
      <c r="L226" s="510"/>
      <c r="M226" s="510"/>
      <c r="N226" s="510"/>
      <c r="O226" s="507"/>
      <c r="P226" s="507"/>
      <c r="Q226" s="507"/>
      <c r="R226" s="510"/>
      <c r="S226" s="510"/>
      <c r="T226" s="510"/>
      <c r="U226" s="510"/>
      <c r="V226" s="513"/>
      <c r="W226" s="582"/>
      <c r="X226" s="507"/>
      <c r="Y226" s="507"/>
      <c r="Z226" s="507"/>
    </row>
    <row r="227" ht="18.75" customHeight="1">
      <c r="A227" s="507"/>
      <c r="B227" s="540"/>
      <c r="C227" s="540"/>
      <c r="D227" s="540"/>
      <c r="E227" s="540"/>
      <c r="F227" s="541"/>
      <c r="G227" s="541"/>
      <c r="H227" s="540"/>
      <c r="I227" s="521"/>
      <c r="J227" s="521"/>
      <c r="K227" s="510"/>
      <c r="L227" s="510"/>
      <c r="M227" s="510"/>
      <c r="N227" s="510"/>
      <c r="O227" s="507"/>
      <c r="P227" s="507"/>
      <c r="Q227" s="507"/>
      <c r="R227" s="510"/>
      <c r="S227" s="510"/>
      <c r="T227" s="510"/>
      <c r="U227" s="510"/>
      <c r="V227" s="513"/>
      <c r="W227" s="582"/>
      <c r="X227" s="507"/>
      <c r="Y227" s="507"/>
      <c r="Z227" s="507"/>
    </row>
    <row r="228" ht="18.75" customHeight="1">
      <c r="A228" s="507"/>
      <c r="B228" s="540"/>
      <c r="C228" s="540"/>
      <c r="D228" s="540"/>
      <c r="E228" s="540"/>
      <c r="F228" s="541"/>
      <c r="G228" s="541"/>
      <c r="H228" s="540"/>
      <c r="I228" s="521"/>
      <c r="J228" s="521"/>
      <c r="K228" s="510"/>
      <c r="L228" s="510"/>
      <c r="M228" s="510"/>
      <c r="N228" s="510"/>
      <c r="O228" s="507"/>
      <c r="P228" s="507"/>
      <c r="Q228" s="507"/>
      <c r="R228" s="510"/>
      <c r="S228" s="510"/>
      <c r="T228" s="510"/>
      <c r="U228" s="510"/>
      <c r="V228" s="513"/>
      <c r="W228" s="582"/>
      <c r="X228" s="507"/>
      <c r="Y228" s="507"/>
      <c r="Z228" s="507"/>
    </row>
    <row r="229" ht="18.75" customHeight="1">
      <c r="A229" s="507"/>
      <c r="B229" s="540"/>
      <c r="C229" s="540"/>
      <c r="D229" s="540"/>
      <c r="E229" s="540"/>
      <c r="F229" s="541"/>
      <c r="G229" s="541"/>
      <c r="H229" s="540"/>
      <c r="I229" s="521"/>
      <c r="J229" s="521"/>
      <c r="K229" s="510"/>
      <c r="L229" s="510"/>
      <c r="M229" s="510"/>
      <c r="N229" s="510"/>
      <c r="O229" s="507"/>
      <c r="P229" s="507"/>
      <c r="Q229" s="507"/>
      <c r="R229" s="510"/>
      <c r="S229" s="510"/>
      <c r="T229" s="510"/>
      <c r="U229" s="510"/>
      <c r="V229" s="513"/>
      <c r="W229" s="582"/>
      <c r="X229" s="507"/>
      <c r="Y229" s="507"/>
      <c r="Z229" s="507"/>
    </row>
    <row r="230" ht="18.75" customHeight="1">
      <c r="A230" s="507"/>
      <c r="B230" s="540"/>
      <c r="C230" s="540"/>
      <c r="D230" s="540"/>
      <c r="E230" s="540"/>
      <c r="F230" s="541"/>
      <c r="G230" s="541"/>
      <c r="H230" s="540"/>
      <c r="I230" s="521"/>
      <c r="J230" s="521"/>
      <c r="K230" s="510"/>
      <c r="L230" s="510"/>
      <c r="M230" s="510"/>
      <c r="N230" s="510"/>
      <c r="O230" s="507"/>
      <c r="P230" s="507"/>
      <c r="Q230" s="507"/>
      <c r="R230" s="510"/>
      <c r="S230" s="510"/>
      <c r="T230" s="510"/>
      <c r="U230" s="510"/>
      <c r="V230" s="513"/>
      <c r="W230" s="582"/>
      <c r="X230" s="507"/>
      <c r="Y230" s="507"/>
      <c r="Z230" s="507"/>
    </row>
    <row r="231" ht="18.75" customHeight="1">
      <c r="A231" s="507"/>
      <c r="B231" s="540"/>
      <c r="C231" s="540"/>
      <c r="D231" s="540"/>
      <c r="E231" s="540"/>
      <c r="F231" s="541"/>
      <c r="G231" s="541"/>
      <c r="H231" s="540"/>
      <c r="I231" s="521"/>
      <c r="J231" s="521"/>
      <c r="K231" s="510"/>
      <c r="L231" s="510"/>
      <c r="M231" s="510"/>
      <c r="N231" s="510"/>
      <c r="O231" s="507"/>
      <c r="P231" s="507"/>
      <c r="Q231" s="507"/>
      <c r="R231" s="510"/>
      <c r="S231" s="510"/>
      <c r="T231" s="510"/>
      <c r="U231" s="510"/>
      <c r="V231" s="513"/>
      <c r="W231" s="582"/>
      <c r="X231" s="507"/>
      <c r="Y231" s="507"/>
      <c r="Z231" s="507"/>
    </row>
    <row r="232" ht="18.75" customHeight="1">
      <c r="A232" s="507"/>
      <c r="B232" s="540"/>
      <c r="C232" s="540"/>
      <c r="D232" s="540"/>
      <c r="E232" s="540"/>
      <c r="F232" s="541"/>
      <c r="G232" s="541"/>
      <c r="H232" s="540"/>
      <c r="I232" s="521"/>
      <c r="J232" s="521"/>
      <c r="K232" s="510"/>
      <c r="L232" s="510"/>
      <c r="M232" s="510"/>
      <c r="N232" s="510"/>
      <c r="O232" s="507"/>
      <c r="P232" s="507"/>
      <c r="Q232" s="507"/>
      <c r="R232" s="510"/>
      <c r="S232" s="510"/>
      <c r="T232" s="510"/>
      <c r="U232" s="510"/>
      <c r="V232" s="513"/>
      <c r="W232" s="582"/>
      <c r="X232" s="507"/>
      <c r="Y232" s="507"/>
      <c r="Z232" s="507"/>
    </row>
    <row r="233" ht="18.75" customHeight="1">
      <c r="A233" s="507"/>
      <c r="B233" s="540"/>
      <c r="C233" s="540"/>
      <c r="D233" s="540"/>
      <c r="E233" s="540"/>
      <c r="F233" s="541"/>
      <c r="G233" s="541"/>
      <c r="H233" s="540"/>
      <c r="I233" s="521"/>
      <c r="J233" s="521"/>
      <c r="K233" s="510"/>
      <c r="L233" s="510"/>
      <c r="M233" s="510"/>
      <c r="N233" s="510"/>
      <c r="O233" s="507"/>
      <c r="P233" s="507"/>
      <c r="Q233" s="507"/>
      <c r="R233" s="510"/>
      <c r="S233" s="510"/>
      <c r="T233" s="510"/>
      <c r="U233" s="510"/>
      <c r="V233" s="513"/>
      <c r="W233" s="582"/>
      <c r="X233" s="507"/>
      <c r="Y233" s="507"/>
      <c r="Z233" s="507"/>
    </row>
    <row r="234" ht="18.75" customHeight="1">
      <c r="A234" s="507"/>
      <c r="B234" s="540"/>
      <c r="C234" s="540"/>
      <c r="D234" s="540"/>
      <c r="E234" s="540"/>
      <c r="F234" s="541"/>
      <c r="G234" s="541"/>
      <c r="H234" s="540"/>
      <c r="I234" s="521"/>
      <c r="J234" s="521"/>
      <c r="K234" s="510"/>
      <c r="L234" s="510"/>
      <c r="M234" s="510"/>
      <c r="N234" s="510"/>
      <c r="O234" s="507"/>
      <c r="P234" s="507"/>
      <c r="Q234" s="507"/>
      <c r="R234" s="510"/>
      <c r="S234" s="510"/>
      <c r="T234" s="510"/>
      <c r="U234" s="510"/>
      <c r="V234" s="513"/>
      <c r="W234" s="582"/>
      <c r="X234" s="507"/>
      <c r="Y234" s="507"/>
      <c r="Z234" s="507"/>
    </row>
    <row r="235" ht="18.75" customHeight="1">
      <c r="A235" s="507"/>
      <c r="B235" s="540"/>
      <c r="C235" s="540"/>
      <c r="D235" s="540"/>
      <c r="E235" s="540"/>
      <c r="F235" s="541"/>
      <c r="G235" s="541"/>
      <c r="H235" s="540"/>
      <c r="I235" s="521"/>
      <c r="J235" s="521"/>
      <c r="K235" s="510"/>
      <c r="L235" s="510"/>
      <c r="M235" s="510"/>
      <c r="N235" s="510"/>
      <c r="O235" s="507"/>
      <c r="P235" s="507"/>
      <c r="Q235" s="507"/>
      <c r="R235" s="510"/>
      <c r="S235" s="510"/>
      <c r="T235" s="510"/>
      <c r="U235" s="510"/>
      <c r="V235" s="513"/>
      <c r="W235" s="582"/>
      <c r="X235" s="507"/>
      <c r="Y235" s="507"/>
      <c r="Z235" s="507"/>
    </row>
    <row r="236" ht="18.75" customHeight="1">
      <c r="A236" s="507"/>
      <c r="B236" s="540"/>
      <c r="C236" s="540"/>
      <c r="D236" s="540"/>
      <c r="E236" s="540"/>
      <c r="F236" s="541"/>
      <c r="G236" s="541"/>
      <c r="H236" s="540"/>
      <c r="I236" s="521"/>
      <c r="J236" s="521"/>
      <c r="K236" s="510"/>
      <c r="L236" s="510"/>
      <c r="M236" s="510"/>
      <c r="N236" s="510"/>
      <c r="O236" s="507"/>
      <c r="P236" s="507"/>
      <c r="Q236" s="507"/>
      <c r="R236" s="510"/>
      <c r="S236" s="510"/>
      <c r="T236" s="510"/>
      <c r="U236" s="510"/>
      <c r="V236" s="513"/>
      <c r="W236" s="582"/>
      <c r="X236" s="507"/>
      <c r="Y236" s="507"/>
      <c r="Z236" s="507"/>
    </row>
    <row r="237" ht="18.75" customHeight="1">
      <c r="A237" s="507"/>
      <c r="B237" s="540"/>
      <c r="C237" s="540"/>
      <c r="D237" s="540"/>
      <c r="E237" s="540"/>
      <c r="F237" s="541"/>
      <c r="G237" s="541"/>
      <c r="H237" s="540"/>
      <c r="I237" s="521"/>
      <c r="J237" s="521"/>
      <c r="K237" s="510"/>
      <c r="L237" s="510"/>
      <c r="M237" s="510"/>
      <c r="N237" s="510"/>
      <c r="O237" s="507"/>
      <c r="P237" s="507"/>
      <c r="Q237" s="507"/>
      <c r="R237" s="510"/>
      <c r="S237" s="510"/>
      <c r="T237" s="510"/>
      <c r="U237" s="510"/>
      <c r="V237" s="513"/>
      <c r="W237" s="582"/>
      <c r="X237" s="507"/>
      <c r="Y237" s="507"/>
      <c r="Z237" s="507"/>
    </row>
    <row r="238" ht="18.75" customHeight="1">
      <c r="A238" s="507"/>
      <c r="B238" s="540"/>
      <c r="C238" s="540"/>
      <c r="D238" s="540"/>
      <c r="E238" s="540"/>
      <c r="F238" s="541"/>
      <c r="G238" s="541"/>
      <c r="H238" s="540"/>
      <c r="I238" s="521"/>
      <c r="J238" s="521"/>
      <c r="K238" s="510"/>
      <c r="L238" s="510"/>
      <c r="M238" s="510"/>
      <c r="N238" s="510"/>
      <c r="O238" s="507"/>
      <c r="P238" s="507"/>
      <c r="Q238" s="507"/>
      <c r="R238" s="510"/>
      <c r="S238" s="510"/>
      <c r="T238" s="510"/>
      <c r="U238" s="510"/>
      <c r="V238" s="513"/>
      <c r="W238" s="582"/>
      <c r="X238" s="507"/>
      <c r="Y238" s="507"/>
      <c r="Z238" s="507"/>
    </row>
    <row r="239" ht="18.75" customHeight="1">
      <c r="A239" s="507"/>
      <c r="B239" s="540"/>
      <c r="C239" s="540"/>
      <c r="D239" s="540"/>
      <c r="E239" s="540"/>
      <c r="F239" s="541"/>
      <c r="G239" s="541"/>
      <c r="H239" s="540"/>
      <c r="I239" s="521"/>
      <c r="J239" s="521"/>
      <c r="K239" s="510"/>
      <c r="L239" s="510"/>
      <c r="M239" s="510"/>
      <c r="N239" s="510"/>
      <c r="O239" s="507"/>
      <c r="P239" s="507"/>
      <c r="Q239" s="507"/>
      <c r="R239" s="510"/>
      <c r="S239" s="510"/>
      <c r="T239" s="510"/>
      <c r="U239" s="510"/>
      <c r="V239" s="513"/>
      <c r="W239" s="582"/>
      <c r="X239" s="507"/>
      <c r="Y239" s="507"/>
      <c r="Z239" s="507"/>
    </row>
    <row r="240" ht="18.75" customHeight="1">
      <c r="A240" s="507"/>
      <c r="B240" s="540"/>
      <c r="C240" s="540"/>
      <c r="D240" s="540"/>
      <c r="E240" s="540"/>
      <c r="F240" s="541"/>
      <c r="G240" s="541"/>
      <c r="H240" s="540"/>
      <c r="I240" s="521"/>
      <c r="J240" s="521"/>
      <c r="K240" s="510"/>
      <c r="L240" s="510"/>
      <c r="M240" s="510"/>
      <c r="N240" s="510"/>
      <c r="O240" s="507"/>
      <c r="P240" s="507"/>
      <c r="Q240" s="507"/>
      <c r="R240" s="510"/>
      <c r="S240" s="510"/>
      <c r="T240" s="510"/>
      <c r="U240" s="510"/>
      <c r="V240" s="513"/>
      <c r="W240" s="582"/>
      <c r="X240" s="507"/>
      <c r="Y240" s="507"/>
      <c r="Z240" s="507"/>
    </row>
    <row r="241" ht="18.75" customHeight="1">
      <c r="A241" s="507"/>
      <c r="B241" s="540"/>
      <c r="C241" s="540"/>
      <c r="D241" s="540"/>
      <c r="E241" s="540"/>
      <c r="F241" s="541"/>
      <c r="G241" s="541"/>
      <c r="H241" s="540"/>
      <c r="I241" s="521"/>
      <c r="J241" s="521"/>
      <c r="K241" s="510"/>
      <c r="L241" s="510"/>
      <c r="M241" s="510"/>
      <c r="N241" s="510"/>
      <c r="O241" s="507"/>
      <c r="P241" s="507"/>
      <c r="Q241" s="507"/>
      <c r="R241" s="510"/>
      <c r="S241" s="510"/>
      <c r="T241" s="510"/>
      <c r="U241" s="510"/>
      <c r="V241" s="513"/>
      <c r="W241" s="582"/>
      <c r="X241" s="507"/>
      <c r="Y241" s="507"/>
      <c r="Z241" s="507"/>
    </row>
    <row r="242" ht="18.75" customHeight="1">
      <c r="A242" s="507"/>
      <c r="B242" s="542"/>
      <c r="C242" s="542"/>
      <c r="D242" s="542"/>
      <c r="E242" s="542"/>
      <c r="F242" s="543"/>
      <c r="G242" s="543"/>
      <c r="H242" s="542"/>
      <c r="I242" s="544"/>
      <c r="J242" s="544"/>
      <c r="K242" s="510"/>
      <c r="L242" s="510"/>
      <c r="M242" s="510"/>
      <c r="N242" s="510"/>
      <c r="O242" s="507"/>
      <c r="P242" s="507"/>
      <c r="Q242" s="507"/>
      <c r="R242" s="510"/>
      <c r="S242" s="510"/>
      <c r="T242" s="510"/>
      <c r="U242" s="510"/>
      <c r="V242" s="513"/>
      <c r="W242" s="582"/>
      <c r="X242" s="507"/>
      <c r="Y242" s="507"/>
      <c r="Z242" s="507"/>
    </row>
    <row r="243" ht="18.75" customHeight="1">
      <c r="A243" s="507"/>
      <c r="B243" s="542"/>
      <c r="C243" s="542"/>
      <c r="D243" s="542"/>
      <c r="E243" s="542"/>
      <c r="F243" s="543"/>
      <c r="G243" s="543"/>
      <c r="H243" s="542"/>
      <c r="I243" s="544"/>
      <c r="J243" s="544"/>
      <c r="K243" s="510"/>
      <c r="L243" s="510"/>
      <c r="M243" s="510"/>
      <c r="N243" s="510"/>
      <c r="O243" s="507"/>
      <c r="P243" s="507"/>
      <c r="Q243" s="507"/>
      <c r="R243" s="510"/>
      <c r="S243" s="510"/>
      <c r="T243" s="510"/>
      <c r="U243" s="510"/>
      <c r="V243" s="510"/>
      <c r="W243" s="582"/>
      <c r="X243" s="507"/>
      <c r="Y243" s="507"/>
      <c r="Z243" s="507"/>
    </row>
    <row r="244" ht="18.75" customHeight="1">
      <c r="A244" s="507"/>
      <c r="B244" s="542"/>
      <c r="C244" s="542"/>
      <c r="D244" s="542"/>
      <c r="E244" s="542"/>
      <c r="F244" s="543"/>
      <c r="G244" s="543"/>
      <c r="H244" s="542"/>
      <c r="I244" s="544"/>
      <c r="J244" s="544"/>
      <c r="K244" s="510"/>
      <c r="L244" s="510"/>
      <c r="M244" s="510"/>
      <c r="N244" s="510"/>
      <c r="O244" s="507"/>
      <c r="P244" s="507"/>
      <c r="Q244" s="507"/>
      <c r="R244" s="510"/>
      <c r="S244" s="510"/>
      <c r="T244" s="510"/>
      <c r="U244" s="510"/>
      <c r="V244" s="510"/>
      <c r="W244" s="582"/>
      <c r="X244" s="507"/>
      <c r="Y244" s="507"/>
      <c r="Z244" s="507"/>
    </row>
    <row r="245" ht="18.75" customHeight="1">
      <c r="A245" s="507"/>
      <c r="B245" s="542"/>
      <c r="C245" s="542"/>
      <c r="D245" s="542"/>
      <c r="E245" s="542"/>
      <c r="F245" s="543"/>
      <c r="G245" s="543"/>
      <c r="H245" s="542"/>
      <c r="I245" s="544"/>
      <c r="J245" s="544"/>
      <c r="K245" s="510"/>
      <c r="L245" s="510"/>
      <c r="M245" s="510"/>
      <c r="N245" s="510"/>
      <c r="O245" s="507"/>
      <c r="P245" s="507"/>
      <c r="Q245" s="507"/>
      <c r="R245" s="510"/>
      <c r="S245" s="510"/>
      <c r="T245" s="510"/>
      <c r="U245" s="510"/>
      <c r="V245" s="510"/>
      <c r="W245" s="582"/>
      <c r="X245" s="507"/>
      <c r="Y245" s="507"/>
      <c r="Z245" s="507"/>
    </row>
    <row r="246" ht="18.75" customHeight="1">
      <c r="A246" s="507"/>
      <c r="B246" s="542"/>
      <c r="C246" s="542"/>
      <c r="D246" s="542"/>
      <c r="E246" s="542"/>
      <c r="F246" s="543"/>
      <c r="G246" s="543"/>
      <c r="H246" s="542"/>
      <c r="I246" s="544"/>
      <c r="J246" s="544"/>
      <c r="K246" s="510"/>
      <c r="L246" s="510"/>
      <c r="M246" s="510"/>
      <c r="N246" s="510"/>
      <c r="O246" s="507"/>
      <c r="P246" s="507"/>
      <c r="Q246" s="507"/>
      <c r="R246" s="510"/>
      <c r="S246" s="510"/>
      <c r="T246" s="510"/>
      <c r="U246" s="510"/>
      <c r="V246" s="510"/>
      <c r="W246" s="582"/>
      <c r="X246" s="507"/>
      <c r="Y246" s="507"/>
      <c r="Z246" s="507"/>
    </row>
    <row r="247" ht="18.75" customHeight="1">
      <c r="A247" s="507"/>
      <c r="B247" s="545"/>
      <c r="C247" s="545"/>
      <c r="D247" s="545"/>
      <c r="E247" s="545"/>
      <c r="F247" s="546"/>
      <c r="G247" s="546"/>
      <c r="H247" s="545"/>
      <c r="I247" s="547"/>
      <c r="J247" s="547"/>
      <c r="K247" s="510"/>
      <c r="L247" s="510"/>
      <c r="M247" s="510"/>
      <c r="N247" s="510"/>
      <c r="O247" s="507"/>
      <c r="P247" s="507"/>
      <c r="Q247" s="507"/>
      <c r="R247" s="510"/>
      <c r="S247" s="510"/>
      <c r="T247" s="510"/>
      <c r="U247" s="510"/>
      <c r="V247" s="510"/>
      <c r="W247" s="582"/>
      <c r="X247" s="507"/>
      <c r="Y247" s="507"/>
      <c r="Z247" s="507"/>
    </row>
    <row r="248" ht="18.75" customHeight="1">
      <c r="A248" s="507"/>
      <c r="B248" s="545"/>
      <c r="C248" s="545"/>
      <c r="D248" s="545"/>
      <c r="E248" s="545"/>
      <c r="F248" s="546"/>
      <c r="G248" s="546"/>
      <c r="H248" s="545"/>
      <c r="I248" s="547"/>
      <c r="J248" s="547"/>
      <c r="K248" s="510"/>
      <c r="L248" s="510"/>
      <c r="M248" s="510"/>
      <c r="N248" s="510"/>
      <c r="O248" s="507"/>
      <c r="P248" s="507"/>
      <c r="Q248" s="507"/>
      <c r="R248" s="510"/>
      <c r="S248" s="510"/>
      <c r="T248" s="510"/>
      <c r="U248" s="510"/>
      <c r="V248" s="510"/>
      <c r="W248" s="582"/>
      <c r="X248" s="507"/>
      <c r="Y248" s="507"/>
      <c r="Z248" s="507"/>
    </row>
    <row r="249" ht="18.75" customHeight="1">
      <c r="A249" s="507"/>
      <c r="B249" s="545"/>
      <c r="C249" s="545"/>
      <c r="D249" s="545"/>
      <c r="E249" s="545"/>
      <c r="F249" s="546"/>
      <c r="G249" s="546"/>
      <c r="H249" s="545"/>
      <c r="I249" s="547"/>
      <c r="J249" s="547"/>
      <c r="K249" s="510"/>
      <c r="L249" s="510"/>
      <c r="M249" s="510"/>
      <c r="N249" s="510"/>
      <c r="O249" s="507"/>
      <c r="P249" s="507"/>
      <c r="Q249" s="507"/>
      <c r="R249" s="510"/>
      <c r="S249" s="510"/>
      <c r="T249" s="510"/>
      <c r="U249" s="510"/>
      <c r="V249" s="510"/>
      <c r="W249" s="582"/>
      <c r="X249" s="507"/>
      <c r="Y249" s="507"/>
      <c r="Z249" s="507"/>
    </row>
    <row r="250" ht="18.75" customHeight="1">
      <c r="A250" s="507"/>
      <c r="B250" s="545"/>
      <c r="C250" s="545"/>
      <c r="D250" s="545"/>
      <c r="E250" s="545"/>
      <c r="F250" s="546"/>
      <c r="G250" s="546"/>
      <c r="H250" s="545"/>
      <c r="I250" s="547"/>
      <c r="J250" s="547"/>
      <c r="K250" s="510"/>
      <c r="L250" s="510"/>
      <c r="M250" s="510"/>
      <c r="N250" s="510"/>
      <c r="O250" s="507"/>
      <c r="P250" s="507"/>
      <c r="Q250" s="507"/>
      <c r="R250" s="510"/>
      <c r="S250" s="510"/>
      <c r="T250" s="510"/>
      <c r="U250" s="510"/>
      <c r="V250" s="510"/>
      <c r="W250" s="582"/>
      <c r="X250" s="507"/>
      <c r="Y250" s="507"/>
      <c r="Z250" s="507"/>
    </row>
    <row r="251" ht="18.75" customHeight="1">
      <c r="A251" s="507"/>
      <c r="B251" s="545"/>
      <c r="C251" s="545"/>
      <c r="D251" s="545"/>
      <c r="E251" s="545"/>
      <c r="F251" s="546"/>
      <c r="G251" s="546"/>
      <c r="H251" s="545"/>
      <c r="I251" s="547"/>
      <c r="J251" s="547"/>
      <c r="K251" s="510"/>
      <c r="L251" s="510"/>
      <c r="M251" s="510"/>
      <c r="N251" s="510"/>
      <c r="O251" s="507"/>
      <c r="P251" s="507"/>
      <c r="Q251" s="507"/>
      <c r="R251" s="510"/>
      <c r="S251" s="510"/>
      <c r="T251" s="510"/>
      <c r="U251" s="510"/>
      <c r="V251" s="510"/>
      <c r="W251" s="582"/>
      <c r="X251" s="507"/>
      <c r="Y251" s="507"/>
      <c r="Z251" s="507"/>
    </row>
    <row r="252" ht="18.75" customHeight="1">
      <c r="A252" s="507"/>
      <c r="B252" s="545"/>
      <c r="C252" s="545"/>
      <c r="D252" s="545"/>
      <c r="E252" s="545"/>
      <c r="F252" s="546"/>
      <c r="G252" s="546"/>
      <c r="H252" s="545"/>
      <c r="I252" s="547"/>
      <c r="J252" s="547"/>
      <c r="K252" s="510"/>
      <c r="L252" s="510"/>
      <c r="M252" s="510"/>
      <c r="N252" s="510"/>
      <c r="O252" s="507"/>
      <c r="P252" s="507"/>
      <c r="Q252" s="507"/>
      <c r="R252" s="510"/>
      <c r="S252" s="510"/>
      <c r="T252" s="510"/>
      <c r="U252" s="510"/>
      <c r="V252" s="510"/>
      <c r="W252" s="582"/>
      <c r="X252" s="507"/>
      <c r="Y252" s="507"/>
      <c r="Z252" s="507"/>
    </row>
    <row r="253" ht="18.75" customHeight="1">
      <c r="A253" s="507"/>
      <c r="B253" s="545"/>
      <c r="C253" s="545"/>
      <c r="D253" s="545"/>
      <c r="E253" s="545"/>
      <c r="F253" s="546"/>
      <c r="G253" s="546"/>
      <c r="H253" s="545"/>
      <c r="I253" s="547"/>
      <c r="J253" s="547"/>
      <c r="K253" s="510"/>
      <c r="L253" s="510"/>
      <c r="M253" s="510"/>
      <c r="N253" s="510"/>
      <c r="O253" s="507"/>
      <c r="P253" s="507"/>
      <c r="Q253" s="507"/>
      <c r="R253" s="510"/>
      <c r="S253" s="510"/>
      <c r="T253" s="510"/>
      <c r="U253" s="510"/>
      <c r="V253" s="510"/>
      <c r="W253" s="582"/>
      <c r="X253" s="507"/>
      <c r="Y253" s="507"/>
      <c r="Z253" s="507"/>
    </row>
    <row r="254" ht="18.75" customHeight="1">
      <c r="A254" s="507"/>
      <c r="B254" s="545"/>
      <c r="C254" s="545"/>
      <c r="D254" s="545"/>
      <c r="E254" s="545"/>
      <c r="F254" s="546"/>
      <c r="G254" s="546"/>
      <c r="H254" s="545"/>
      <c r="I254" s="547"/>
      <c r="J254" s="547"/>
      <c r="K254" s="510"/>
      <c r="L254" s="510"/>
      <c r="M254" s="510"/>
      <c r="N254" s="510"/>
      <c r="O254" s="507"/>
      <c r="P254" s="507"/>
      <c r="Q254" s="507"/>
      <c r="R254" s="510"/>
      <c r="S254" s="510"/>
      <c r="T254" s="510"/>
      <c r="U254" s="510"/>
      <c r="V254" s="510"/>
      <c r="W254" s="582"/>
      <c r="X254" s="507"/>
      <c r="Y254" s="507"/>
      <c r="Z254" s="507"/>
    </row>
    <row r="255" ht="18.75" customHeight="1">
      <c r="A255" s="507"/>
      <c r="B255" s="545"/>
      <c r="C255" s="545"/>
      <c r="D255" s="545"/>
      <c r="E255" s="545"/>
      <c r="F255" s="546"/>
      <c r="G255" s="546"/>
      <c r="H255" s="545"/>
      <c r="I255" s="547"/>
      <c r="J255" s="547"/>
      <c r="K255" s="510"/>
      <c r="L255" s="510"/>
      <c r="M255" s="510"/>
      <c r="N255" s="510"/>
      <c r="O255" s="507"/>
      <c r="P255" s="507"/>
      <c r="Q255" s="507"/>
      <c r="R255" s="510"/>
      <c r="S255" s="510"/>
      <c r="T255" s="510"/>
      <c r="U255" s="510"/>
      <c r="V255" s="510"/>
      <c r="W255" s="582"/>
      <c r="X255" s="507"/>
      <c r="Y255" s="507"/>
      <c r="Z255" s="507"/>
    </row>
    <row r="256" ht="18.75" customHeight="1">
      <c r="A256" s="507"/>
      <c r="B256" s="545"/>
      <c r="C256" s="545"/>
      <c r="D256" s="545"/>
      <c r="E256" s="545"/>
      <c r="F256" s="546"/>
      <c r="G256" s="546"/>
      <c r="H256" s="545"/>
      <c r="I256" s="547"/>
      <c r="J256" s="547"/>
      <c r="K256" s="510"/>
      <c r="L256" s="510"/>
      <c r="M256" s="510"/>
      <c r="N256" s="510"/>
      <c r="O256" s="507"/>
      <c r="P256" s="507"/>
      <c r="Q256" s="507"/>
      <c r="R256" s="510"/>
      <c r="S256" s="510"/>
      <c r="T256" s="510"/>
      <c r="U256" s="510"/>
      <c r="V256" s="510"/>
      <c r="W256" s="582"/>
      <c r="X256" s="507"/>
      <c r="Y256" s="507"/>
      <c r="Z256" s="507"/>
    </row>
    <row r="257" ht="18.75" customHeight="1">
      <c r="A257" s="507"/>
      <c r="B257" s="545"/>
      <c r="C257" s="545"/>
      <c r="D257" s="545"/>
      <c r="E257" s="545"/>
      <c r="F257" s="546"/>
      <c r="G257" s="546"/>
      <c r="H257" s="545"/>
      <c r="I257" s="547"/>
      <c r="J257" s="547"/>
      <c r="K257" s="510"/>
      <c r="L257" s="510"/>
      <c r="M257" s="510"/>
      <c r="N257" s="510"/>
      <c r="O257" s="507"/>
      <c r="P257" s="507"/>
      <c r="Q257" s="507"/>
      <c r="R257" s="510"/>
      <c r="S257" s="510"/>
      <c r="T257" s="510"/>
      <c r="U257" s="510"/>
      <c r="V257" s="510"/>
      <c r="W257" s="582"/>
      <c r="X257" s="507"/>
      <c r="Y257" s="507"/>
      <c r="Z257" s="507"/>
    </row>
    <row r="258" ht="18.75" customHeight="1">
      <c r="A258" s="507"/>
      <c r="B258" s="545"/>
      <c r="C258" s="545"/>
      <c r="D258" s="545"/>
      <c r="E258" s="545"/>
      <c r="F258" s="546"/>
      <c r="G258" s="546"/>
      <c r="H258" s="545"/>
      <c r="I258" s="547"/>
      <c r="J258" s="547"/>
      <c r="K258" s="510"/>
      <c r="L258" s="510"/>
      <c r="M258" s="510"/>
      <c r="N258" s="510"/>
      <c r="O258" s="507"/>
      <c r="P258" s="507"/>
      <c r="Q258" s="507"/>
      <c r="R258" s="510"/>
      <c r="S258" s="510"/>
      <c r="T258" s="510"/>
      <c r="U258" s="510"/>
      <c r="V258" s="510"/>
      <c r="W258" s="582"/>
      <c r="X258" s="507"/>
      <c r="Y258" s="507"/>
      <c r="Z258" s="507"/>
    </row>
    <row r="259" ht="18.75" customHeight="1">
      <c r="A259" s="507"/>
      <c r="B259" s="545"/>
      <c r="C259" s="545"/>
      <c r="D259" s="545"/>
      <c r="E259" s="545"/>
      <c r="F259" s="546"/>
      <c r="G259" s="546"/>
      <c r="H259" s="545"/>
      <c r="I259" s="547"/>
      <c r="J259" s="547"/>
      <c r="K259" s="510"/>
      <c r="L259" s="510"/>
      <c r="M259" s="510"/>
      <c r="N259" s="510"/>
      <c r="O259" s="507"/>
      <c r="P259" s="507"/>
      <c r="Q259" s="507"/>
      <c r="R259" s="510"/>
      <c r="S259" s="510"/>
      <c r="T259" s="510"/>
      <c r="U259" s="510"/>
      <c r="V259" s="510"/>
      <c r="W259" s="582"/>
      <c r="X259" s="507"/>
      <c r="Y259" s="507"/>
      <c r="Z259" s="507"/>
    </row>
    <row r="260" ht="18.75" customHeight="1">
      <c r="A260" s="507"/>
      <c r="B260" s="545"/>
      <c r="C260" s="545"/>
      <c r="D260" s="545"/>
      <c r="E260" s="545"/>
      <c r="F260" s="546"/>
      <c r="G260" s="546"/>
      <c r="H260" s="545"/>
      <c r="I260" s="547"/>
      <c r="J260" s="547"/>
      <c r="K260" s="510"/>
      <c r="L260" s="510"/>
      <c r="M260" s="510"/>
      <c r="N260" s="510"/>
      <c r="O260" s="507"/>
      <c r="P260" s="507"/>
      <c r="Q260" s="507"/>
      <c r="R260" s="510"/>
      <c r="S260" s="510"/>
      <c r="T260" s="510"/>
      <c r="U260" s="510"/>
      <c r="V260" s="510"/>
      <c r="W260" s="582"/>
      <c r="X260" s="507"/>
      <c r="Y260" s="507"/>
      <c r="Z260" s="507"/>
    </row>
    <row r="261" ht="18.75" customHeight="1">
      <c r="A261" s="507"/>
      <c r="B261" s="545"/>
      <c r="C261" s="545"/>
      <c r="D261" s="545"/>
      <c r="E261" s="545"/>
      <c r="F261" s="546"/>
      <c r="G261" s="546"/>
      <c r="H261" s="545"/>
      <c r="I261" s="547"/>
      <c r="J261" s="547"/>
      <c r="K261" s="510"/>
      <c r="L261" s="510"/>
      <c r="M261" s="510"/>
      <c r="N261" s="510"/>
      <c r="O261" s="507"/>
      <c r="P261" s="507"/>
      <c r="Q261" s="507"/>
      <c r="R261" s="510"/>
      <c r="S261" s="510"/>
      <c r="T261" s="510"/>
      <c r="U261" s="510"/>
      <c r="V261" s="510"/>
      <c r="W261" s="582"/>
      <c r="X261" s="507"/>
      <c r="Y261" s="507"/>
      <c r="Z261" s="507"/>
    </row>
    <row r="262" ht="18.75" customHeight="1">
      <c r="A262" s="507"/>
      <c r="B262" s="545"/>
      <c r="C262" s="545"/>
      <c r="D262" s="545"/>
      <c r="E262" s="545"/>
      <c r="F262" s="546"/>
      <c r="G262" s="546"/>
      <c r="H262" s="545"/>
      <c r="I262" s="547"/>
      <c r="J262" s="547"/>
      <c r="K262" s="510"/>
      <c r="L262" s="510"/>
      <c r="M262" s="510"/>
      <c r="N262" s="510"/>
      <c r="O262" s="507"/>
      <c r="P262" s="507"/>
      <c r="Q262" s="507"/>
      <c r="R262" s="510"/>
      <c r="S262" s="510"/>
      <c r="T262" s="510"/>
      <c r="U262" s="510"/>
      <c r="V262" s="510"/>
      <c r="W262" s="582"/>
      <c r="X262" s="507"/>
      <c r="Y262" s="507"/>
      <c r="Z262" s="507"/>
    </row>
    <row r="263" ht="18.75" customHeight="1">
      <c r="A263" s="507"/>
      <c r="B263" s="545"/>
      <c r="C263" s="545"/>
      <c r="D263" s="545"/>
      <c r="E263" s="545"/>
      <c r="F263" s="546"/>
      <c r="G263" s="546"/>
      <c r="H263" s="545"/>
      <c r="I263" s="547"/>
      <c r="J263" s="547"/>
      <c r="K263" s="510"/>
      <c r="L263" s="510"/>
      <c r="M263" s="510"/>
      <c r="N263" s="510"/>
      <c r="O263" s="507"/>
      <c r="P263" s="507"/>
      <c r="Q263" s="507"/>
      <c r="R263" s="510"/>
      <c r="S263" s="510"/>
      <c r="T263" s="510"/>
      <c r="U263" s="510"/>
      <c r="V263" s="510"/>
      <c r="W263" s="582"/>
      <c r="X263" s="507"/>
      <c r="Y263" s="507"/>
      <c r="Z263" s="507"/>
    </row>
    <row r="264" ht="18.75" customHeight="1">
      <c r="A264" s="507"/>
      <c r="B264" s="545"/>
      <c r="C264" s="545"/>
      <c r="D264" s="545"/>
      <c r="E264" s="545"/>
      <c r="F264" s="546"/>
      <c r="G264" s="546"/>
      <c r="H264" s="545"/>
      <c r="I264" s="547"/>
      <c r="J264" s="547"/>
      <c r="K264" s="510"/>
      <c r="L264" s="510"/>
      <c r="M264" s="510"/>
      <c r="N264" s="510"/>
      <c r="O264" s="507"/>
      <c r="P264" s="507"/>
      <c r="Q264" s="507"/>
      <c r="R264" s="510"/>
      <c r="S264" s="510"/>
      <c r="T264" s="510"/>
      <c r="U264" s="510"/>
      <c r="V264" s="510"/>
      <c r="W264" s="582"/>
      <c r="X264" s="507"/>
      <c r="Y264" s="507"/>
      <c r="Z264" s="507"/>
    </row>
    <row r="265" ht="18.75" customHeight="1">
      <c r="A265" s="507"/>
      <c r="B265" s="545"/>
      <c r="C265" s="545"/>
      <c r="D265" s="545"/>
      <c r="E265" s="545"/>
      <c r="F265" s="546"/>
      <c r="G265" s="546"/>
      <c r="H265" s="545"/>
      <c r="I265" s="547"/>
      <c r="J265" s="547"/>
      <c r="K265" s="510"/>
      <c r="L265" s="510"/>
      <c r="M265" s="510"/>
      <c r="N265" s="510"/>
      <c r="O265" s="507"/>
      <c r="P265" s="507"/>
      <c r="Q265" s="507"/>
      <c r="R265" s="510"/>
      <c r="S265" s="510"/>
      <c r="T265" s="510"/>
      <c r="U265" s="510"/>
      <c r="V265" s="510"/>
      <c r="W265" s="582"/>
      <c r="X265" s="507"/>
      <c r="Y265" s="507"/>
      <c r="Z265" s="507"/>
    </row>
    <row r="266" ht="18.75" customHeight="1">
      <c r="A266" s="507"/>
      <c r="B266" s="545"/>
      <c r="C266" s="545"/>
      <c r="D266" s="545"/>
      <c r="E266" s="545"/>
      <c r="F266" s="546"/>
      <c r="G266" s="546"/>
      <c r="H266" s="545"/>
      <c r="I266" s="547"/>
      <c r="J266" s="547"/>
      <c r="K266" s="510"/>
      <c r="L266" s="510"/>
      <c r="M266" s="510"/>
      <c r="N266" s="510"/>
      <c r="O266" s="507"/>
      <c r="P266" s="507"/>
      <c r="Q266" s="507"/>
      <c r="R266" s="510"/>
      <c r="S266" s="510"/>
      <c r="T266" s="510"/>
      <c r="U266" s="510"/>
      <c r="V266" s="510"/>
      <c r="W266" s="582"/>
      <c r="X266" s="507"/>
      <c r="Y266" s="507"/>
      <c r="Z266" s="507"/>
    </row>
    <row r="267" ht="18.75" customHeight="1">
      <c r="A267" s="507"/>
      <c r="B267" s="545"/>
      <c r="C267" s="545"/>
      <c r="D267" s="545"/>
      <c r="E267" s="545"/>
      <c r="F267" s="546"/>
      <c r="G267" s="546"/>
      <c r="H267" s="545"/>
      <c r="I267" s="547"/>
      <c r="J267" s="547"/>
      <c r="K267" s="510"/>
      <c r="L267" s="510"/>
      <c r="M267" s="510"/>
      <c r="N267" s="510"/>
      <c r="O267" s="507"/>
      <c r="P267" s="507"/>
      <c r="Q267" s="507"/>
      <c r="R267" s="510"/>
      <c r="S267" s="510"/>
      <c r="T267" s="510"/>
      <c r="U267" s="510"/>
      <c r="V267" s="510"/>
      <c r="W267" s="582"/>
      <c r="X267" s="507"/>
      <c r="Y267" s="507"/>
      <c r="Z267" s="507"/>
    </row>
    <row r="268" ht="18.75" customHeight="1">
      <c r="A268" s="507"/>
      <c r="B268" s="545"/>
      <c r="C268" s="545"/>
      <c r="D268" s="545"/>
      <c r="E268" s="545"/>
      <c r="F268" s="546"/>
      <c r="G268" s="546"/>
      <c r="H268" s="545"/>
      <c r="I268" s="547"/>
      <c r="J268" s="547"/>
      <c r="K268" s="510"/>
      <c r="L268" s="510"/>
      <c r="M268" s="510"/>
      <c r="N268" s="510"/>
      <c r="O268" s="507"/>
      <c r="P268" s="507"/>
      <c r="Q268" s="507"/>
      <c r="R268" s="510"/>
      <c r="S268" s="510"/>
      <c r="T268" s="510"/>
      <c r="U268" s="510"/>
      <c r="V268" s="510"/>
      <c r="W268" s="582"/>
      <c r="X268" s="507"/>
      <c r="Y268" s="507"/>
      <c r="Z268" s="507"/>
    </row>
    <row r="269" ht="18.75" customHeight="1">
      <c r="A269" s="507"/>
      <c r="B269" s="545"/>
      <c r="C269" s="545"/>
      <c r="D269" s="545"/>
      <c r="E269" s="545"/>
      <c r="F269" s="546"/>
      <c r="G269" s="546"/>
      <c r="H269" s="545"/>
      <c r="I269" s="547"/>
      <c r="J269" s="547"/>
      <c r="K269" s="510"/>
      <c r="L269" s="510"/>
      <c r="M269" s="510"/>
      <c r="N269" s="510"/>
      <c r="O269" s="507"/>
      <c r="P269" s="507"/>
      <c r="Q269" s="507"/>
      <c r="R269" s="510"/>
      <c r="S269" s="510"/>
      <c r="T269" s="510"/>
      <c r="U269" s="510"/>
      <c r="V269" s="510"/>
      <c r="W269" s="582"/>
      <c r="X269" s="507"/>
      <c r="Y269" s="507"/>
      <c r="Z269" s="507"/>
    </row>
    <row r="270" ht="18.75" customHeight="1">
      <c r="A270" s="507"/>
      <c r="B270" s="545"/>
      <c r="C270" s="545"/>
      <c r="D270" s="545"/>
      <c r="E270" s="545"/>
      <c r="F270" s="546"/>
      <c r="G270" s="546"/>
      <c r="H270" s="545"/>
      <c r="I270" s="547"/>
      <c r="J270" s="547"/>
      <c r="K270" s="510"/>
      <c r="L270" s="510"/>
      <c r="M270" s="510"/>
      <c r="N270" s="510"/>
      <c r="O270" s="507"/>
      <c r="P270" s="507"/>
      <c r="Q270" s="507"/>
      <c r="R270" s="510"/>
      <c r="S270" s="510"/>
      <c r="T270" s="510"/>
      <c r="U270" s="510"/>
      <c r="V270" s="510"/>
      <c r="W270" s="582"/>
      <c r="X270" s="507"/>
      <c r="Y270" s="507"/>
      <c r="Z270" s="507"/>
    </row>
    <row r="271" ht="18.75" customHeight="1">
      <c r="A271" s="507"/>
      <c r="B271" s="545"/>
      <c r="C271" s="545"/>
      <c r="D271" s="545"/>
      <c r="E271" s="545"/>
      <c r="F271" s="546"/>
      <c r="G271" s="546"/>
      <c r="H271" s="545"/>
      <c r="I271" s="547"/>
      <c r="J271" s="547"/>
      <c r="K271" s="510"/>
      <c r="L271" s="510"/>
      <c r="M271" s="510"/>
      <c r="N271" s="510"/>
      <c r="O271" s="507"/>
      <c r="P271" s="507"/>
      <c r="Q271" s="507"/>
      <c r="R271" s="510"/>
      <c r="S271" s="510"/>
      <c r="T271" s="510"/>
      <c r="U271" s="510"/>
      <c r="V271" s="510"/>
      <c r="W271" s="582"/>
      <c r="X271" s="507"/>
      <c r="Y271" s="507"/>
      <c r="Z271" s="507"/>
    </row>
    <row r="272" ht="18.75" customHeight="1">
      <c r="A272" s="507"/>
      <c r="B272" s="545"/>
      <c r="C272" s="545"/>
      <c r="D272" s="545"/>
      <c r="E272" s="545"/>
      <c r="F272" s="546"/>
      <c r="G272" s="546"/>
      <c r="H272" s="545"/>
      <c r="I272" s="547"/>
      <c r="J272" s="547"/>
      <c r="K272" s="510"/>
      <c r="L272" s="510"/>
      <c r="M272" s="510"/>
      <c r="N272" s="510"/>
      <c r="O272" s="507"/>
      <c r="P272" s="507"/>
      <c r="Q272" s="507"/>
      <c r="R272" s="510"/>
      <c r="S272" s="510"/>
      <c r="T272" s="510"/>
      <c r="U272" s="510"/>
      <c r="V272" s="510"/>
      <c r="W272" s="582"/>
      <c r="X272" s="507"/>
      <c r="Y272" s="507"/>
      <c r="Z272" s="507"/>
    </row>
    <row r="273" ht="18.75" customHeight="1">
      <c r="A273" s="507"/>
      <c r="B273" s="545"/>
      <c r="C273" s="545"/>
      <c r="D273" s="545"/>
      <c r="E273" s="545"/>
      <c r="F273" s="546"/>
      <c r="G273" s="546"/>
      <c r="H273" s="545"/>
      <c r="I273" s="547"/>
      <c r="J273" s="547"/>
      <c r="K273" s="510"/>
      <c r="L273" s="510"/>
      <c r="M273" s="510"/>
      <c r="N273" s="510"/>
      <c r="O273" s="507"/>
      <c r="P273" s="507"/>
      <c r="Q273" s="507"/>
      <c r="R273" s="510"/>
      <c r="S273" s="510"/>
      <c r="T273" s="510"/>
      <c r="U273" s="510"/>
      <c r="V273" s="510"/>
      <c r="W273" s="582"/>
      <c r="X273" s="507"/>
      <c r="Y273" s="507"/>
      <c r="Z273" s="507"/>
    </row>
    <row r="274" ht="18.75" customHeight="1">
      <c r="A274" s="507"/>
      <c r="B274" s="545"/>
      <c r="C274" s="545"/>
      <c r="D274" s="545"/>
      <c r="E274" s="545"/>
      <c r="F274" s="546"/>
      <c r="G274" s="546"/>
      <c r="H274" s="545"/>
      <c r="I274" s="547"/>
      <c r="J274" s="547"/>
      <c r="K274" s="510"/>
      <c r="L274" s="510"/>
      <c r="M274" s="510"/>
      <c r="N274" s="510"/>
      <c r="O274" s="507"/>
      <c r="P274" s="507"/>
      <c r="Q274" s="507"/>
      <c r="R274" s="510"/>
      <c r="S274" s="510"/>
      <c r="T274" s="510"/>
      <c r="U274" s="510"/>
      <c r="V274" s="510"/>
      <c r="W274" s="582"/>
      <c r="X274" s="507"/>
      <c r="Y274" s="507"/>
      <c r="Z274" s="507"/>
    </row>
    <row r="275" ht="18.75" customHeight="1">
      <c r="A275" s="507"/>
      <c r="B275" s="545"/>
      <c r="C275" s="545"/>
      <c r="D275" s="545"/>
      <c r="E275" s="545"/>
      <c r="F275" s="546"/>
      <c r="G275" s="546"/>
      <c r="H275" s="545"/>
      <c r="I275" s="547"/>
      <c r="J275" s="547"/>
      <c r="K275" s="510"/>
      <c r="L275" s="510"/>
      <c r="M275" s="510"/>
      <c r="N275" s="510"/>
      <c r="O275" s="507"/>
      <c r="P275" s="507"/>
      <c r="Q275" s="507"/>
      <c r="R275" s="510"/>
      <c r="S275" s="510"/>
      <c r="T275" s="510"/>
      <c r="U275" s="510"/>
      <c r="V275" s="510"/>
      <c r="W275" s="582"/>
      <c r="X275" s="507"/>
      <c r="Y275" s="507"/>
      <c r="Z275" s="507"/>
    </row>
    <row r="276" ht="18.75" customHeight="1">
      <c r="A276" s="507"/>
      <c r="B276" s="545"/>
      <c r="C276" s="545"/>
      <c r="D276" s="545"/>
      <c r="E276" s="545"/>
      <c r="F276" s="546"/>
      <c r="G276" s="546"/>
      <c r="H276" s="545"/>
      <c r="I276" s="547"/>
      <c r="J276" s="547"/>
      <c r="K276" s="510"/>
      <c r="L276" s="510"/>
      <c r="M276" s="510"/>
      <c r="N276" s="510"/>
      <c r="O276" s="507"/>
      <c r="P276" s="507"/>
      <c r="Q276" s="507"/>
      <c r="R276" s="510"/>
      <c r="S276" s="510"/>
      <c r="T276" s="510"/>
      <c r="U276" s="510"/>
      <c r="V276" s="510"/>
      <c r="W276" s="582"/>
      <c r="X276" s="507"/>
      <c r="Y276" s="507"/>
      <c r="Z276" s="507"/>
    </row>
    <row r="277" ht="18.75" customHeight="1">
      <c r="A277" s="507"/>
      <c r="B277" s="545"/>
      <c r="C277" s="545"/>
      <c r="D277" s="545"/>
      <c r="E277" s="545"/>
      <c r="F277" s="546"/>
      <c r="G277" s="546"/>
      <c r="H277" s="545"/>
      <c r="I277" s="547"/>
      <c r="J277" s="547"/>
      <c r="K277" s="510"/>
      <c r="L277" s="510"/>
      <c r="M277" s="510"/>
      <c r="N277" s="510"/>
      <c r="O277" s="507"/>
      <c r="P277" s="507"/>
      <c r="Q277" s="507"/>
      <c r="R277" s="510"/>
      <c r="S277" s="510"/>
      <c r="T277" s="510"/>
      <c r="U277" s="510"/>
      <c r="V277" s="510"/>
      <c r="W277" s="582"/>
      <c r="X277" s="507"/>
      <c r="Y277" s="507"/>
      <c r="Z277" s="507"/>
    </row>
    <row r="278" ht="18.75" customHeight="1">
      <c r="A278" s="401"/>
      <c r="B278" s="510"/>
      <c r="C278" s="510"/>
      <c r="D278" s="510"/>
      <c r="E278" s="510"/>
      <c r="F278" s="548"/>
      <c r="G278" s="548"/>
      <c r="H278" s="527"/>
      <c r="I278" s="527"/>
      <c r="J278" s="527"/>
      <c r="K278" s="509"/>
      <c r="L278" s="509"/>
      <c r="M278" s="509"/>
      <c r="N278" s="509"/>
      <c r="O278" s="509"/>
      <c r="P278" s="509"/>
      <c r="Q278" s="509"/>
      <c r="R278" s="401"/>
      <c r="S278" s="401"/>
      <c r="T278" s="401"/>
      <c r="U278" s="401"/>
      <c r="V278" s="401"/>
      <c r="W278" s="592"/>
      <c r="X278" s="401"/>
      <c r="Y278" s="401"/>
      <c r="Z278" s="401"/>
    </row>
    <row r="279" ht="18.75" customHeight="1">
      <c r="A279" s="401"/>
      <c r="B279" s="510"/>
      <c r="C279" s="510"/>
      <c r="D279" s="510"/>
      <c r="E279" s="510"/>
      <c r="F279" s="549"/>
      <c r="G279" s="549"/>
      <c r="H279" s="510"/>
      <c r="I279" s="401"/>
      <c r="J279" s="401"/>
      <c r="K279" s="401"/>
      <c r="L279" s="401"/>
      <c r="M279" s="401"/>
      <c r="N279" s="401"/>
      <c r="O279" s="401"/>
      <c r="P279" s="401"/>
      <c r="Q279" s="401"/>
      <c r="R279" s="401"/>
      <c r="S279" s="401"/>
      <c r="T279" s="401"/>
      <c r="U279" s="401"/>
      <c r="V279" s="401"/>
      <c r="W279" s="592"/>
      <c r="X279" s="401"/>
      <c r="Y279" s="401"/>
      <c r="Z279" s="401"/>
    </row>
    <row r="280" ht="18.75" customHeight="1">
      <c r="A280" s="401"/>
      <c r="B280" s="401"/>
      <c r="C280" s="401"/>
      <c r="D280" s="401"/>
      <c r="E280" s="401"/>
      <c r="F280" s="550"/>
      <c r="G280" s="550"/>
      <c r="H280" s="401"/>
      <c r="I280" s="401"/>
      <c r="J280" s="401"/>
      <c r="K280" s="401"/>
      <c r="L280" s="401"/>
      <c r="M280" s="401"/>
      <c r="N280" s="401"/>
      <c r="O280" s="401"/>
      <c r="P280" s="401"/>
      <c r="Q280" s="401"/>
      <c r="R280" s="401"/>
      <c r="S280" s="401"/>
      <c r="T280" s="401"/>
      <c r="U280" s="401"/>
      <c r="V280" s="401"/>
      <c r="W280" s="592"/>
      <c r="X280" s="401"/>
      <c r="Y280" s="401"/>
      <c r="Z280" s="401"/>
    </row>
    <row r="281" ht="18.75" customHeight="1">
      <c r="A281" s="401"/>
      <c r="B281" s="401"/>
      <c r="C281" s="401"/>
      <c r="D281" s="401"/>
      <c r="E281" s="401"/>
      <c r="F281" s="550"/>
      <c r="G281" s="550"/>
      <c r="H281" s="401"/>
      <c r="I281" s="401"/>
      <c r="J281" s="401"/>
      <c r="K281" s="401"/>
      <c r="L281" s="401"/>
      <c r="M281" s="401"/>
      <c r="N281" s="401"/>
      <c r="O281" s="401"/>
      <c r="P281" s="401"/>
      <c r="Q281" s="401"/>
      <c r="R281" s="401"/>
      <c r="S281" s="401"/>
      <c r="T281" s="401"/>
      <c r="U281" s="401"/>
      <c r="V281" s="401"/>
      <c r="W281" s="592"/>
      <c r="X281" s="401"/>
      <c r="Y281" s="401"/>
      <c r="Z281" s="401"/>
    </row>
    <row r="282" ht="18.75" customHeight="1">
      <c r="A282" s="401"/>
      <c r="B282" s="401"/>
      <c r="C282" s="401"/>
      <c r="D282" s="401"/>
      <c r="E282" s="401"/>
      <c r="F282" s="550"/>
      <c r="G282" s="550"/>
      <c r="H282" s="401"/>
      <c r="I282" s="401"/>
      <c r="J282" s="401"/>
      <c r="K282" s="401"/>
      <c r="L282" s="401"/>
      <c r="M282" s="401"/>
      <c r="N282" s="401"/>
      <c r="O282" s="401"/>
      <c r="P282" s="401"/>
      <c r="Q282" s="401"/>
      <c r="R282" s="401"/>
      <c r="S282" s="401"/>
      <c r="T282" s="401"/>
      <c r="U282" s="401"/>
      <c r="V282" s="401"/>
      <c r="W282" s="592"/>
      <c r="X282" s="401"/>
      <c r="Y282" s="401"/>
      <c r="Z282" s="401"/>
    </row>
    <row r="283" ht="18.75" customHeight="1">
      <c r="A283" s="139"/>
      <c r="B283" s="401"/>
      <c r="C283" s="401"/>
      <c r="D283" s="401"/>
      <c r="E283" s="401"/>
      <c r="F283" s="550"/>
      <c r="G283" s="550"/>
      <c r="H283" s="401"/>
      <c r="I283" s="401"/>
      <c r="J283" s="401"/>
      <c r="K283" s="401"/>
      <c r="L283" s="401"/>
      <c r="M283" s="401"/>
      <c r="N283" s="401"/>
      <c r="O283" s="401"/>
      <c r="P283" s="401"/>
      <c r="Q283" s="401"/>
      <c r="R283" s="401"/>
      <c r="S283" s="401"/>
      <c r="T283" s="401"/>
      <c r="U283" s="401"/>
      <c r="V283" s="401"/>
      <c r="W283" s="592"/>
      <c r="X283" s="401"/>
      <c r="Y283" s="401"/>
      <c r="Z283" s="401"/>
    </row>
    <row r="284" ht="18.75" customHeight="1">
      <c r="A284" s="401"/>
      <c r="B284" s="401"/>
      <c r="C284" s="401"/>
      <c r="D284" s="401"/>
      <c r="E284" s="401"/>
      <c r="F284" s="550"/>
      <c r="G284" s="550"/>
      <c r="H284" s="401"/>
      <c r="I284" s="401"/>
      <c r="J284" s="401"/>
      <c r="K284" s="401"/>
      <c r="L284" s="401"/>
      <c r="M284" s="401"/>
      <c r="N284" s="401"/>
      <c r="O284" s="401"/>
      <c r="P284" s="401"/>
      <c r="Q284" s="401"/>
      <c r="R284" s="401"/>
      <c r="S284" s="401"/>
      <c r="T284" s="401"/>
      <c r="U284" s="401"/>
      <c r="V284" s="401"/>
      <c r="W284" s="592"/>
      <c r="X284" s="401"/>
      <c r="Y284" s="401"/>
      <c r="Z284" s="401"/>
    </row>
    <row r="285" ht="18.75" customHeight="1">
      <c r="A285" s="401"/>
      <c r="B285" s="527"/>
      <c r="C285" s="551"/>
      <c r="D285" s="551"/>
      <c r="E285" s="551"/>
      <c r="F285" s="552"/>
      <c r="G285" s="552"/>
      <c r="H285" s="527"/>
      <c r="I285" s="527"/>
      <c r="J285" s="527"/>
      <c r="K285" s="401"/>
      <c r="L285" s="401"/>
      <c r="M285" s="401"/>
      <c r="N285" s="401"/>
      <c r="O285" s="401"/>
      <c r="P285" s="401"/>
      <c r="Q285" s="401"/>
      <c r="R285" s="401"/>
      <c r="S285" s="401"/>
      <c r="T285" s="401"/>
      <c r="U285" s="401"/>
      <c r="V285" s="401"/>
      <c r="W285" s="592"/>
      <c r="X285" s="401"/>
      <c r="Y285" s="401"/>
      <c r="Z285" s="401"/>
    </row>
    <row r="286" ht="18.75" customHeight="1">
      <c r="A286" s="553"/>
      <c r="B286" s="508"/>
      <c r="C286" s="508"/>
      <c r="D286" s="508"/>
      <c r="E286" s="508"/>
      <c r="F286" s="515"/>
      <c r="G286" s="515"/>
      <c r="H286" s="508"/>
      <c r="I286" s="521"/>
      <c r="J286" s="521"/>
      <c r="K286" s="401"/>
      <c r="L286" s="401"/>
      <c r="M286" s="401"/>
      <c r="N286" s="401"/>
      <c r="O286" s="554"/>
      <c r="P286" s="554"/>
      <c r="Q286" s="554"/>
      <c r="R286" s="401"/>
      <c r="S286" s="401"/>
      <c r="T286" s="401"/>
      <c r="U286" s="401"/>
      <c r="V286" s="401"/>
      <c r="W286" s="592"/>
      <c r="X286" s="401"/>
      <c r="Y286" s="401"/>
      <c r="Z286" s="401"/>
    </row>
    <row r="287" ht="18.75" customHeight="1">
      <c r="A287" s="553"/>
      <c r="B287" s="508"/>
      <c r="C287" s="508"/>
      <c r="D287" s="508"/>
      <c r="E287" s="508"/>
      <c r="F287" s="515"/>
      <c r="G287" s="515"/>
      <c r="H287" s="508"/>
      <c r="I287" s="521"/>
      <c r="J287" s="521"/>
      <c r="K287" s="401"/>
      <c r="L287" s="401"/>
      <c r="M287" s="401"/>
      <c r="N287" s="401"/>
      <c r="O287" s="554"/>
      <c r="P287" s="554"/>
      <c r="Q287" s="554"/>
      <c r="R287" s="401"/>
      <c r="S287" s="401"/>
      <c r="T287" s="401"/>
      <c r="U287" s="401"/>
      <c r="V287" s="401"/>
      <c r="W287" s="592"/>
      <c r="X287" s="545"/>
      <c r="Y287" s="545"/>
      <c r="Z287" s="401"/>
    </row>
    <row r="288" ht="18.75" customHeight="1">
      <c r="A288" s="553"/>
      <c r="B288" s="508"/>
      <c r="C288" s="508"/>
      <c r="D288" s="508"/>
      <c r="E288" s="508"/>
      <c r="F288" s="515"/>
      <c r="G288" s="515"/>
      <c r="H288" s="508"/>
      <c r="I288" s="521"/>
      <c r="J288" s="521"/>
      <c r="K288" s="401"/>
      <c r="L288" s="401"/>
      <c r="M288" s="401"/>
      <c r="N288" s="401"/>
      <c r="O288" s="554"/>
      <c r="P288" s="554"/>
      <c r="Q288" s="554"/>
      <c r="R288" s="401"/>
      <c r="S288" s="401"/>
      <c r="T288" s="401"/>
      <c r="U288" s="401"/>
      <c r="V288" s="401"/>
      <c r="W288" s="592"/>
      <c r="X288" s="545"/>
      <c r="Y288" s="545"/>
      <c r="Z288" s="401"/>
    </row>
    <row r="289" ht="18.75" customHeight="1">
      <c r="A289" s="553"/>
      <c r="B289" s="508"/>
      <c r="C289" s="508"/>
      <c r="D289" s="508"/>
      <c r="E289" s="508"/>
      <c r="F289" s="515"/>
      <c r="G289" s="515"/>
      <c r="H289" s="508"/>
      <c r="I289" s="521"/>
      <c r="J289" s="521"/>
      <c r="K289" s="401"/>
      <c r="L289" s="401"/>
      <c r="M289" s="401"/>
      <c r="N289" s="401"/>
      <c r="O289" s="554"/>
      <c r="P289" s="554"/>
      <c r="Q289" s="554"/>
      <c r="R289" s="401"/>
      <c r="S289" s="401"/>
      <c r="T289" s="401"/>
      <c r="U289" s="401"/>
      <c r="V289" s="401"/>
      <c r="W289" s="592"/>
      <c r="X289" s="545"/>
      <c r="Y289" s="545"/>
      <c r="Z289" s="401"/>
    </row>
    <row r="290" ht="18.75" customHeight="1">
      <c r="A290" s="553"/>
      <c r="B290" s="508"/>
      <c r="C290" s="508"/>
      <c r="D290" s="508"/>
      <c r="E290" s="508"/>
      <c r="F290" s="515"/>
      <c r="G290" s="515"/>
      <c r="H290" s="508"/>
      <c r="I290" s="521"/>
      <c r="J290" s="521"/>
      <c r="K290" s="401"/>
      <c r="L290" s="401"/>
      <c r="M290" s="401"/>
      <c r="N290" s="401"/>
      <c r="O290" s="554"/>
      <c r="P290" s="554"/>
      <c r="Q290" s="554"/>
      <c r="R290" s="401"/>
      <c r="S290" s="401"/>
      <c r="T290" s="401"/>
      <c r="U290" s="401"/>
      <c r="V290" s="401"/>
      <c r="W290" s="592"/>
      <c r="X290" s="401"/>
      <c r="Y290" s="401"/>
      <c r="Z290" s="401"/>
    </row>
    <row r="291" ht="18.75" customHeight="1">
      <c r="A291" s="553"/>
      <c r="B291" s="508"/>
      <c r="C291" s="508"/>
      <c r="D291" s="508"/>
      <c r="E291" s="508"/>
      <c r="F291" s="515"/>
      <c r="G291" s="515"/>
      <c r="H291" s="508"/>
      <c r="I291" s="521"/>
      <c r="J291" s="521"/>
      <c r="K291" s="401"/>
      <c r="L291" s="401"/>
      <c r="M291" s="401"/>
      <c r="N291" s="401"/>
      <c r="O291" s="554"/>
      <c r="P291" s="554"/>
      <c r="Q291" s="554"/>
      <c r="R291" s="401"/>
      <c r="S291" s="401"/>
      <c r="T291" s="401"/>
      <c r="U291" s="401"/>
      <c r="V291" s="401"/>
      <c r="W291" s="592"/>
      <c r="X291" s="401"/>
      <c r="Y291" s="401"/>
      <c r="Z291" s="401"/>
    </row>
    <row r="292" ht="18.75" customHeight="1">
      <c r="A292" s="553"/>
      <c r="B292" s="508"/>
      <c r="C292" s="508"/>
      <c r="D292" s="508"/>
      <c r="E292" s="508"/>
      <c r="F292" s="515"/>
      <c r="G292" s="515"/>
      <c r="H292" s="508"/>
      <c r="I292" s="521"/>
      <c r="J292" s="521"/>
      <c r="K292" s="401"/>
      <c r="L292" s="401"/>
      <c r="M292" s="401"/>
      <c r="N292" s="401"/>
      <c r="O292" s="554"/>
      <c r="P292" s="554"/>
      <c r="Q292" s="554"/>
      <c r="R292" s="401"/>
      <c r="S292" s="401"/>
      <c r="T292" s="401"/>
      <c r="U292" s="401"/>
      <c r="V292" s="401"/>
      <c r="W292" s="592"/>
      <c r="X292" s="401"/>
      <c r="Y292" s="401"/>
      <c r="Z292" s="401"/>
    </row>
    <row r="293" ht="18.75" customHeight="1">
      <c r="A293" s="553"/>
      <c r="B293" s="508"/>
      <c r="C293" s="508"/>
      <c r="D293" s="508"/>
      <c r="E293" s="508"/>
      <c r="F293" s="515"/>
      <c r="G293" s="515"/>
      <c r="H293" s="508"/>
      <c r="I293" s="521"/>
      <c r="J293" s="521"/>
      <c r="K293" s="401"/>
      <c r="L293" s="401"/>
      <c r="M293" s="401"/>
      <c r="N293" s="401"/>
      <c r="O293" s="554"/>
      <c r="P293" s="554"/>
      <c r="Q293" s="554"/>
      <c r="R293" s="401"/>
      <c r="S293" s="401"/>
      <c r="T293" s="401"/>
      <c r="U293" s="401"/>
      <c r="V293" s="401"/>
      <c r="W293" s="592"/>
      <c r="X293" s="401"/>
      <c r="Y293" s="401"/>
      <c r="Z293" s="401"/>
    </row>
    <row r="294" ht="18.75" customHeight="1">
      <c r="A294" s="553"/>
      <c r="B294" s="508"/>
      <c r="C294" s="508"/>
      <c r="D294" s="508"/>
      <c r="E294" s="508"/>
      <c r="F294" s="515"/>
      <c r="G294" s="515"/>
      <c r="H294" s="508"/>
      <c r="I294" s="521"/>
      <c r="J294" s="521"/>
      <c r="K294" s="401"/>
      <c r="L294" s="401"/>
      <c r="M294" s="401"/>
      <c r="N294" s="401"/>
      <c r="O294" s="554"/>
      <c r="P294" s="554"/>
      <c r="Q294" s="554"/>
      <c r="R294" s="401"/>
      <c r="S294" s="401"/>
      <c r="T294" s="401"/>
      <c r="U294" s="401"/>
      <c r="V294" s="401"/>
      <c r="W294" s="592"/>
      <c r="X294" s="401"/>
      <c r="Y294" s="401"/>
      <c r="Z294" s="401"/>
    </row>
    <row r="295" ht="18.75" customHeight="1">
      <c r="A295" s="553"/>
      <c r="B295" s="508"/>
      <c r="C295" s="508"/>
      <c r="D295" s="508"/>
      <c r="E295" s="508"/>
      <c r="F295" s="515"/>
      <c r="G295" s="515"/>
      <c r="H295" s="508"/>
      <c r="I295" s="521"/>
      <c r="J295" s="521"/>
      <c r="K295" s="401"/>
      <c r="L295" s="401"/>
      <c r="M295" s="401"/>
      <c r="N295" s="401"/>
      <c r="O295" s="401"/>
      <c r="P295" s="401"/>
      <c r="Q295" s="401"/>
      <c r="R295" s="401"/>
      <c r="S295" s="401"/>
      <c r="T295" s="401"/>
      <c r="U295" s="401"/>
      <c r="V295" s="401"/>
      <c r="W295" s="593"/>
      <c r="X295" s="401"/>
      <c r="Y295" s="401"/>
      <c r="Z295" s="401"/>
    </row>
    <row r="296" ht="18.75" customHeight="1">
      <c r="A296" s="553"/>
      <c r="B296" s="401"/>
      <c r="C296" s="401"/>
      <c r="D296" s="401"/>
      <c r="E296" s="401"/>
      <c r="F296" s="552"/>
      <c r="G296" s="552"/>
      <c r="H296" s="401"/>
      <c r="I296" s="556"/>
      <c r="J296" s="556"/>
      <c r="K296" s="401"/>
      <c r="L296" s="401"/>
      <c r="M296" s="401"/>
      <c r="N296" s="401"/>
      <c r="O296" s="401"/>
      <c r="P296" s="401"/>
      <c r="Q296" s="401"/>
      <c r="R296" s="401"/>
      <c r="S296" s="401"/>
      <c r="T296" s="401"/>
      <c r="U296" s="401"/>
      <c r="V296" s="401"/>
      <c r="W296" s="593"/>
      <c r="X296" s="401"/>
      <c r="Y296" s="401"/>
      <c r="Z296" s="401"/>
    </row>
    <row r="297" ht="18.75" customHeight="1">
      <c r="A297" s="401"/>
      <c r="B297" s="401"/>
      <c r="C297" s="401"/>
      <c r="D297" s="401"/>
      <c r="E297" s="401"/>
      <c r="F297" s="550"/>
      <c r="G297" s="550"/>
      <c r="H297" s="401"/>
      <c r="I297" s="401"/>
      <c r="J297" s="401"/>
      <c r="K297" s="401"/>
      <c r="L297" s="401"/>
      <c r="M297" s="401"/>
      <c r="N297" s="401"/>
      <c r="O297" s="401"/>
      <c r="P297" s="401"/>
      <c r="Q297" s="401"/>
      <c r="R297" s="401"/>
      <c r="S297" s="401"/>
      <c r="T297" s="401"/>
      <c r="U297" s="401"/>
      <c r="V297" s="401"/>
      <c r="W297" s="593"/>
      <c r="X297" s="401"/>
      <c r="Y297" s="401"/>
      <c r="Z297" s="401"/>
    </row>
    <row r="298" ht="18.75" customHeight="1">
      <c r="A298" s="401"/>
      <c r="B298" s="401"/>
      <c r="C298" s="401"/>
      <c r="D298" s="401"/>
      <c r="E298" s="401"/>
      <c r="F298" s="550"/>
      <c r="G298" s="550"/>
      <c r="H298" s="401"/>
      <c r="I298" s="401"/>
      <c r="J298" s="401"/>
      <c r="K298" s="401"/>
      <c r="L298" s="401"/>
      <c r="M298" s="401"/>
      <c r="N298" s="401"/>
      <c r="O298" s="401"/>
      <c r="P298" s="401"/>
      <c r="Q298" s="401"/>
      <c r="R298" s="401"/>
      <c r="S298" s="401"/>
      <c r="T298" s="401"/>
      <c r="U298" s="401"/>
      <c r="V298" s="401"/>
      <c r="W298" s="593"/>
      <c r="X298" s="401"/>
      <c r="Y298" s="401"/>
      <c r="Z298" s="401"/>
    </row>
    <row r="299" ht="18.75" customHeight="1">
      <c r="A299" s="401"/>
      <c r="B299" s="401"/>
      <c r="C299" s="401"/>
      <c r="D299" s="401"/>
      <c r="E299" s="401"/>
      <c r="F299" s="550"/>
      <c r="G299" s="550"/>
      <c r="H299" s="401"/>
      <c r="I299" s="401"/>
      <c r="J299" s="401"/>
      <c r="K299" s="401"/>
      <c r="L299" s="401"/>
      <c r="M299" s="401"/>
      <c r="N299" s="401"/>
      <c r="O299" s="401"/>
      <c r="P299" s="401"/>
      <c r="Q299" s="401"/>
      <c r="R299" s="401"/>
      <c r="S299" s="401"/>
      <c r="T299" s="401"/>
      <c r="U299" s="401"/>
      <c r="V299" s="401"/>
      <c r="W299" s="593"/>
      <c r="X299" s="401"/>
      <c r="Y299" s="401"/>
      <c r="Z299" s="401"/>
    </row>
    <row r="300" ht="18.75" customHeight="1">
      <c r="A300" s="139"/>
      <c r="B300" s="401"/>
      <c r="C300" s="401"/>
      <c r="D300" s="401"/>
      <c r="E300" s="401"/>
      <c r="F300" s="550"/>
      <c r="G300" s="550"/>
      <c r="H300" s="401"/>
      <c r="I300" s="401"/>
      <c r="J300" s="401"/>
      <c r="K300" s="401"/>
      <c r="L300" s="401"/>
      <c r="M300" s="401"/>
      <c r="N300" s="401"/>
      <c r="O300" s="401"/>
      <c r="P300" s="401"/>
      <c r="Q300" s="401"/>
      <c r="R300" s="401"/>
      <c r="S300" s="401"/>
      <c r="T300" s="401"/>
      <c r="U300" s="401"/>
      <c r="V300" s="401"/>
      <c r="W300" s="593"/>
      <c r="X300" s="401"/>
      <c r="Y300" s="401"/>
      <c r="Z300" s="401"/>
    </row>
    <row r="301" ht="18.75" customHeight="1">
      <c r="A301" s="401"/>
      <c r="B301" s="401"/>
      <c r="C301" s="401"/>
      <c r="D301" s="401"/>
      <c r="E301" s="401"/>
      <c r="F301" s="550"/>
      <c r="G301" s="550"/>
      <c r="H301" s="401"/>
      <c r="I301" s="401"/>
      <c r="J301" s="401"/>
      <c r="K301" s="401"/>
      <c r="L301" s="401"/>
      <c r="M301" s="401"/>
      <c r="N301" s="401"/>
      <c r="O301" s="401"/>
      <c r="P301" s="401"/>
      <c r="Q301" s="401"/>
      <c r="R301" s="401"/>
      <c r="S301" s="401"/>
      <c r="T301" s="401"/>
      <c r="U301" s="401"/>
      <c r="V301" s="401"/>
      <c r="W301" s="593"/>
      <c r="X301" s="401"/>
      <c r="Y301" s="401"/>
      <c r="Z301" s="401"/>
    </row>
    <row r="302" ht="18.75" customHeight="1">
      <c r="A302" s="401"/>
      <c r="B302" s="527"/>
      <c r="C302" s="551"/>
      <c r="D302" s="551"/>
      <c r="E302" s="551"/>
      <c r="F302" s="552"/>
      <c r="G302" s="552"/>
      <c r="H302" s="527"/>
      <c r="I302" s="527"/>
      <c r="J302" s="527"/>
      <c r="K302" s="401"/>
      <c r="L302" s="401"/>
      <c r="M302" s="401"/>
      <c r="N302" s="401"/>
      <c r="O302" s="401"/>
      <c r="P302" s="401"/>
      <c r="Q302" s="401"/>
      <c r="R302" s="401"/>
      <c r="S302" s="401"/>
      <c r="T302" s="401"/>
      <c r="U302" s="401"/>
      <c r="V302" s="401"/>
      <c r="W302" s="593"/>
      <c r="X302" s="401"/>
      <c r="Y302" s="401"/>
      <c r="Z302" s="401"/>
    </row>
    <row r="303" ht="18.75" customHeight="1">
      <c r="A303" s="553"/>
      <c r="B303" s="557"/>
      <c r="C303" s="556"/>
      <c r="D303" s="556"/>
      <c r="E303" s="556"/>
      <c r="F303" s="558"/>
      <c r="G303" s="558"/>
      <c r="H303" s="556"/>
      <c r="I303" s="556"/>
      <c r="J303" s="556"/>
      <c r="K303" s="401"/>
      <c r="L303" s="401"/>
      <c r="M303" s="401"/>
      <c r="N303" s="401"/>
      <c r="O303" s="401"/>
      <c r="P303" s="401"/>
      <c r="Q303" s="401"/>
      <c r="R303" s="401"/>
      <c r="S303" s="401"/>
      <c r="T303" s="401"/>
      <c r="U303" s="401"/>
      <c r="V303" s="401"/>
      <c r="W303" s="593"/>
      <c r="X303" s="401"/>
      <c r="Y303" s="401"/>
      <c r="Z303" s="401"/>
    </row>
    <row r="304" ht="18.75" customHeight="1">
      <c r="A304" s="553"/>
      <c r="B304" s="557"/>
      <c r="C304" s="556"/>
      <c r="D304" s="556"/>
      <c r="E304" s="556"/>
      <c r="F304" s="558"/>
      <c r="G304" s="558"/>
      <c r="H304" s="556"/>
      <c r="I304" s="556"/>
      <c r="J304" s="556"/>
      <c r="K304" s="401"/>
      <c r="L304" s="401"/>
      <c r="M304" s="401"/>
      <c r="N304" s="401"/>
      <c r="O304" s="401"/>
      <c r="P304" s="401"/>
      <c r="Q304" s="401"/>
      <c r="R304" s="401"/>
      <c r="S304" s="401"/>
      <c r="T304" s="401"/>
      <c r="U304" s="401"/>
      <c r="V304" s="401"/>
      <c r="W304" s="593"/>
      <c r="X304" s="401"/>
      <c r="Y304" s="401"/>
      <c r="Z304" s="401"/>
    </row>
    <row r="305" ht="18.75" customHeight="1">
      <c r="A305" s="553"/>
      <c r="B305" s="557"/>
      <c r="C305" s="556"/>
      <c r="D305" s="556"/>
      <c r="E305" s="556"/>
      <c r="F305" s="558"/>
      <c r="G305" s="558"/>
      <c r="H305" s="556"/>
      <c r="I305" s="556"/>
      <c r="J305" s="556"/>
      <c r="K305" s="401"/>
      <c r="L305" s="401"/>
      <c r="M305" s="401"/>
      <c r="N305" s="401"/>
      <c r="O305" s="401"/>
      <c r="P305" s="401"/>
      <c r="Q305" s="401"/>
      <c r="R305" s="401"/>
      <c r="S305" s="401"/>
      <c r="T305" s="401"/>
      <c r="U305" s="401"/>
      <c r="V305" s="401"/>
      <c r="W305" s="593"/>
      <c r="X305" s="401"/>
      <c r="Y305" s="401"/>
      <c r="Z305" s="401"/>
    </row>
    <row r="306" ht="18.75" customHeight="1">
      <c r="A306" s="553"/>
      <c r="B306" s="557"/>
      <c r="C306" s="556"/>
      <c r="D306" s="556"/>
      <c r="E306" s="556"/>
      <c r="F306" s="559"/>
      <c r="G306" s="559"/>
      <c r="H306" s="556"/>
      <c r="I306" s="556"/>
      <c r="J306" s="556"/>
      <c r="K306" s="401"/>
      <c r="L306" s="401"/>
      <c r="M306" s="401"/>
      <c r="N306" s="401"/>
      <c r="O306" s="401"/>
      <c r="P306" s="401"/>
      <c r="Q306" s="401"/>
      <c r="R306" s="401"/>
      <c r="S306" s="401"/>
      <c r="T306" s="401"/>
      <c r="U306" s="401"/>
      <c r="V306" s="401"/>
      <c r="W306" s="594"/>
      <c r="X306" s="401"/>
      <c r="Y306" s="401"/>
      <c r="Z306" s="401"/>
    </row>
    <row r="307" ht="18.75" customHeight="1">
      <c r="A307" s="553"/>
      <c r="B307" s="557"/>
      <c r="C307" s="556"/>
      <c r="D307" s="556"/>
      <c r="E307" s="556"/>
      <c r="F307" s="559"/>
      <c r="G307" s="559"/>
      <c r="H307" s="556"/>
      <c r="I307" s="556"/>
      <c r="J307" s="556"/>
      <c r="K307" s="401"/>
      <c r="L307" s="401"/>
      <c r="M307" s="401"/>
      <c r="N307" s="401"/>
      <c r="O307" s="401"/>
      <c r="P307" s="401"/>
      <c r="Q307" s="401"/>
      <c r="R307" s="401"/>
      <c r="S307" s="401"/>
      <c r="T307" s="401"/>
      <c r="U307" s="401"/>
      <c r="V307" s="401"/>
      <c r="W307" s="593"/>
      <c r="X307" s="401"/>
      <c r="Y307" s="401"/>
      <c r="Z307" s="401"/>
    </row>
    <row r="308" ht="18.75" customHeight="1">
      <c r="A308" s="553"/>
      <c r="B308" s="557"/>
      <c r="C308" s="560"/>
      <c r="D308" s="556"/>
      <c r="E308" s="556"/>
      <c r="F308" s="559"/>
      <c r="G308" s="559"/>
      <c r="H308" s="556"/>
      <c r="I308" s="556"/>
      <c r="J308" s="556"/>
      <c r="K308" s="401"/>
      <c r="L308" s="401"/>
      <c r="M308" s="401"/>
      <c r="N308" s="401"/>
      <c r="O308" s="401"/>
      <c r="P308" s="401"/>
      <c r="Q308" s="401"/>
      <c r="R308" s="401"/>
      <c r="S308" s="401"/>
      <c r="T308" s="401"/>
      <c r="U308" s="401"/>
      <c r="V308" s="401"/>
      <c r="W308" s="593"/>
      <c r="X308" s="401"/>
      <c r="Y308" s="401"/>
      <c r="Z308" s="401"/>
    </row>
    <row r="309" ht="18.75" customHeight="1">
      <c r="A309" s="401"/>
      <c r="B309" s="401"/>
      <c r="C309" s="401"/>
      <c r="D309" s="401"/>
      <c r="E309" s="401"/>
      <c r="F309" s="552"/>
      <c r="G309" s="552"/>
      <c r="H309" s="401"/>
      <c r="I309" s="556"/>
      <c r="J309" s="556"/>
      <c r="K309" s="401"/>
      <c r="L309" s="401"/>
      <c r="M309" s="401"/>
      <c r="N309" s="401"/>
      <c r="O309" s="401"/>
      <c r="P309" s="401"/>
      <c r="Q309" s="401"/>
      <c r="R309" s="401"/>
      <c r="S309" s="401"/>
      <c r="T309" s="401"/>
      <c r="U309" s="401"/>
      <c r="V309" s="401"/>
      <c r="W309" s="593"/>
      <c r="X309" s="401"/>
      <c r="Y309" s="401"/>
      <c r="Z309" s="401"/>
    </row>
    <row r="310" ht="18.75" customHeight="1">
      <c r="A310" s="401"/>
      <c r="B310" s="401"/>
      <c r="C310" s="401"/>
      <c r="D310" s="401"/>
      <c r="E310" s="401"/>
      <c r="F310" s="550"/>
      <c r="G310" s="550"/>
      <c r="H310" s="401"/>
      <c r="I310" s="401"/>
      <c r="J310" s="401"/>
      <c r="K310" s="401"/>
      <c r="L310" s="401"/>
      <c r="M310" s="401"/>
      <c r="N310" s="401"/>
      <c r="O310" s="401"/>
      <c r="P310" s="401"/>
      <c r="Q310" s="401"/>
      <c r="R310" s="401"/>
      <c r="S310" s="401"/>
      <c r="T310" s="401"/>
      <c r="U310" s="401"/>
      <c r="V310" s="401"/>
      <c r="W310" s="593"/>
      <c r="X310" s="401"/>
      <c r="Y310" s="401"/>
      <c r="Z310" s="401"/>
    </row>
    <row r="311" ht="18.75" customHeight="1">
      <c r="A311" s="401"/>
      <c r="B311" s="401"/>
      <c r="C311" s="401"/>
      <c r="D311" s="401"/>
      <c r="E311" s="401"/>
      <c r="F311" s="550"/>
      <c r="G311" s="550"/>
      <c r="H311" s="401"/>
      <c r="I311" s="401"/>
      <c r="J311" s="401"/>
      <c r="K311" s="401"/>
      <c r="L311" s="401"/>
      <c r="M311" s="401"/>
      <c r="N311" s="401"/>
      <c r="O311" s="401"/>
      <c r="P311" s="401"/>
      <c r="Q311" s="401"/>
      <c r="R311" s="401"/>
      <c r="S311" s="401"/>
      <c r="T311" s="401"/>
      <c r="U311" s="401"/>
      <c r="V311" s="401"/>
      <c r="W311" s="593"/>
      <c r="X311" s="401"/>
      <c r="Y311" s="401"/>
      <c r="Z311" s="401"/>
    </row>
    <row r="312" ht="18.75" customHeight="1">
      <c r="A312" s="401"/>
      <c r="B312" s="401"/>
      <c r="C312" s="401"/>
      <c r="D312" s="401"/>
      <c r="E312" s="401"/>
      <c r="F312" s="550"/>
      <c r="G312" s="550"/>
      <c r="H312" s="401"/>
      <c r="I312" s="401"/>
      <c r="J312" s="401"/>
      <c r="K312" s="401"/>
      <c r="L312" s="401"/>
      <c r="M312" s="401"/>
      <c r="N312" s="401"/>
      <c r="O312" s="401"/>
      <c r="P312" s="401"/>
      <c r="Q312" s="401"/>
      <c r="R312" s="401"/>
      <c r="S312" s="401"/>
      <c r="T312" s="401"/>
      <c r="U312" s="401"/>
      <c r="V312" s="401"/>
      <c r="W312" s="593"/>
      <c r="X312" s="401"/>
      <c r="Y312" s="401"/>
      <c r="Z312" s="401"/>
    </row>
    <row r="313" ht="18.75" customHeight="1">
      <c r="A313" s="561"/>
      <c r="B313" s="401"/>
      <c r="C313" s="401"/>
      <c r="D313" s="401"/>
      <c r="E313" s="401"/>
      <c r="F313" s="550"/>
      <c r="G313" s="550"/>
      <c r="H313" s="401"/>
      <c r="I313" s="401"/>
      <c r="J313" s="401"/>
      <c r="K313" s="401"/>
      <c r="L313" s="401"/>
      <c r="M313" s="401"/>
      <c r="N313" s="401"/>
      <c r="O313" s="401"/>
      <c r="P313" s="401"/>
      <c r="Q313" s="401"/>
      <c r="R313" s="401"/>
      <c r="S313" s="401"/>
      <c r="T313" s="401"/>
      <c r="U313" s="401"/>
      <c r="V313" s="401"/>
      <c r="W313" s="593"/>
      <c r="X313" s="401"/>
      <c r="Y313" s="401"/>
      <c r="Z313" s="401"/>
    </row>
    <row r="314" ht="18.75" customHeight="1">
      <c r="A314" s="562"/>
      <c r="B314" s="508"/>
      <c r="C314" s="508"/>
      <c r="D314" s="508"/>
      <c r="E314" s="508"/>
      <c r="F314" s="563"/>
      <c r="G314" s="563"/>
      <c r="H314" s="508"/>
      <c r="I314" s="562"/>
      <c r="J314" s="562"/>
      <c r="K314" s="562"/>
      <c r="L314" s="562"/>
      <c r="M314" s="562"/>
      <c r="N314" s="562"/>
      <c r="O314" s="562"/>
      <c r="P314" s="562"/>
      <c r="Q314" s="562"/>
      <c r="R314" s="562"/>
      <c r="S314" s="562"/>
      <c r="T314" s="562"/>
      <c r="U314" s="562"/>
      <c r="V314" s="562"/>
      <c r="W314" s="593"/>
      <c r="X314" s="562"/>
      <c r="Y314" s="562"/>
      <c r="Z314" s="562"/>
    </row>
    <row r="315" ht="18.75" customHeight="1">
      <c r="A315" s="527"/>
      <c r="B315" s="527"/>
      <c r="C315" s="527"/>
      <c r="D315" s="527"/>
      <c r="E315" s="527"/>
      <c r="F315" s="564"/>
      <c r="G315" s="564"/>
      <c r="H315" s="527"/>
      <c r="I315" s="401"/>
      <c r="J315" s="401"/>
      <c r="K315" s="401"/>
      <c r="L315" s="401"/>
      <c r="M315" s="401"/>
      <c r="N315" s="401"/>
      <c r="O315" s="401"/>
      <c r="P315" s="401"/>
      <c r="Q315" s="401"/>
      <c r="R315" s="401"/>
      <c r="S315" s="401"/>
      <c r="T315" s="401"/>
      <c r="U315" s="401"/>
      <c r="V315" s="401"/>
      <c r="W315" s="593"/>
      <c r="X315" s="401"/>
      <c r="Y315" s="401"/>
      <c r="Z315" s="401"/>
    </row>
    <row r="316" ht="18.75" customHeight="1">
      <c r="A316" s="527"/>
      <c r="B316" s="527"/>
      <c r="C316" s="565"/>
      <c r="D316" s="566"/>
      <c r="E316" s="566"/>
      <c r="F316" s="567"/>
      <c r="G316" s="567"/>
      <c r="H316" s="566"/>
      <c r="I316" s="401"/>
      <c r="J316" s="401"/>
      <c r="K316" s="401"/>
      <c r="L316" s="401"/>
      <c r="M316" s="401"/>
      <c r="N316" s="401"/>
      <c r="O316" s="401"/>
      <c r="P316" s="401"/>
      <c r="Q316" s="401"/>
      <c r="R316" s="401"/>
      <c r="S316" s="401"/>
      <c r="T316" s="401"/>
      <c r="U316" s="401"/>
      <c r="V316" s="401"/>
      <c r="W316" s="593"/>
      <c r="X316" s="401"/>
      <c r="Y316" s="401"/>
      <c r="Z316" s="401"/>
    </row>
    <row r="317" ht="18.75" customHeight="1">
      <c r="A317" s="527"/>
      <c r="B317" s="553"/>
      <c r="C317" s="568"/>
      <c r="D317" s="568"/>
      <c r="E317" s="568"/>
      <c r="F317" s="569"/>
      <c r="G317" s="569"/>
      <c r="H317" s="568"/>
      <c r="I317" s="401"/>
      <c r="J317" s="401"/>
      <c r="K317" s="401"/>
      <c r="L317" s="401"/>
      <c r="M317" s="401"/>
      <c r="N317" s="401"/>
      <c r="O317" s="401"/>
      <c r="P317" s="401"/>
      <c r="Q317" s="401"/>
      <c r="R317" s="401"/>
      <c r="S317" s="401"/>
      <c r="T317" s="401"/>
      <c r="U317" s="401"/>
      <c r="V317" s="401"/>
      <c r="W317" s="593"/>
      <c r="X317" s="401"/>
      <c r="Y317" s="401"/>
      <c r="Z317" s="401"/>
    </row>
    <row r="318" ht="18.75" customHeight="1">
      <c r="A318" s="401"/>
      <c r="B318" s="401"/>
      <c r="C318" s="401"/>
      <c r="D318" s="509" t="s">
        <v>50</v>
      </c>
      <c r="E318" s="509" t="s">
        <v>48</v>
      </c>
      <c r="F318" s="564">
        <f>+D315+E315+F315+H315</f>
        <v>0</v>
      </c>
      <c r="G318" s="552"/>
      <c r="H318" s="401"/>
      <c r="I318" s="401"/>
      <c r="J318" s="401"/>
      <c r="K318" s="401"/>
      <c r="L318" s="401"/>
      <c r="M318" s="401"/>
      <c r="N318" s="401"/>
      <c r="O318" s="401"/>
      <c r="P318" s="401"/>
      <c r="Q318" s="401"/>
      <c r="R318" s="401"/>
      <c r="S318" s="401"/>
      <c r="T318" s="401"/>
      <c r="U318" s="401"/>
      <c r="V318" s="401"/>
      <c r="W318" s="595"/>
      <c r="X318" s="401"/>
      <c r="Y318" s="401"/>
      <c r="Z318" s="401"/>
    </row>
    <row r="319" ht="18.75" customHeight="1">
      <c r="A319" s="401"/>
      <c r="B319" s="401"/>
      <c r="C319" s="401"/>
      <c r="D319" s="560"/>
      <c r="E319" s="509" t="s">
        <v>49</v>
      </c>
      <c r="F319" s="567" t="str">
        <f>+F318/B315</f>
        <v>#DIV/0!</v>
      </c>
      <c r="G319" s="567"/>
      <c r="H319" s="401"/>
      <c r="I319" s="401"/>
      <c r="J319" s="401"/>
      <c r="K319" s="401"/>
      <c r="L319" s="401"/>
      <c r="M319" s="401"/>
      <c r="N319" s="401"/>
      <c r="O319" s="401"/>
      <c r="P319" s="401"/>
      <c r="Q319" s="401"/>
      <c r="R319" s="401"/>
      <c r="S319" s="401"/>
      <c r="T319" s="401"/>
      <c r="U319" s="401"/>
      <c r="V319" s="401"/>
      <c r="W319" s="595"/>
      <c r="X319" s="401"/>
      <c r="Y319" s="401"/>
      <c r="Z319" s="401"/>
    </row>
    <row r="320" ht="18.75" customHeight="1">
      <c r="A320" s="562"/>
      <c r="B320" s="562"/>
      <c r="C320" s="509" t="s">
        <v>51</v>
      </c>
      <c r="D320" s="562"/>
      <c r="E320" s="562"/>
      <c r="F320" s="570"/>
      <c r="G320" s="570"/>
      <c r="H320" s="562"/>
      <c r="I320" s="401"/>
      <c r="J320" s="401"/>
      <c r="K320" s="401"/>
      <c r="L320" s="401"/>
      <c r="M320" s="401"/>
      <c r="N320" s="401"/>
      <c r="O320" s="401"/>
      <c r="P320" s="401"/>
      <c r="Q320" s="401"/>
      <c r="R320" s="401"/>
      <c r="S320" s="401"/>
      <c r="T320" s="401"/>
      <c r="U320" s="401"/>
      <c r="V320" s="401"/>
      <c r="W320" s="594"/>
      <c r="X320" s="401"/>
      <c r="Y320" s="401"/>
      <c r="Z320" s="401"/>
    </row>
    <row r="321" ht="18.75" customHeight="1">
      <c r="A321" s="562"/>
      <c r="B321" s="562"/>
      <c r="C321" s="562"/>
      <c r="D321" s="509" t="s">
        <v>52</v>
      </c>
      <c r="E321" s="562"/>
      <c r="F321" s="570">
        <f>+F320*(F318-F315)</f>
        <v>0</v>
      </c>
      <c r="G321" s="570"/>
      <c r="H321" s="562"/>
      <c r="I321" s="401"/>
      <c r="J321" s="401"/>
      <c r="K321" s="401"/>
      <c r="L321" s="401"/>
      <c r="M321" s="401"/>
      <c r="N321" s="401"/>
      <c r="O321" s="401"/>
      <c r="P321" s="401"/>
      <c r="Q321" s="401"/>
      <c r="R321" s="401"/>
      <c r="S321" s="401"/>
      <c r="T321" s="401"/>
      <c r="U321" s="401"/>
      <c r="V321" s="401"/>
      <c r="W321" s="592"/>
      <c r="X321" s="401"/>
      <c r="Y321" s="401"/>
      <c r="Z321" s="401"/>
    </row>
    <row r="322" ht="18.75" customHeight="1">
      <c r="A322" s="401"/>
      <c r="B322" s="401"/>
      <c r="C322" s="401"/>
      <c r="D322" s="401"/>
      <c r="E322" s="401"/>
      <c r="F322" s="550"/>
      <c r="G322" s="550"/>
      <c r="H322" s="401"/>
      <c r="I322" s="401"/>
      <c r="J322" s="401"/>
      <c r="K322" s="401"/>
      <c r="L322" s="401"/>
      <c r="M322" s="401"/>
      <c r="N322" s="401"/>
      <c r="O322" s="401"/>
      <c r="P322" s="401"/>
      <c r="Q322" s="401"/>
      <c r="R322" s="401"/>
      <c r="S322" s="401"/>
      <c r="T322" s="401"/>
      <c r="U322" s="401"/>
      <c r="V322" s="401"/>
      <c r="W322" s="592"/>
      <c r="X322" s="401"/>
      <c r="Y322" s="401"/>
      <c r="Z322" s="401"/>
    </row>
    <row r="323" ht="18.75" customHeight="1">
      <c r="A323" s="401"/>
      <c r="B323" s="401"/>
      <c r="C323" s="401"/>
      <c r="D323" s="401"/>
      <c r="E323" s="401"/>
      <c r="F323" s="550"/>
      <c r="G323" s="550"/>
      <c r="H323" s="401"/>
      <c r="I323" s="401"/>
      <c r="J323" s="401"/>
      <c r="K323" s="401"/>
      <c r="L323" s="401"/>
      <c r="M323" s="401"/>
      <c r="N323" s="401"/>
      <c r="O323" s="401"/>
      <c r="P323" s="401"/>
      <c r="Q323" s="401"/>
      <c r="R323" s="401"/>
      <c r="S323" s="401"/>
      <c r="T323" s="401"/>
      <c r="U323" s="401"/>
      <c r="V323" s="401"/>
      <c r="W323" s="592"/>
      <c r="X323" s="401"/>
      <c r="Y323" s="401"/>
      <c r="Z323" s="401"/>
    </row>
    <row r="324" ht="18.75" customHeight="1">
      <c r="A324" s="401"/>
      <c r="B324" s="401"/>
      <c r="C324" s="401"/>
      <c r="D324" s="401"/>
      <c r="E324" s="401"/>
      <c r="F324" s="550"/>
      <c r="G324" s="550"/>
      <c r="H324" s="401"/>
      <c r="I324" s="401"/>
      <c r="J324" s="401"/>
      <c r="K324" s="401"/>
      <c r="L324" s="401"/>
      <c r="M324" s="401"/>
      <c r="N324" s="401"/>
      <c r="O324" s="401"/>
      <c r="P324" s="401"/>
      <c r="Q324" s="401"/>
      <c r="R324" s="401"/>
      <c r="S324" s="401"/>
      <c r="T324" s="401"/>
      <c r="U324" s="401"/>
      <c r="V324" s="401"/>
      <c r="W324" s="592"/>
      <c r="X324" s="401"/>
      <c r="Y324" s="401"/>
      <c r="Z324" s="401"/>
    </row>
    <row r="325" ht="18.75" customHeight="1">
      <c r="A325" s="401"/>
      <c r="B325" s="401"/>
      <c r="C325" s="401"/>
      <c r="D325" s="401"/>
      <c r="E325" s="401"/>
      <c r="F325" s="550"/>
      <c r="G325" s="550"/>
      <c r="H325" s="401"/>
      <c r="I325" s="401"/>
      <c r="J325" s="401"/>
      <c r="K325" s="401"/>
      <c r="L325" s="401"/>
      <c r="M325" s="401"/>
      <c r="N325" s="401"/>
      <c r="O325" s="401"/>
      <c r="P325" s="401"/>
      <c r="Q325" s="401"/>
      <c r="R325" s="401"/>
      <c r="S325" s="401"/>
      <c r="T325" s="401"/>
      <c r="U325" s="401"/>
      <c r="V325" s="401"/>
      <c r="W325" s="592"/>
      <c r="X325" s="401"/>
      <c r="Y325" s="401"/>
      <c r="Z325" s="401"/>
    </row>
    <row r="326" ht="18.75" customHeight="1">
      <c r="A326" s="401"/>
      <c r="B326" s="401"/>
      <c r="C326" s="401"/>
      <c r="D326" s="401"/>
      <c r="E326" s="401"/>
      <c r="F326" s="550"/>
      <c r="G326" s="550"/>
      <c r="H326" s="401"/>
      <c r="I326" s="401"/>
      <c r="J326" s="401"/>
      <c r="K326" s="401"/>
      <c r="L326" s="401"/>
      <c r="M326" s="401"/>
      <c r="N326" s="401"/>
      <c r="O326" s="401"/>
      <c r="P326" s="401"/>
      <c r="Q326" s="401"/>
      <c r="R326" s="401"/>
      <c r="S326" s="401"/>
      <c r="T326" s="401"/>
      <c r="U326" s="401"/>
      <c r="V326" s="401"/>
      <c r="W326" s="592"/>
      <c r="X326" s="401"/>
      <c r="Y326" s="401"/>
      <c r="Z326" s="401"/>
    </row>
    <row r="327" ht="18.75" customHeight="1">
      <c r="A327" s="401"/>
      <c r="B327" s="401"/>
      <c r="C327" s="401"/>
      <c r="D327" s="401"/>
      <c r="E327" s="401"/>
      <c r="F327" s="550"/>
      <c r="G327" s="550"/>
      <c r="H327" s="401"/>
      <c r="I327" s="401"/>
      <c r="J327" s="401"/>
      <c r="K327" s="401"/>
      <c r="L327" s="401"/>
      <c r="M327" s="401"/>
      <c r="N327" s="401"/>
      <c r="O327" s="401"/>
      <c r="P327" s="401"/>
      <c r="Q327" s="401"/>
      <c r="R327" s="401"/>
      <c r="S327" s="401"/>
      <c r="T327" s="401"/>
      <c r="U327" s="401"/>
      <c r="V327" s="401"/>
      <c r="W327" s="592"/>
      <c r="X327" s="401"/>
      <c r="Y327" s="401"/>
      <c r="Z327" s="401"/>
    </row>
    <row r="328" ht="18.75" customHeight="1">
      <c r="A328" s="401"/>
      <c r="B328" s="401"/>
      <c r="C328" s="401"/>
      <c r="D328" s="401"/>
      <c r="E328" s="401"/>
      <c r="F328" s="550"/>
      <c r="G328" s="550"/>
      <c r="H328" s="401"/>
      <c r="I328" s="401"/>
      <c r="J328" s="401"/>
      <c r="K328" s="401"/>
      <c r="L328" s="401"/>
      <c r="M328" s="401"/>
      <c r="N328" s="401"/>
      <c r="O328" s="401"/>
      <c r="P328" s="401"/>
      <c r="Q328" s="401"/>
      <c r="R328" s="401"/>
      <c r="S328" s="401"/>
      <c r="T328" s="401"/>
      <c r="U328" s="401"/>
      <c r="V328" s="401"/>
      <c r="W328" s="592"/>
      <c r="X328" s="401"/>
      <c r="Y328" s="401"/>
      <c r="Z328" s="401"/>
    </row>
    <row r="329" ht="18.75" customHeight="1">
      <c r="A329" s="401"/>
      <c r="B329" s="401"/>
      <c r="C329" s="401"/>
      <c r="D329" s="401"/>
      <c r="E329" s="401"/>
      <c r="F329" s="550"/>
      <c r="G329" s="550"/>
      <c r="H329" s="401"/>
      <c r="I329" s="401"/>
      <c r="J329" s="401"/>
      <c r="K329" s="401"/>
      <c r="L329" s="401"/>
      <c r="M329" s="401"/>
      <c r="N329" s="401"/>
      <c r="O329" s="401"/>
      <c r="P329" s="401"/>
      <c r="Q329" s="401"/>
      <c r="R329" s="401"/>
      <c r="S329" s="401"/>
      <c r="T329" s="401"/>
      <c r="U329" s="401"/>
      <c r="V329" s="401"/>
      <c r="W329" s="592"/>
      <c r="X329" s="401"/>
      <c r="Y329" s="401"/>
      <c r="Z329" s="401"/>
    </row>
    <row r="330" ht="18.75" customHeight="1">
      <c r="A330" s="401"/>
      <c r="B330" s="401"/>
      <c r="C330" s="401"/>
      <c r="D330" s="401"/>
      <c r="E330" s="401"/>
      <c r="F330" s="550"/>
      <c r="G330" s="550"/>
      <c r="H330" s="401"/>
      <c r="I330" s="401"/>
      <c r="J330" s="401"/>
      <c r="K330" s="401"/>
      <c r="L330" s="401"/>
      <c r="M330" s="401"/>
      <c r="N330" s="401"/>
      <c r="O330" s="401"/>
      <c r="P330" s="401"/>
      <c r="Q330" s="401"/>
      <c r="R330" s="401"/>
      <c r="S330" s="401"/>
      <c r="T330" s="401"/>
      <c r="U330" s="401"/>
      <c r="V330" s="401"/>
      <c r="W330" s="592"/>
      <c r="X330" s="401"/>
      <c r="Y330" s="401"/>
      <c r="Z330" s="401"/>
    </row>
    <row r="331" ht="18.75" customHeight="1">
      <c r="A331" s="401"/>
      <c r="B331" s="401"/>
      <c r="C331" s="401"/>
      <c r="D331" s="401"/>
      <c r="E331" s="401"/>
      <c r="F331" s="550"/>
      <c r="G331" s="550"/>
      <c r="H331" s="401"/>
      <c r="I331" s="401"/>
      <c r="J331" s="401"/>
      <c r="K331" s="401"/>
      <c r="L331" s="401"/>
      <c r="M331" s="401"/>
      <c r="N331" s="401"/>
      <c r="O331" s="401"/>
      <c r="P331" s="401"/>
      <c r="Q331" s="401"/>
      <c r="R331" s="401"/>
      <c r="S331" s="401"/>
      <c r="T331" s="401"/>
      <c r="U331" s="401"/>
      <c r="V331" s="401"/>
      <c r="W331" s="592"/>
      <c r="X331" s="401"/>
      <c r="Y331" s="401"/>
      <c r="Z331" s="401"/>
    </row>
    <row r="332" ht="18.75" customHeight="1">
      <c r="A332" s="401"/>
      <c r="B332" s="401"/>
      <c r="C332" s="401"/>
      <c r="D332" s="401"/>
      <c r="E332" s="401"/>
      <c r="F332" s="550"/>
      <c r="G332" s="550"/>
      <c r="H332" s="401"/>
      <c r="I332" s="401"/>
      <c r="J332" s="401"/>
      <c r="K332" s="401"/>
      <c r="L332" s="401"/>
      <c r="M332" s="401"/>
      <c r="N332" s="401"/>
      <c r="O332" s="401"/>
      <c r="P332" s="401"/>
      <c r="Q332" s="401"/>
      <c r="R332" s="401"/>
      <c r="S332" s="401"/>
      <c r="T332" s="401"/>
      <c r="U332" s="401"/>
      <c r="V332" s="401"/>
      <c r="W332" s="592"/>
      <c r="X332" s="401"/>
      <c r="Y332" s="401"/>
      <c r="Z332" s="401"/>
    </row>
    <row r="333" ht="18.75" customHeight="1">
      <c r="A333" s="401"/>
      <c r="B333" s="401"/>
      <c r="C333" s="401"/>
      <c r="D333" s="401"/>
      <c r="E333" s="401"/>
      <c r="F333" s="550"/>
      <c r="G333" s="550"/>
      <c r="H333" s="401"/>
      <c r="I333" s="401"/>
      <c r="J333" s="401"/>
      <c r="K333" s="401"/>
      <c r="L333" s="401"/>
      <c r="M333" s="401"/>
      <c r="N333" s="401"/>
      <c r="O333" s="401"/>
      <c r="P333" s="401"/>
      <c r="Q333" s="401"/>
      <c r="R333" s="401"/>
      <c r="S333" s="401"/>
      <c r="T333" s="401"/>
      <c r="U333" s="401"/>
      <c r="V333" s="401"/>
      <c r="W333" s="592"/>
      <c r="X333" s="401"/>
      <c r="Y333" s="401"/>
      <c r="Z333" s="401"/>
    </row>
    <row r="334" ht="18.75" customHeight="1">
      <c r="A334" s="401"/>
      <c r="B334" s="401"/>
      <c r="C334" s="401"/>
      <c r="D334" s="401"/>
      <c r="E334" s="401"/>
      <c r="F334" s="550"/>
      <c r="G334" s="550"/>
      <c r="H334" s="401"/>
      <c r="I334" s="401"/>
      <c r="J334" s="401"/>
      <c r="K334" s="401"/>
      <c r="L334" s="401"/>
      <c r="M334" s="401"/>
      <c r="N334" s="401"/>
      <c r="O334" s="401"/>
      <c r="P334" s="401"/>
      <c r="Q334" s="401"/>
      <c r="R334" s="401"/>
      <c r="S334" s="401"/>
      <c r="T334" s="401"/>
      <c r="U334" s="401"/>
      <c r="V334" s="401"/>
      <c r="W334" s="592"/>
      <c r="X334" s="401"/>
      <c r="Y334" s="401"/>
      <c r="Z334" s="401"/>
    </row>
    <row r="335" ht="18.75" customHeight="1">
      <c r="A335" s="401"/>
      <c r="B335" s="401"/>
      <c r="C335" s="401"/>
      <c r="D335" s="401"/>
      <c r="E335" s="401"/>
      <c r="F335" s="550"/>
      <c r="G335" s="550"/>
      <c r="H335" s="401"/>
      <c r="I335" s="401"/>
      <c r="J335" s="401"/>
      <c r="K335" s="401"/>
      <c r="L335" s="401"/>
      <c r="M335" s="401"/>
      <c r="N335" s="401"/>
      <c r="O335" s="401"/>
      <c r="P335" s="401"/>
      <c r="Q335" s="401"/>
      <c r="R335" s="401"/>
      <c r="S335" s="401"/>
      <c r="T335" s="401"/>
      <c r="U335" s="401"/>
      <c r="V335" s="401"/>
      <c r="W335" s="592"/>
      <c r="X335" s="401"/>
      <c r="Y335" s="401"/>
      <c r="Z335" s="401"/>
    </row>
    <row r="336" ht="18.75" customHeight="1">
      <c r="A336" s="401"/>
      <c r="B336" s="401"/>
      <c r="C336" s="401"/>
      <c r="D336" s="401"/>
      <c r="E336" s="401"/>
      <c r="F336" s="550"/>
      <c r="G336" s="550"/>
      <c r="H336" s="401"/>
      <c r="I336" s="401"/>
      <c r="J336" s="401"/>
      <c r="K336" s="401"/>
      <c r="L336" s="401"/>
      <c r="M336" s="401"/>
      <c r="N336" s="401"/>
      <c r="O336" s="401"/>
      <c r="P336" s="401"/>
      <c r="Q336" s="401"/>
      <c r="R336" s="401"/>
      <c r="S336" s="401"/>
      <c r="T336" s="401"/>
      <c r="U336" s="401"/>
      <c r="V336" s="401"/>
      <c r="W336" s="592"/>
      <c r="X336" s="401"/>
      <c r="Y336" s="401"/>
      <c r="Z336" s="401"/>
    </row>
    <row r="337" ht="18.75" customHeight="1">
      <c r="A337" s="401"/>
      <c r="B337" s="401"/>
      <c r="C337" s="401"/>
      <c r="D337" s="401"/>
      <c r="E337" s="401"/>
      <c r="F337" s="550"/>
      <c r="G337" s="550"/>
      <c r="H337" s="401"/>
      <c r="I337" s="401"/>
      <c r="J337" s="401"/>
      <c r="K337" s="401"/>
      <c r="L337" s="401"/>
      <c r="M337" s="401"/>
      <c r="N337" s="401"/>
      <c r="O337" s="401"/>
      <c r="P337" s="401"/>
      <c r="Q337" s="401"/>
      <c r="R337" s="401"/>
      <c r="S337" s="401"/>
      <c r="T337" s="401"/>
      <c r="U337" s="401"/>
      <c r="V337" s="401"/>
      <c r="W337" s="592"/>
      <c r="X337" s="401"/>
      <c r="Y337" s="401"/>
      <c r="Z337" s="401"/>
    </row>
    <row r="338" ht="18.75" customHeight="1">
      <c r="A338" s="401"/>
      <c r="B338" s="401"/>
      <c r="C338" s="401"/>
      <c r="D338" s="401"/>
      <c r="E338" s="401"/>
      <c r="F338" s="550"/>
      <c r="G338" s="550"/>
      <c r="H338" s="401"/>
      <c r="I338" s="401"/>
      <c r="J338" s="401"/>
      <c r="K338" s="401"/>
      <c r="L338" s="401"/>
      <c r="M338" s="401"/>
      <c r="N338" s="401"/>
      <c r="O338" s="401"/>
      <c r="P338" s="401"/>
      <c r="Q338" s="401"/>
      <c r="R338" s="401"/>
      <c r="S338" s="401"/>
      <c r="T338" s="401"/>
      <c r="U338" s="401"/>
      <c r="V338" s="401"/>
      <c r="W338" s="592"/>
      <c r="X338" s="401"/>
      <c r="Y338" s="401"/>
      <c r="Z338" s="401"/>
    </row>
    <row r="339" ht="18.75" customHeight="1">
      <c r="A339" s="401"/>
      <c r="B339" s="401"/>
      <c r="C339" s="401"/>
      <c r="D339" s="401"/>
      <c r="E339" s="401"/>
      <c r="F339" s="550"/>
      <c r="G339" s="550"/>
      <c r="H339" s="401"/>
      <c r="I339" s="401"/>
      <c r="J339" s="401"/>
      <c r="K339" s="401"/>
      <c r="L339" s="401"/>
      <c r="M339" s="401"/>
      <c r="N339" s="401"/>
      <c r="O339" s="401"/>
      <c r="P339" s="401"/>
      <c r="Q339" s="401"/>
      <c r="R339" s="401"/>
      <c r="S339" s="401"/>
      <c r="T339" s="401"/>
      <c r="U339" s="401"/>
      <c r="V339" s="401"/>
      <c r="W339" s="592"/>
      <c r="X339" s="401"/>
      <c r="Y339" s="401"/>
      <c r="Z339" s="401"/>
    </row>
    <row r="340" ht="18.75" customHeight="1">
      <c r="A340" s="401"/>
      <c r="B340" s="401"/>
      <c r="C340" s="401"/>
      <c r="D340" s="401"/>
      <c r="E340" s="401"/>
      <c r="F340" s="550"/>
      <c r="G340" s="550"/>
      <c r="H340" s="401"/>
      <c r="I340" s="401"/>
      <c r="J340" s="401"/>
      <c r="K340" s="401"/>
      <c r="L340" s="401"/>
      <c r="M340" s="401"/>
      <c r="N340" s="401"/>
      <c r="O340" s="401"/>
      <c r="P340" s="401"/>
      <c r="Q340" s="401"/>
      <c r="R340" s="401"/>
      <c r="S340" s="401"/>
      <c r="T340" s="401"/>
      <c r="U340" s="401"/>
      <c r="V340" s="401"/>
      <c r="W340" s="592"/>
      <c r="X340" s="401"/>
      <c r="Y340" s="401"/>
      <c r="Z340" s="401"/>
    </row>
    <row r="341" ht="18.75" customHeight="1">
      <c r="A341" s="401"/>
      <c r="B341" s="401"/>
      <c r="C341" s="401"/>
      <c r="D341" s="401"/>
      <c r="E341" s="401"/>
      <c r="F341" s="550"/>
      <c r="G341" s="550"/>
      <c r="H341" s="401"/>
      <c r="I341" s="401"/>
      <c r="J341" s="401"/>
      <c r="K341" s="401"/>
      <c r="L341" s="401"/>
      <c r="M341" s="401"/>
      <c r="N341" s="401"/>
      <c r="O341" s="401"/>
      <c r="P341" s="401"/>
      <c r="Q341" s="401"/>
      <c r="R341" s="401"/>
      <c r="S341" s="401"/>
      <c r="T341" s="401"/>
      <c r="U341" s="401"/>
      <c r="V341" s="401"/>
      <c r="W341" s="592"/>
      <c r="X341" s="401"/>
      <c r="Y341" s="401"/>
      <c r="Z341" s="401"/>
    </row>
    <row r="342" ht="18.75" customHeight="1">
      <c r="A342" s="401"/>
      <c r="B342" s="401"/>
      <c r="C342" s="401"/>
      <c r="D342" s="401"/>
      <c r="E342" s="401"/>
      <c r="F342" s="550"/>
      <c r="G342" s="550"/>
      <c r="H342" s="401"/>
      <c r="I342" s="401"/>
      <c r="J342" s="401"/>
      <c r="K342" s="401"/>
      <c r="L342" s="401"/>
      <c r="M342" s="401"/>
      <c r="N342" s="401"/>
      <c r="O342" s="401"/>
      <c r="P342" s="401"/>
      <c r="Q342" s="401"/>
      <c r="R342" s="401"/>
      <c r="S342" s="401"/>
      <c r="T342" s="401"/>
      <c r="U342" s="401"/>
      <c r="V342" s="401"/>
      <c r="W342" s="592"/>
      <c r="X342" s="401"/>
      <c r="Y342" s="401"/>
      <c r="Z342" s="401"/>
    </row>
    <row r="343" ht="18.75" customHeight="1">
      <c r="A343" s="401"/>
      <c r="B343" s="401"/>
      <c r="C343" s="401"/>
      <c r="D343" s="401"/>
      <c r="E343" s="401"/>
      <c r="F343" s="550"/>
      <c r="G343" s="550"/>
      <c r="H343" s="401"/>
      <c r="I343" s="401"/>
      <c r="J343" s="401"/>
      <c r="K343" s="401"/>
      <c r="L343" s="401"/>
      <c r="M343" s="401"/>
      <c r="N343" s="401"/>
      <c r="O343" s="401"/>
      <c r="P343" s="401"/>
      <c r="Q343" s="401"/>
      <c r="R343" s="401"/>
      <c r="S343" s="401"/>
      <c r="T343" s="401"/>
      <c r="U343" s="401"/>
      <c r="V343" s="401"/>
      <c r="W343" s="592"/>
      <c r="X343" s="401"/>
      <c r="Y343" s="401"/>
      <c r="Z343" s="401"/>
    </row>
    <row r="344" ht="18.75" customHeight="1">
      <c r="A344" s="401"/>
      <c r="B344" s="401"/>
      <c r="C344" s="401"/>
      <c r="D344" s="401"/>
      <c r="E344" s="401"/>
      <c r="F344" s="550"/>
      <c r="G344" s="550"/>
      <c r="H344" s="401"/>
      <c r="I344" s="401"/>
      <c r="J344" s="401"/>
      <c r="K344" s="401"/>
      <c r="L344" s="401"/>
      <c r="M344" s="401"/>
      <c r="N344" s="401"/>
      <c r="O344" s="401"/>
      <c r="P344" s="401"/>
      <c r="Q344" s="401"/>
      <c r="R344" s="401"/>
      <c r="S344" s="401"/>
      <c r="T344" s="401"/>
      <c r="U344" s="401"/>
      <c r="V344" s="401"/>
      <c r="W344" s="592"/>
      <c r="X344" s="401"/>
      <c r="Y344" s="401"/>
      <c r="Z344" s="401"/>
    </row>
    <row r="345" ht="18.75" customHeight="1">
      <c r="A345" s="401"/>
      <c r="B345" s="401"/>
      <c r="C345" s="401"/>
      <c r="D345" s="401"/>
      <c r="E345" s="401"/>
      <c r="F345" s="550"/>
      <c r="G345" s="550"/>
      <c r="H345" s="401"/>
      <c r="I345" s="401"/>
      <c r="J345" s="401"/>
      <c r="K345" s="401"/>
      <c r="L345" s="401"/>
      <c r="M345" s="401"/>
      <c r="N345" s="401"/>
      <c r="O345" s="401"/>
      <c r="P345" s="401"/>
      <c r="Q345" s="401"/>
      <c r="R345" s="401"/>
      <c r="S345" s="401"/>
      <c r="T345" s="401"/>
      <c r="U345" s="401"/>
      <c r="V345" s="401"/>
      <c r="W345" s="592"/>
      <c r="X345" s="401"/>
      <c r="Y345" s="401"/>
      <c r="Z345" s="401"/>
    </row>
    <row r="346" ht="18.75" customHeight="1">
      <c r="A346" s="401"/>
      <c r="B346" s="401"/>
      <c r="C346" s="401"/>
      <c r="D346" s="401"/>
      <c r="E346" s="401"/>
      <c r="F346" s="550"/>
      <c r="G346" s="550"/>
      <c r="H346" s="401"/>
      <c r="I346" s="401"/>
      <c r="J346" s="401"/>
      <c r="K346" s="401"/>
      <c r="L346" s="401"/>
      <c r="M346" s="401"/>
      <c r="N346" s="401"/>
      <c r="O346" s="401"/>
      <c r="P346" s="401"/>
      <c r="Q346" s="401"/>
      <c r="R346" s="401"/>
      <c r="S346" s="401"/>
      <c r="T346" s="401"/>
      <c r="U346" s="401"/>
      <c r="V346" s="401"/>
      <c r="W346" s="592"/>
      <c r="X346" s="401"/>
      <c r="Y346" s="401"/>
      <c r="Z346" s="401"/>
    </row>
    <row r="347" ht="18.75" customHeight="1">
      <c r="A347" s="401"/>
      <c r="B347" s="401"/>
      <c r="C347" s="401"/>
      <c r="D347" s="401"/>
      <c r="E347" s="401"/>
      <c r="F347" s="550"/>
      <c r="G347" s="550"/>
      <c r="H347" s="401"/>
      <c r="I347" s="401"/>
      <c r="J347" s="401"/>
      <c r="K347" s="401"/>
      <c r="L347" s="401"/>
      <c r="M347" s="401"/>
      <c r="N347" s="401"/>
      <c r="O347" s="401"/>
      <c r="P347" s="401"/>
      <c r="Q347" s="401"/>
      <c r="R347" s="401"/>
      <c r="S347" s="401"/>
      <c r="T347" s="401"/>
      <c r="U347" s="401"/>
      <c r="V347" s="401"/>
      <c r="W347" s="592"/>
      <c r="X347" s="401"/>
      <c r="Y347" s="401"/>
      <c r="Z347" s="401"/>
    </row>
    <row r="348" ht="18.75" customHeight="1">
      <c r="A348" s="401"/>
      <c r="B348" s="401"/>
      <c r="C348" s="401"/>
      <c r="D348" s="401"/>
      <c r="E348" s="401"/>
      <c r="F348" s="550"/>
      <c r="G348" s="550"/>
      <c r="H348" s="401"/>
      <c r="I348" s="401"/>
      <c r="J348" s="401"/>
      <c r="K348" s="401"/>
      <c r="L348" s="401"/>
      <c r="M348" s="401"/>
      <c r="N348" s="401"/>
      <c r="O348" s="401"/>
      <c r="P348" s="401"/>
      <c r="Q348" s="401"/>
      <c r="R348" s="401"/>
      <c r="S348" s="401"/>
      <c r="T348" s="401"/>
      <c r="U348" s="401"/>
      <c r="V348" s="401"/>
      <c r="W348" s="592"/>
      <c r="X348" s="401"/>
      <c r="Y348" s="401"/>
      <c r="Z348" s="401"/>
    </row>
    <row r="349" ht="18.75" customHeight="1">
      <c r="A349" s="401"/>
      <c r="B349" s="401"/>
      <c r="C349" s="401"/>
      <c r="D349" s="401"/>
      <c r="E349" s="401"/>
      <c r="F349" s="550"/>
      <c r="G349" s="550"/>
      <c r="H349" s="401"/>
      <c r="I349" s="401"/>
      <c r="J349" s="401"/>
      <c r="K349" s="401"/>
      <c r="L349" s="401"/>
      <c r="M349" s="401"/>
      <c r="N349" s="401"/>
      <c r="O349" s="401"/>
      <c r="P349" s="401"/>
      <c r="Q349" s="401"/>
      <c r="R349" s="401"/>
      <c r="S349" s="401"/>
      <c r="T349" s="401"/>
      <c r="U349" s="401"/>
      <c r="V349" s="401"/>
      <c r="W349" s="592"/>
      <c r="X349" s="401"/>
      <c r="Y349" s="401"/>
      <c r="Z349" s="401"/>
    </row>
    <row r="350" ht="18.75" customHeight="1">
      <c r="A350" s="401"/>
      <c r="B350" s="401"/>
      <c r="C350" s="401"/>
      <c r="D350" s="401"/>
      <c r="E350" s="401"/>
      <c r="F350" s="550"/>
      <c r="G350" s="550"/>
      <c r="H350" s="401"/>
      <c r="I350" s="401"/>
      <c r="J350" s="401"/>
      <c r="K350" s="401"/>
      <c r="L350" s="401"/>
      <c r="M350" s="401"/>
      <c r="N350" s="401"/>
      <c r="O350" s="401"/>
      <c r="P350" s="401"/>
      <c r="Q350" s="401"/>
      <c r="R350" s="401"/>
      <c r="S350" s="401"/>
      <c r="T350" s="401"/>
      <c r="U350" s="401"/>
      <c r="V350" s="401"/>
      <c r="W350" s="592"/>
      <c r="X350" s="401"/>
      <c r="Y350" s="401"/>
      <c r="Z350" s="401"/>
    </row>
    <row r="351" ht="18.75" customHeight="1">
      <c r="A351" s="401"/>
      <c r="B351" s="401"/>
      <c r="C351" s="401"/>
      <c r="D351" s="401"/>
      <c r="E351" s="401"/>
      <c r="F351" s="550"/>
      <c r="G351" s="550"/>
      <c r="H351" s="401"/>
      <c r="I351" s="401"/>
      <c r="J351" s="401"/>
      <c r="K351" s="401"/>
      <c r="L351" s="401"/>
      <c r="M351" s="401"/>
      <c r="N351" s="401"/>
      <c r="O351" s="401"/>
      <c r="P351" s="401"/>
      <c r="Q351" s="401"/>
      <c r="R351" s="401"/>
      <c r="S351" s="401"/>
      <c r="T351" s="401"/>
      <c r="U351" s="401"/>
      <c r="V351" s="401"/>
      <c r="W351" s="592"/>
      <c r="X351" s="401"/>
      <c r="Y351" s="401"/>
      <c r="Z351" s="401"/>
    </row>
    <row r="352" ht="18.75" customHeight="1">
      <c r="A352" s="401"/>
      <c r="B352" s="401"/>
      <c r="C352" s="401"/>
      <c r="D352" s="401"/>
      <c r="E352" s="401"/>
      <c r="F352" s="550"/>
      <c r="G352" s="550"/>
      <c r="H352" s="401"/>
      <c r="I352" s="401"/>
      <c r="J352" s="401"/>
      <c r="K352" s="401"/>
      <c r="L352" s="401"/>
      <c r="M352" s="401"/>
      <c r="N352" s="401"/>
      <c r="O352" s="401"/>
      <c r="P352" s="401"/>
      <c r="Q352" s="401"/>
      <c r="R352" s="401"/>
      <c r="S352" s="401"/>
      <c r="T352" s="401"/>
      <c r="U352" s="401"/>
      <c r="V352" s="401"/>
      <c r="W352" s="592"/>
      <c r="X352" s="401"/>
      <c r="Y352" s="401"/>
      <c r="Z352" s="401"/>
    </row>
    <row r="353" ht="18.75" customHeight="1">
      <c r="A353" s="401"/>
      <c r="B353" s="401"/>
      <c r="C353" s="401"/>
      <c r="D353" s="401"/>
      <c r="E353" s="401"/>
      <c r="F353" s="550"/>
      <c r="G353" s="550"/>
      <c r="H353" s="401"/>
      <c r="I353" s="401"/>
      <c r="J353" s="401"/>
      <c r="K353" s="401"/>
      <c r="L353" s="401"/>
      <c r="M353" s="401"/>
      <c r="N353" s="401"/>
      <c r="O353" s="401"/>
      <c r="P353" s="401"/>
      <c r="Q353" s="401"/>
      <c r="R353" s="401"/>
      <c r="S353" s="401"/>
      <c r="T353" s="401"/>
      <c r="U353" s="401"/>
      <c r="V353" s="401"/>
      <c r="W353" s="592"/>
      <c r="X353" s="401"/>
      <c r="Y353" s="401"/>
      <c r="Z353" s="401"/>
    </row>
    <row r="354" ht="18.75" customHeight="1">
      <c r="A354" s="401"/>
      <c r="B354" s="401"/>
      <c r="C354" s="401"/>
      <c r="D354" s="401"/>
      <c r="E354" s="401"/>
      <c r="F354" s="550"/>
      <c r="G354" s="550"/>
      <c r="H354" s="401"/>
      <c r="I354" s="401"/>
      <c r="J354" s="401"/>
      <c r="K354" s="401"/>
      <c r="L354" s="401"/>
      <c r="M354" s="401"/>
      <c r="N354" s="401"/>
      <c r="O354" s="401"/>
      <c r="P354" s="401"/>
      <c r="Q354" s="401"/>
      <c r="R354" s="401"/>
      <c r="S354" s="401"/>
      <c r="T354" s="401"/>
      <c r="U354" s="401"/>
      <c r="V354" s="401"/>
      <c r="W354" s="592"/>
      <c r="X354" s="401"/>
      <c r="Y354" s="401"/>
      <c r="Z354" s="401"/>
    </row>
    <row r="355" ht="18.75" customHeight="1">
      <c r="A355" s="401"/>
      <c r="B355" s="401"/>
      <c r="C355" s="401"/>
      <c r="D355" s="401"/>
      <c r="E355" s="401"/>
      <c r="F355" s="550"/>
      <c r="G355" s="550"/>
      <c r="H355" s="401"/>
      <c r="I355" s="401"/>
      <c r="J355" s="401"/>
      <c r="K355" s="401"/>
      <c r="L355" s="401"/>
      <c r="M355" s="401"/>
      <c r="N355" s="401"/>
      <c r="O355" s="401"/>
      <c r="P355" s="401"/>
      <c r="Q355" s="401"/>
      <c r="R355" s="401"/>
      <c r="S355" s="401"/>
      <c r="T355" s="401"/>
      <c r="U355" s="401"/>
      <c r="V355" s="401"/>
      <c r="W355" s="592"/>
      <c r="X355" s="401"/>
      <c r="Y355" s="401"/>
      <c r="Z355" s="401"/>
    </row>
    <row r="356" ht="18.75" customHeight="1">
      <c r="A356" s="401"/>
      <c r="B356" s="401"/>
      <c r="C356" s="401"/>
      <c r="D356" s="401"/>
      <c r="E356" s="401"/>
      <c r="F356" s="550"/>
      <c r="G356" s="550"/>
      <c r="H356" s="401"/>
      <c r="I356" s="401"/>
      <c r="J356" s="401"/>
      <c r="K356" s="401"/>
      <c r="L356" s="401"/>
      <c r="M356" s="401"/>
      <c r="N356" s="401"/>
      <c r="O356" s="401"/>
      <c r="P356" s="401"/>
      <c r="Q356" s="401"/>
      <c r="R356" s="401"/>
      <c r="S356" s="401"/>
      <c r="T356" s="401"/>
      <c r="U356" s="401"/>
      <c r="V356" s="401"/>
      <c r="W356" s="592"/>
      <c r="X356" s="401"/>
      <c r="Y356" s="401"/>
      <c r="Z356" s="401"/>
    </row>
    <row r="357" ht="18.75" customHeight="1">
      <c r="A357" s="401"/>
      <c r="B357" s="401"/>
      <c r="C357" s="401"/>
      <c r="D357" s="401"/>
      <c r="E357" s="401"/>
      <c r="F357" s="550"/>
      <c r="G357" s="550"/>
      <c r="H357" s="401"/>
      <c r="I357" s="401"/>
      <c r="J357" s="401"/>
      <c r="K357" s="401"/>
      <c r="L357" s="401"/>
      <c r="M357" s="401"/>
      <c r="N357" s="401"/>
      <c r="O357" s="401"/>
      <c r="P357" s="401"/>
      <c r="Q357" s="401"/>
      <c r="R357" s="401"/>
      <c r="S357" s="401"/>
      <c r="T357" s="401"/>
      <c r="U357" s="401"/>
      <c r="V357" s="401"/>
      <c r="W357" s="592"/>
      <c r="X357" s="401"/>
      <c r="Y357" s="401"/>
      <c r="Z357" s="401"/>
    </row>
    <row r="358" ht="18.75" customHeight="1">
      <c r="A358" s="401"/>
      <c r="B358" s="401"/>
      <c r="C358" s="401"/>
      <c r="D358" s="401"/>
      <c r="E358" s="401"/>
      <c r="F358" s="550"/>
      <c r="G358" s="550"/>
      <c r="H358" s="401"/>
      <c r="I358" s="401"/>
      <c r="J358" s="401"/>
      <c r="K358" s="401"/>
      <c r="L358" s="401"/>
      <c r="M358" s="401"/>
      <c r="N358" s="401"/>
      <c r="O358" s="401"/>
      <c r="P358" s="401"/>
      <c r="Q358" s="401"/>
      <c r="R358" s="401"/>
      <c r="S358" s="401"/>
      <c r="T358" s="401"/>
      <c r="U358" s="401"/>
      <c r="V358" s="401"/>
      <c r="W358" s="592"/>
      <c r="X358" s="401"/>
      <c r="Y358" s="401"/>
      <c r="Z358" s="401"/>
    </row>
    <row r="359" ht="18.75" customHeight="1">
      <c r="A359" s="401"/>
      <c r="B359" s="401"/>
      <c r="C359" s="401"/>
      <c r="D359" s="401"/>
      <c r="E359" s="401"/>
      <c r="F359" s="550"/>
      <c r="G359" s="550"/>
      <c r="H359" s="401"/>
      <c r="I359" s="401"/>
      <c r="J359" s="401"/>
      <c r="K359" s="401"/>
      <c r="L359" s="401"/>
      <c r="M359" s="401"/>
      <c r="N359" s="401"/>
      <c r="O359" s="401"/>
      <c r="P359" s="401"/>
      <c r="Q359" s="401"/>
      <c r="R359" s="401"/>
      <c r="S359" s="401"/>
      <c r="T359" s="401"/>
      <c r="U359" s="401"/>
      <c r="V359" s="401"/>
      <c r="W359" s="592"/>
      <c r="X359" s="401"/>
      <c r="Y359" s="401"/>
      <c r="Z359" s="401"/>
    </row>
    <row r="360" ht="18.75" customHeight="1">
      <c r="A360" s="401"/>
      <c r="B360" s="401"/>
      <c r="C360" s="401"/>
      <c r="D360" s="401"/>
      <c r="E360" s="401"/>
      <c r="F360" s="550"/>
      <c r="G360" s="550"/>
      <c r="H360" s="401"/>
      <c r="I360" s="401"/>
      <c r="J360" s="401"/>
      <c r="K360" s="401"/>
      <c r="L360" s="401"/>
      <c r="M360" s="401"/>
      <c r="N360" s="401"/>
      <c r="O360" s="401"/>
      <c r="P360" s="401"/>
      <c r="Q360" s="401"/>
      <c r="R360" s="401"/>
      <c r="S360" s="401"/>
      <c r="T360" s="401"/>
      <c r="U360" s="401"/>
      <c r="V360" s="401"/>
      <c r="W360" s="592"/>
      <c r="X360" s="401"/>
      <c r="Y360" s="401"/>
      <c r="Z360" s="401"/>
    </row>
    <row r="361" ht="18.75" customHeight="1">
      <c r="A361" s="401"/>
      <c r="B361" s="401"/>
      <c r="C361" s="401"/>
      <c r="D361" s="401"/>
      <c r="E361" s="401"/>
      <c r="F361" s="550"/>
      <c r="G361" s="550"/>
      <c r="H361" s="401"/>
      <c r="I361" s="401"/>
      <c r="J361" s="401"/>
      <c r="K361" s="401"/>
      <c r="L361" s="401"/>
      <c r="M361" s="401"/>
      <c r="N361" s="401"/>
      <c r="O361" s="401"/>
      <c r="P361" s="401"/>
      <c r="Q361" s="401"/>
      <c r="R361" s="401"/>
      <c r="S361" s="401"/>
      <c r="T361" s="401"/>
      <c r="U361" s="401"/>
      <c r="V361" s="401"/>
      <c r="W361" s="592"/>
      <c r="X361" s="401"/>
      <c r="Y361" s="401"/>
      <c r="Z361" s="401"/>
    </row>
    <row r="362" ht="18.75" customHeight="1">
      <c r="A362" s="401"/>
      <c r="B362" s="401"/>
      <c r="C362" s="401"/>
      <c r="D362" s="401"/>
      <c r="E362" s="401"/>
      <c r="F362" s="550"/>
      <c r="G362" s="550"/>
      <c r="H362" s="401"/>
      <c r="I362" s="401"/>
      <c r="J362" s="401"/>
      <c r="K362" s="401"/>
      <c r="L362" s="401"/>
      <c r="M362" s="401"/>
      <c r="N362" s="401"/>
      <c r="O362" s="401"/>
      <c r="P362" s="401"/>
      <c r="Q362" s="401"/>
      <c r="R362" s="401"/>
      <c r="S362" s="401"/>
      <c r="T362" s="401"/>
      <c r="U362" s="401"/>
      <c r="V362" s="401"/>
      <c r="W362" s="592"/>
      <c r="X362" s="401"/>
      <c r="Y362" s="401"/>
      <c r="Z362" s="401"/>
    </row>
    <row r="363" ht="18.75" customHeight="1">
      <c r="A363" s="401"/>
      <c r="B363" s="401"/>
      <c r="C363" s="401"/>
      <c r="D363" s="401"/>
      <c r="E363" s="401"/>
      <c r="F363" s="550"/>
      <c r="G363" s="550"/>
      <c r="H363" s="401"/>
      <c r="I363" s="401"/>
      <c r="J363" s="401"/>
      <c r="K363" s="401"/>
      <c r="L363" s="401"/>
      <c r="M363" s="401"/>
      <c r="N363" s="401"/>
      <c r="O363" s="401"/>
      <c r="P363" s="401"/>
      <c r="Q363" s="401"/>
      <c r="R363" s="401"/>
      <c r="S363" s="401"/>
      <c r="T363" s="401"/>
      <c r="U363" s="401"/>
      <c r="V363" s="401"/>
      <c r="W363" s="592"/>
      <c r="X363" s="401"/>
      <c r="Y363" s="401"/>
      <c r="Z363" s="401"/>
    </row>
    <row r="364" ht="18.75" customHeight="1">
      <c r="A364" s="401"/>
      <c r="B364" s="401"/>
      <c r="C364" s="401"/>
      <c r="D364" s="401"/>
      <c r="E364" s="401"/>
      <c r="F364" s="550"/>
      <c r="G364" s="550"/>
      <c r="H364" s="401"/>
      <c r="I364" s="401"/>
      <c r="J364" s="401"/>
      <c r="K364" s="401"/>
      <c r="L364" s="401"/>
      <c r="M364" s="401"/>
      <c r="N364" s="401"/>
      <c r="O364" s="401"/>
      <c r="P364" s="401"/>
      <c r="Q364" s="401"/>
      <c r="R364" s="401"/>
      <c r="S364" s="401"/>
      <c r="T364" s="401"/>
      <c r="U364" s="401"/>
      <c r="V364" s="401"/>
      <c r="W364" s="592"/>
      <c r="X364" s="401"/>
      <c r="Y364" s="401"/>
      <c r="Z364" s="401"/>
    </row>
    <row r="365" ht="18.75" customHeight="1">
      <c r="A365" s="401"/>
      <c r="B365" s="401"/>
      <c r="C365" s="401"/>
      <c r="D365" s="401"/>
      <c r="E365" s="401"/>
      <c r="F365" s="550"/>
      <c r="G365" s="550"/>
      <c r="H365" s="401"/>
      <c r="I365" s="401"/>
      <c r="J365" s="401"/>
      <c r="K365" s="401"/>
      <c r="L365" s="401"/>
      <c r="M365" s="401"/>
      <c r="N365" s="401"/>
      <c r="O365" s="401"/>
      <c r="P365" s="401"/>
      <c r="Q365" s="401"/>
      <c r="R365" s="401"/>
      <c r="S365" s="401"/>
      <c r="T365" s="401"/>
      <c r="U365" s="401"/>
      <c r="V365" s="401"/>
      <c r="W365" s="592"/>
      <c r="X365" s="401"/>
      <c r="Y365" s="401"/>
      <c r="Z365" s="401"/>
    </row>
    <row r="366" ht="18.75" customHeight="1">
      <c r="A366" s="401"/>
      <c r="B366" s="401"/>
      <c r="C366" s="401"/>
      <c r="D366" s="401"/>
      <c r="E366" s="401"/>
      <c r="F366" s="550"/>
      <c r="G366" s="550"/>
      <c r="H366" s="401"/>
      <c r="I366" s="401"/>
      <c r="J366" s="401"/>
      <c r="K366" s="401"/>
      <c r="L366" s="401"/>
      <c r="M366" s="401"/>
      <c r="N366" s="401"/>
      <c r="O366" s="401"/>
      <c r="P366" s="401"/>
      <c r="Q366" s="401"/>
      <c r="R366" s="401"/>
      <c r="S366" s="401"/>
      <c r="T366" s="401"/>
      <c r="U366" s="401"/>
      <c r="V366" s="401"/>
      <c r="W366" s="592"/>
      <c r="X366" s="401"/>
      <c r="Y366" s="401"/>
      <c r="Z366" s="401"/>
    </row>
    <row r="367" ht="18.75" customHeight="1">
      <c r="A367" s="401"/>
      <c r="B367" s="401"/>
      <c r="C367" s="401"/>
      <c r="D367" s="401"/>
      <c r="E367" s="401"/>
      <c r="F367" s="550"/>
      <c r="G367" s="550"/>
      <c r="H367" s="401"/>
      <c r="I367" s="401"/>
      <c r="J367" s="401"/>
      <c r="K367" s="401"/>
      <c r="L367" s="401"/>
      <c r="M367" s="401"/>
      <c r="N367" s="401"/>
      <c r="O367" s="401"/>
      <c r="P367" s="401"/>
      <c r="Q367" s="401"/>
      <c r="R367" s="401"/>
      <c r="S367" s="401"/>
      <c r="T367" s="401"/>
      <c r="U367" s="401"/>
      <c r="V367" s="401"/>
      <c r="W367" s="592"/>
      <c r="X367" s="401"/>
      <c r="Y367" s="401"/>
      <c r="Z367" s="401"/>
    </row>
    <row r="368" ht="18.75" customHeight="1">
      <c r="A368" s="401"/>
      <c r="B368" s="401"/>
      <c r="C368" s="401"/>
      <c r="D368" s="401"/>
      <c r="E368" s="401"/>
      <c r="F368" s="550"/>
      <c r="G368" s="550"/>
      <c r="H368" s="401"/>
      <c r="I368" s="401"/>
      <c r="J368" s="401"/>
      <c r="K368" s="401"/>
      <c r="L368" s="401"/>
      <c r="M368" s="401"/>
      <c r="N368" s="401"/>
      <c r="O368" s="401"/>
      <c r="P368" s="401"/>
      <c r="Q368" s="401"/>
      <c r="R368" s="401"/>
      <c r="S368" s="401"/>
      <c r="T368" s="401"/>
      <c r="U368" s="401"/>
      <c r="V368" s="401"/>
      <c r="W368" s="592"/>
      <c r="X368" s="401"/>
      <c r="Y368" s="401"/>
      <c r="Z368" s="401"/>
    </row>
    <row r="369" ht="18.75" customHeight="1">
      <c r="A369" s="401"/>
      <c r="B369" s="401"/>
      <c r="C369" s="401"/>
      <c r="D369" s="401"/>
      <c r="E369" s="401"/>
      <c r="F369" s="550"/>
      <c r="G369" s="550"/>
      <c r="H369" s="401"/>
      <c r="I369" s="401"/>
      <c r="J369" s="401"/>
      <c r="K369" s="401"/>
      <c r="L369" s="401"/>
      <c r="M369" s="401"/>
      <c r="N369" s="401"/>
      <c r="O369" s="401"/>
      <c r="P369" s="401"/>
      <c r="Q369" s="401"/>
      <c r="R369" s="401"/>
      <c r="S369" s="401"/>
      <c r="T369" s="401"/>
      <c r="U369" s="401"/>
      <c r="V369" s="401"/>
      <c r="W369" s="592"/>
      <c r="X369" s="401"/>
      <c r="Y369" s="401"/>
      <c r="Z369" s="401"/>
    </row>
    <row r="370" ht="18.75" customHeight="1">
      <c r="A370" s="401"/>
      <c r="B370" s="401"/>
      <c r="C370" s="401"/>
      <c r="D370" s="401"/>
      <c r="E370" s="401"/>
      <c r="F370" s="550"/>
      <c r="G370" s="550"/>
      <c r="H370" s="401"/>
      <c r="I370" s="401"/>
      <c r="J370" s="401"/>
      <c r="K370" s="401"/>
      <c r="L370" s="401"/>
      <c r="M370" s="401"/>
      <c r="N370" s="401"/>
      <c r="O370" s="401"/>
      <c r="P370" s="401"/>
      <c r="Q370" s="401"/>
      <c r="R370" s="401"/>
      <c r="S370" s="401"/>
      <c r="T370" s="401"/>
      <c r="U370" s="401"/>
      <c r="V370" s="401"/>
      <c r="W370" s="592"/>
      <c r="X370" s="401"/>
      <c r="Y370" s="401"/>
      <c r="Z370" s="401"/>
    </row>
    <row r="371" ht="18.75" customHeight="1">
      <c r="A371" s="401"/>
      <c r="B371" s="401"/>
      <c r="C371" s="401"/>
      <c r="D371" s="401"/>
      <c r="E371" s="401"/>
      <c r="F371" s="550"/>
      <c r="G371" s="550"/>
      <c r="H371" s="401"/>
      <c r="I371" s="401"/>
      <c r="J371" s="401"/>
      <c r="K371" s="401"/>
      <c r="L371" s="401"/>
      <c r="M371" s="401"/>
      <c r="N371" s="401"/>
      <c r="O371" s="401"/>
      <c r="P371" s="401"/>
      <c r="Q371" s="401"/>
      <c r="R371" s="401"/>
      <c r="S371" s="401"/>
      <c r="T371" s="401"/>
      <c r="U371" s="401"/>
      <c r="V371" s="401"/>
      <c r="W371" s="592"/>
      <c r="X371" s="401"/>
      <c r="Y371" s="401"/>
      <c r="Z371" s="401"/>
    </row>
    <row r="372" ht="18.75" customHeight="1">
      <c r="A372" s="401"/>
      <c r="B372" s="401"/>
      <c r="C372" s="401"/>
      <c r="D372" s="401"/>
      <c r="E372" s="401"/>
      <c r="F372" s="550"/>
      <c r="G372" s="550"/>
      <c r="H372" s="401"/>
      <c r="I372" s="401"/>
      <c r="J372" s="401"/>
      <c r="K372" s="401"/>
      <c r="L372" s="401"/>
      <c r="M372" s="401"/>
      <c r="N372" s="401"/>
      <c r="O372" s="401"/>
      <c r="P372" s="401"/>
      <c r="Q372" s="401"/>
      <c r="R372" s="401"/>
      <c r="S372" s="401"/>
      <c r="T372" s="401"/>
      <c r="U372" s="401"/>
      <c r="V372" s="401"/>
      <c r="W372" s="592"/>
      <c r="X372" s="401"/>
      <c r="Y372" s="401"/>
      <c r="Z372" s="401"/>
    </row>
    <row r="373" ht="18.75" customHeight="1">
      <c r="A373" s="401"/>
      <c r="B373" s="401"/>
      <c r="C373" s="401"/>
      <c r="D373" s="401"/>
      <c r="E373" s="401"/>
      <c r="F373" s="550"/>
      <c r="G373" s="550"/>
      <c r="H373" s="401"/>
      <c r="I373" s="401"/>
      <c r="J373" s="401"/>
      <c r="K373" s="401"/>
      <c r="L373" s="401"/>
      <c r="M373" s="401"/>
      <c r="N373" s="401"/>
      <c r="O373" s="401"/>
      <c r="P373" s="401"/>
      <c r="Q373" s="401"/>
      <c r="R373" s="401"/>
      <c r="S373" s="401"/>
      <c r="T373" s="401"/>
      <c r="U373" s="401"/>
      <c r="V373" s="401"/>
      <c r="W373" s="592"/>
      <c r="X373" s="401"/>
      <c r="Y373" s="401"/>
      <c r="Z373" s="401"/>
    </row>
    <row r="374" ht="18.75" customHeight="1">
      <c r="A374" s="401"/>
      <c r="B374" s="401"/>
      <c r="C374" s="401"/>
      <c r="D374" s="401"/>
      <c r="E374" s="401"/>
      <c r="F374" s="550"/>
      <c r="G374" s="550"/>
      <c r="H374" s="401"/>
      <c r="I374" s="401"/>
      <c r="J374" s="401"/>
      <c r="K374" s="401"/>
      <c r="L374" s="401"/>
      <c r="M374" s="401"/>
      <c r="N374" s="401"/>
      <c r="O374" s="401"/>
      <c r="P374" s="401"/>
      <c r="Q374" s="401"/>
      <c r="R374" s="401"/>
      <c r="S374" s="401"/>
      <c r="T374" s="401"/>
      <c r="U374" s="401"/>
      <c r="V374" s="401"/>
      <c r="W374" s="592"/>
      <c r="X374" s="401"/>
      <c r="Y374" s="401"/>
      <c r="Z374" s="401"/>
    </row>
    <row r="375" ht="18.75" customHeight="1">
      <c r="A375" s="401"/>
      <c r="B375" s="401"/>
      <c r="C375" s="401"/>
      <c r="D375" s="401"/>
      <c r="E375" s="401"/>
      <c r="F375" s="550"/>
      <c r="G375" s="550"/>
      <c r="H375" s="401"/>
      <c r="I375" s="401"/>
      <c r="J375" s="401"/>
      <c r="K375" s="401"/>
      <c r="L375" s="401"/>
      <c r="M375" s="401"/>
      <c r="N375" s="401"/>
      <c r="O375" s="401"/>
      <c r="P375" s="401"/>
      <c r="Q375" s="401"/>
      <c r="R375" s="401"/>
      <c r="S375" s="401"/>
      <c r="T375" s="401"/>
      <c r="U375" s="401"/>
      <c r="V375" s="401"/>
      <c r="W375" s="592"/>
      <c r="X375" s="401"/>
      <c r="Y375" s="401"/>
      <c r="Z375" s="401"/>
    </row>
    <row r="376" ht="18.75" customHeight="1">
      <c r="A376" s="401"/>
      <c r="B376" s="401"/>
      <c r="C376" s="401"/>
      <c r="D376" s="401"/>
      <c r="E376" s="401"/>
      <c r="F376" s="550"/>
      <c r="G376" s="550"/>
      <c r="H376" s="401"/>
      <c r="I376" s="401"/>
      <c r="J376" s="401"/>
      <c r="K376" s="401"/>
      <c r="L376" s="401"/>
      <c r="M376" s="401"/>
      <c r="N376" s="401"/>
      <c r="O376" s="401"/>
      <c r="P376" s="401"/>
      <c r="Q376" s="401"/>
      <c r="R376" s="401"/>
      <c r="S376" s="401"/>
      <c r="T376" s="401"/>
      <c r="U376" s="401"/>
      <c r="V376" s="401"/>
      <c r="W376" s="592"/>
      <c r="X376" s="401"/>
      <c r="Y376" s="401"/>
      <c r="Z376" s="401"/>
    </row>
    <row r="377" ht="18.75" customHeight="1">
      <c r="A377" s="401"/>
      <c r="B377" s="401"/>
      <c r="C377" s="401"/>
      <c r="D377" s="401"/>
      <c r="E377" s="401"/>
      <c r="F377" s="550"/>
      <c r="G377" s="550"/>
      <c r="H377" s="401"/>
      <c r="I377" s="401"/>
      <c r="J377" s="401"/>
      <c r="K377" s="401"/>
      <c r="L377" s="401"/>
      <c r="M377" s="401"/>
      <c r="N377" s="401"/>
      <c r="O377" s="401"/>
      <c r="P377" s="401"/>
      <c r="Q377" s="401"/>
      <c r="R377" s="401"/>
      <c r="S377" s="401"/>
      <c r="T377" s="401"/>
      <c r="U377" s="401"/>
      <c r="V377" s="401"/>
      <c r="W377" s="592"/>
      <c r="X377" s="401"/>
      <c r="Y377" s="401"/>
      <c r="Z377" s="401"/>
    </row>
    <row r="378" ht="18.75" customHeight="1">
      <c r="A378" s="401"/>
      <c r="B378" s="401"/>
      <c r="C378" s="401"/>
      <c r="D378" s="401"/>
      <c r="E378" s="401"/>
      <c r="F378" s="550"/>
      <c r="G378" s="550"/>
      <c r="H378" s="401"/>
      <c r="I378" s="401"/>
      <c r="J378" s="401"/>
      <c r="K378" s="401"/>
      <c r="L378" s="401"/>
      <c r="M378" s="401"/>
      <c r="N378" s="401"/>
      <c r="O378" s="401"/>
      <c r="P378" s="401"/>
      <c r="Q378" s="401"/>
      <c r="R378" s="401"/>
      <c r="S378" s="401"/>
      <c r="T378" s="401"/>
      <c r="U378" s="401"/>
      <c r="V378" s="401"/>
      <c r="W378" s="592"/>
      <c r="X378" s="401"/>
      <c r="Y378" s="401"/>
      <c r="Z378" s="401"/>
    </row>
    <row r="379" ht="18.75" customHeight="1">
      <c r="A379" s="401"/>
      <c r="B379" s="401"/>
      <c r="C379" s="401"/>
      <c r="D379" s="401"/>
      <c r="E379" s="401"/>
      <c r="F379" s="550"/>
      <c r="G379" s="550"/>
      <c r="H379" s="401"/>
      <c r="I379" s="401"/>
      <c r="J379" s="401"/>
      <c r="K379" s="401"/>
      <c r="L379" s="401"/>
      <c r="M379" s="401"/>
      <c r="N379" s="401"/>
      <c r="O379" s="401"/>
      <c r="P379" s="401"/>
      <c r="Q379" s="401"/>
      <c r="R379" s="401"/>
      <c r="S379" s="401"/>
      <c r="T379" s="401"/>
      <c r="U379" s="401"/>
      <c r="V379" s="401"/>
      <c r="W379" s="592"/>
      <c r="X379" s="401"/>
      <c r="Y379" s="401"/>
      <c r="Z379" s="401"/>
    </row>
    <row r="380" ht="18.75" customHeight="1">
      <c r="A380" s="401"/>
      <c r="B380" s="401"/>
      <c r="C380" s="401"/>
      <c r="D380" s="401"/>
      <c r="E380" s="401"/>
      <c r="F380" s="550"/>
      <c r="G380" s="550"/>
      <c r="H380" s="401"/>
      <c r="I380" s="401"/>
      <c r="J380" s="401"/>
      <c r="K380" s="401"/>
      <c r="L380" s="401"/>
      <c r="M380" s="401"/>
      <c r="N380" s="401"/>
      <c r="O380" s="401"/>
      <c r="P380" s="401"/>
      <c r="Q380" s="401"/>
      <c r="R380" s="401"/>
      <c r="S380" s="401"/>
      <c r="T380" s="401"/>
      <c r="U380" s="401"/>
      <c r="V380" s="401"/>
      <c r="W380" s="592"/>
      <c r="X380" s="401"/>
      <c r="Y380" s="401"/>
      <c r="Z380" s="401"/>
    </row>
    <row r="381" ht="18.75" customHeight="1">
      <c r="A381" s="401"/>
      <c r="B381" s="401"/>
      <c r="C381" s="401"/>
      <c r="D381" s="401"/>
      <c r="E381" s="401"/>
      <c r="F381" s="550"/>
      <c r="G381" s="550"/>
      <c r="H381" s="401"/>
      <c r="I381" s="401"/>
      <c r="J381" s="401"/>
      <c r="K381" s="401"/>
      <c r="L381" s="401"/>
      <c r="M381" s="401"/>
      <c r="N381" s="401"/>
      <c r="O381" s="401"/>
      <c r="P381" s="401"/>
      <c r="Q381" s="401"/>
      <c r="R381" s="401"/>
      <c r="S381" s="401"/>
      <c r="T381" s="401"/>
      <c r="U381" s="401"/>
      <c r="V381" s="401"/>
      <c r="W381" s="592"/>
      <c r="X381" s="401"/>
      <c r="Y381" s="401"/>
      <c r="Z381" s="401"/>
    </row>
    <row r="382" ht="18.75" customHeight="1">
      <c r="A382" s="401"/>
      <c r="B382" s="401"/>
      <c r="C382" s="401"/>
      <c r="D382" s="401"/>
      <c r="E382" s="401"/>
      <c r="F382" s="550"/>
      <c r="G382" s="550"/>
      <c r="H382" s="401"/>
      <c r="I382" s="401"/>
      <c r="J382" s="401"/>
      <c r="K382" s="401"/>
      <c r="L382" s="401"/>
      <c r="M382" s="401"/>
      <c r="N382" s="401"/>
      <c r="O382" s="401"/>
      <c r="P382" s="401"/>
      <c r="Q382" s="401"/>
      <c r="R382" s="401"/>
      <c r="S382" s="401"/>
      <c r="T382" s="401"/>
      <c r="U382" s="401"/>
      <c r="V382" s="401"/>
      <c r="W382" s="592"/>
      <c r="X382" s="401"/>
      <c r="Y382" s="401"/>
      <c r="Z382" s="401"/>
    </row>
    <row r="383" ht="18.75" customHeight="1">
      <c r="A383" s="401"/>
      <c r="B383" s="401"/>
      <c r="C383" s="401"/>
      <c r="D383" s="401"/>
      <c r="E383" s="401"/>
      <c r="F383" s="550"/>
      <c r="G383" s="550"/>
      <c r="H383" s="401"/>
      <c r="I383" s="401"/>
      <c r="J383" s="401"/>
      <c r="K383" s="401"/>
      <c r="L383" s="401"/>
      <c r="M383" s="401"/>
      <c r="N383" s="401"/>
      <c r="O383" s="401"/>
      <c r="P383" s="401"/>
      <c r="Q383" s="401"/>
      <c r="R383" s="401"/>
      <c r="S383" s="401"/>
      <c r="T383" s="401"/>
      <c r="U383" s="401"/>
      <c r="V383" s="401"/>
      <c r="W383" s="592"/>
      <c r="X383" s="401"/>
      <c r="Y383" s="401"/>
      <c r="Z383" s="401"/>
    </row>
    <row r="384" ht="18.75" customHeight="1">
      <c r="A384" s="401"/>
      <c r="B384" s="401"/>
      <c r="C384" s="401"/>
      <c r="D384" s="401"/>
      <c r="E384" s="401"/>
      <c r="F384" s="550"/>
      <c r="G384" s="550"/>
      <c r="H384" s="401"/>
      <c r="I384" s="401"/>
      <c r="J384" s="401"/>
      <c r="K384" s="401"/>
      <c r="L384" s="401"/>
      <c r="M384" s="401"/>
      <c r="N384" s="401"/>
      <c r="O384" s="401"/>
      <c r="P384" s="401"/>
      <c r="Q384" s="401"/>
      <c r="R384" s="401"/>
      <c r="S384" s="401"/>
      <c r="T384" s="401"/>
      <c r="U384" s="401"/>
      <c r="V384" s="401"/>
      <c r="W384" s="592"/>
      <c r="X384" s="401"/>
      <c r="Y384" s="401"/>
      <c r="Z384" s="401"/>
    </row>
    <row r="385" ht="18.75" customHeight="1">
      <c r="A385" s="401"/>
      <c r="B385" s="401"/>
      <c r="C385" s="401"/>
      <c r="D385" s="401"/>
      <c r="E385" s="401"/>
      <c r="F385" s="550"/>
      <c r="G385" s="550"/>
      <c r="H385" s="401"/>
      <c r="I385" s="401"/>
      <c r="J385" s="401"/>
      <c r="K385" s="401"/>
      <c r="L385" s="401"/>
      <c r="M385" s="401"/>
      <c r="N385" s="401"/>
      <c r="O385" s="401"/>
      <c r="P385" s="401"/>
      <c r="Q385" s="401"/>
      <c r="R385" s="401"/>
      <c r="S385" s="401"/>
      <c r="T385" s="401"/>
      <c r="U385" s="401"/>
      <c r="V385" s="401"/>
      <c r="W385" s="592"/>
      <c r="X385" s="401"/>
      <c r="Y385" s="401"/>
      <c r="Z385" s="401"/>
    </row>
    <row r="386" ht="18.75" customHeight="1">
      <c r="A386" s="401"/>
      <c r="B386" s="401"/>
      <c r="C386" s="401"/>
      <c r="D386" s="401"/>
      <c r="E386" s="401"/>
      <c r="F386" s="550"/>
      <c r="G386" s="550"/>
      <c r="H386" s="401"/>
      <c r="I386" s="401"/>
      <c r="J386" s="401"/>
      <c r="K386" s="401"/>
      <c r="L386" s="401"/>
      <c r="M386" s="401"/>
      <c r="N386" s="401"/>
      <c r="O386" s="401"/>
      <c r="P386" s="401"/>
      <c r="Q386" s="401"/>
      <c r="R386" s="401"/>
      <c r="S386" s="401"/>
      <c r="T386" s="401"/>
      <c r="U386" s="401"/>
      <c r="V386" s="401"/>
      <c r="W386" s="592"/>
      <c r="X386" s="401"/>
      <c r="Y386" s="401"/>
      <c r="Z386" s="401"/>
    </row>
    <row r="387" ht="18.75" customHeight="1">
      <c r="A387" s="401"/>
      <c r="B387" s="401"/>
      <c r="C387" s="401"/>
      <c r="D387" s="401"/>
      <c r="E387" s="401"/>
      <c r="F387" s="550"/>
      <c r="G387" s="550"/>
      <c r="H387" s="401"/>
      <c r="I387" s="401"/>
      <c r="J387" s="401"/>
      <c r="K387" s="401"/>
      <c r="L387" s="401"/>
      <c r="M387" s="401"/>
      <c r="N387" s="401"/>
      <c r="O387" s="401"/>
      <c r="P387" s="401"/>
      <c r="Q387" s="401"/>
      <c r="R387" s="401"/>
      <c r="S387" s="401"/>
      <c r="T387" s="401"/>
      <c r="U387" s="401"/>
      <c r="V387" s="401"/>
      <c r="W387" s="592"/>
      <c r="X387" s="401"/>
      <c r="Y387" s="401"/>
      <c r="Z387" s="401"/>
    </row>
    <row r="388" ht="18.75" customHeight="1">
      <c r="A388" s="401"/>
      <c r="B388" s="401"/>
      <c r="C388" s="401"/>
      <c r="D388" s="401"/>
      <c r="E388" s="401"/>
      <c r="F388" s="550"/>
      <c r="G388" s="550"/>
      <c r="H388" s="401"/>
      <c r="I388" s="401"/>
      <c r="J388" s="401"/>
      <c r="K388" s="401"/>
      <c r="L388" s="401"/>
      <c r="M388" s="401"/>
      <c r="N388" s="401"/>
      <c r="O388" s="401"/>
      <c r="P388" s="401"/>
      <c r="Q388" s="401"/>
      <c r="R388" s="401"/>
      <c r="S388" s="401"/>
      <c r="T388" s="401"/>
      <c r="U388" s="401"/>
      <c r="V388" s="401"/>
      <c r="W388" s="592"/>
      <c r="X388" s="401"/>
      <c r="Y388" s="401"/>
      <c r="Z388" s="401"/>
    </row>
    <row r="389" ht="18.75" customHeight="1">
      <c r="A389" s="401"/>
      <c r="B389" s="401"/>
      <c r="C389" s="401"/>
      <c r="D389" s="401"/>
      <c r="E389" s="401"/>
      <c r="F389" s="550"/>
      <c r="G389" s="550"/>
      <c r="H389" s="401"/>
      <c r="I389" s="401"/>
      <c r="J389" s="401"/>
      <c r="K389" s="401"/>
      <c r="L389" s="401"/>
      <c r="M389" s="401"/>
      <c r="N389" s="401"/>
      <c r="O389" s="401"/>
      <c r="P389" s="401"/>
      <c r="Q389" s="401"/>
      <c r="R389" s="401"/>
      <c r="S389" s="401"/>
      <c r="T389" s="401"/>
      <c r="U389" s="401"/>
      <c r="V389" s="401"/>
      <c r="W389" s="592"/>
      <c r="X389" s="401"/>
      <c r="Y389" s="401"/>
      <c r="Z389" s="401"/>
    </row>
    <row r="390" ht="18.75" customHeight="1">
      <c r="A390" s="401"/>
      <c r="B390" s="401"/>
      <c r="C390" s="401"/>
      <c r="D390" s="401"/>
      <c r="E390" s="401"/>
      <c r="F390" s="550"/>
      <c r="G390" s="550"/>
      <c r="H390" s="401"/>
      <c r="I390" s="401"/>
      <c r="J390" s="401"/>
      <c r="K390" s="401"/>
      <c r="L390" s="401"/>
      <c r="M390" s="401"/>
      <c r="N390" s="401"/>
      <c r="O390" s="401"/>
      <c r="P390" s="401"/>
      <c r="Q390" s="401"/>
      <c r="R390" s="401"/>
      <c r="S390" s="401"/>
      <c r="T390" s="401"/>
      <c r="U390" s="401"/>
      <c r="V390" s="401"/>
      <c r="W390" s="592"/>
      <c r="X390" s="401"/>
      <c r="Y390" s="401"/>
      <c r="Z390" s="401"/>
    </row>
    <row r="391" ht="18.75" customHeight="1">
      <c r="A391" s="401"/>
      <c r="B391" s="401"/>
      <c r="C391" s="401"/>
      <c r="D391" s="401"/>
      <c r="E391" s="401"/>
      <c r="F391" s="550"/>
      <c r="G391" s="550"/>
      <c r="H391" s="401"/>
      <c r="I391" s="401"/>
      <c r="J391" s="401"/>
      <c r="K391" s="401"/>
      <c r="L391" s="401"/>
      <c r="M391" s="401"/>
      <c r="N391" s="401"/>
      <c r="O391" s="401"/>
      <c r="P391" s="401"/>
      <c r="Q391" s="401"/>
      <c r="R391" s="401"/>
      <c r="S391" s="401"/>
      <c r="T391" s="401"/>
      <c r="U391" s="401"/>
      <c r="V391" s="401"/>
      <c r="W391" s="592"/>
      <c r="X391" s="401"/>
      <c r="Y391" s="401"/>
      <c r="Z391" s="401"/>
    </row>
    <row r="392" ht="18.75" customHeight="1">
      <c r="A392" s="401"/>
      <c r="B392" s="401"/>
      <c r="C392" s="401"/>
      <c r="D392" s="401"/>
      <c r="E392" s="401"/>
      <c r="F392" s="550"/>
      <c r="G392" s="550"/>
      <c r="H392" s="401"/>
      <c r="I392" s="401"/>
      <c r="J392" s="401"/>
      <c r="K392" s="401"/>
      <c r="L392" s="401"/>
      <c r="M392" s="401"/>
      <c r="N392" s="401"/>
      <c r="O392" s="401"/>
      <c r="P392" s="401"/>
      <c r="Q392" s="401"/>
      <c r="R392" s="401"/>
      <c r="S392" s="401"/>
      <c r="T392" s="401"/>
      <c r="U392" s="401"/>
      <c r="V392" s="401"/>
      <c r="W392" s="592"/>
      <c r="X392" s="401"/>
      <c r="Y392" s="401"/>
      <c r="Z392" s="401"/>
    </row>
    <row r="393" ht="18.75" customHeight="1">
      <c r="A393" s="401"/>
      <c r="B393" s="401"/>
      <c r="C393" s="401"/>
      <c r="D393" s="401"/>
      <c r="E393" s="401"/>
      <c r="F393" s="550"/>
      <c r="G393" s="550"/>
      <c r="H393" s="401"/>
      <c r="I393" s="401"/>
      <c r="J393" s="401"/>
      <c r="K393" s="401"/>
      <c r="L393" s="401"/>
      <c r="M393" s="401"/>
      <c r="N393" s="401"/>
      <c r="O393" s="401"/>
      <c r="P393" s="401"/>
      <c r="Q393" s="401"/>
      <c r="R393" s="401"/>
      <c r="S393" s="401"/>
      <c r="T393" s="401"/>
      <c r="U393" s="401"/>
      <c r="V393" s="401"/>
      <c r="W393" s="592"/>
      <c r="X393" s="401"/>
      <c r="Y393" s="401"/>
      <c r="Z393" s="401"/>
    </row>
    <row r="394" ht="18.75" customHeight="1">
      <c r="A394" s="401"/>
      <c r="B394" s="401"/>
      <c r="C394" s="401"/>
      <c r="D394" s="401"/>
      <c r="E394" s="401"/>
      <c r="F394" s="550"/>
      <c r="G394" s="550"/>
      <c r="H394" s="401"/>
      <c r="I394" s="401"/>
      <c r="J394" s="401"/>
      <c r="K394" s="401"/>
      <c r="L394" s="401"/>
      <c r="M394" s="401"/>
      <c r="N394" s="401"/>
      <c r="O394" s="401"/>
      <c r="P394" s="401"/>
      <c r="Q394" s="401"/>
      <c r="R394" s="401"/>
      <c r="S394" s="401"/>
      <c r="T394" s="401"/>
      <c r="U394" s="401"/>
      <c r="V394" s="401"/>
      <c r="W394" s="592"/>
      <c r="X394" s="401"/>
      <c r="Y394" s="401"/>
      <c r="Z394" s="401"/>
    </row>
    <row r="395" ht="18.75" customHeight="1">
      <c r="A395" s="401"/>
      <c r="B395" s="401"/>
      <c r="C395" s="401"/>
      <c r="D395" s="401"/>
      <c r="E395" s="401"/>
      <c r="F395" s="550"/>
      <c r="G395" s="550"/>
      <c r="H395" s="401"/>
      <c r="I395" s="401"/>
      <c r="J395" s="401"/>
      <c r="K395" s="401"/>
      <c r="L395" s="401"/>
      <c r="M395" s="401"/>
      <c r="N395" s="401"/>
      <c r="O395" s="401"/>
      <c r="P395" s="401"/>
      <c r="Q395" s="401"/>
      <c r="R395" s="401"/>
      <c r="S395" s="401"/>
      <c r="T395" s="401"/>
      <c r="U395" s="401"/>
      <c r="V395" s="401"/>
      <c r="W395" s="592"/>
      <c r="X395" s="401"/>
      <c r="Y395" s="401"/>
      <c r="Z395" s="401"/>
    </row>
    <row r="396" ht="18.75" customHeight="1">
      <c r="A396" s="401"/>
      <c r="B396" s="401"/>
      <c r="C396" s="401"/>
      <c r="D396" s="401"/>
      <c r="E396" s="401"/>
      <c r="F396" s="550"/>
      <c r="G396" s="550"/>
      <c r="H396" s="401"/>
      <c r="I396" s="401"/>
      <c r="J396" s="401"/>
      <c r="K396" s="401"/>
      <c r="L396" s="401"/>
      <c r="M396" s="401"/>
      <c r="N396" s="401"/>
      <c r="O396" s="401"/>
      <c r="P396" s="401"/>
      <c r="Q396" s="401"/>
      <c r="R396" s="401"/>
      <c r="S396" s="401"/>
      <c r="T396" s="401"/>
      <c r="U396" s="401"/>
      <c r="V396" s="401"/>
      <c r="W396" s="592"/>
      <c r="X396" s="401"/>
      <c r="Y396" s="401"/>
      <c r="Z396" s="401"/>
    </row>
    <row r="397" ht="18.75" customHeight="1">
      <c r="A397" s="401"/>
      <c r="B397" s="401"/>
      <c r="C397" s="401"/>
      <c r="D397" s="401"/>
      <c r="E397" s="401"/>
      <c r="F397" s="550"/>
      <c r="G397" s="550"/>
      <c r="H397" s="401"/>
      <c r="I397" s="401"/>
      <c r="J397" s="401"/>
      <c r="K397" s="401"/>
      <c r="L397" s="401"/>
      <c r="M397" s="401"/>
      <c r="N397" s="401"/>
      <c r="O397" s="401"/>
      <c r="P397" s="401"/>
      <c r="Q397" s="401"/>
      <c r="R397" s="401"/>
      <c r="S397" s="401"/>
      <c r="T397" s="401"/>
      <c r="U397" s="401"/>
      <c r="V397" s="401"/>
      <c r="W397" s="592"/>
      <c r="X397" s="401"/>
      <c r="Y397" s="401"/>
      <c r="Z397" s="401"/>
    </row>
    <row r="398" ht="18.75" customHeight="1">
      <c r="A398" s="401"/>
      <c r="B398" s="401"/>
      <c r="C398" s="401"/>
      <c r="D398" s="401"/>
      <c r="E398" s="401"/>
      <c r="F398" s="550"/>
      <c r="G398" s="550"/>
      <c r="H398" s="401"/>
      <c r="I398" s="401"/>
      <c r="J398" s="401"/>
      <c r="K398" s="401"/>
      <c r="L398" s="401"/>
      <c r="M398" s="401"/>
      <c r="N398" s="401"/>
      <c r="O398" s="401"/>
      <c r="P398" s="401"/>
      <c r="Q398" s="401"/>
      <c r="R398" s="401"/>
      <c r="S398" s="401"/>
      <c r="T398" s="401"/>
      <c r="U398" s="401"/>
      <c r="V398" s="401"/>
      <c r="W398" s="592"/>
      <c r="X398" s="401"/>
      <c r="Y398" s="401"/>
      <c r="Z398" s="401"/>
    </row>
    <row r="399" ht="18.75" customHeight="1">
      <c r="A399" s="401"/>
      <c r="B399" s="401"/>
      <c r="C399" s="401"/>
      <c r="D399" s="401"/>
      <c r="E399" s="401"/>
      <c r="F399" s="550"/>
      <c r="G399" s="550"/>
      <c r="H399" s="401"/>
      <c r="I399" s="401"/>
      <c r="J399" s="401"/>
      <c r="K399" s="401"/>
      <c r="L399" s="401"/>
      <c r="M399" s="401"/>
      <c r="N399" s="401"/>
      <c r="O399" s="401"/>
      <c r="P399" s="401"/>
      <c r="Q399" s="401"/>
      <c r="R399" s="401"/>
      <c r="S399" s="401"/>
      <c r="T399" s="401"/>
      <c r="U399" s="401"/>
      <c r="V399" s="401"/>
      <c r="W399" s="592"/>
      <c r="X399" s="401"/>
      <c r="Y399" s="401"/>
      <c r="Z399" s="401"/>
    </row>
    <row r="400" ht="18.75" customHeight="1">
      <c r="A400" s="401"/>
      <c r="B400" s="401"/>
      <c r="C400" s="401"/>
      <c r="D400" s="401"/>
      <c r="E400" s="401"/>
      <c r="F400" s="550"/>
      <c r="G400" s="550"/>
      <c r="H400" s="401"/>
      <c r="I400" s="401"/>
      <c r="J400" s="401"/>
      <c r="K400" s="401"/>
      <c r="L400" s="401"/>
      <c r="M400" s="401"/>
      <c r="N400" s="401"/>
      <c r="O400" s="401"/>
      <c r="P400" s="401"/>
      <c r="Q400" s="401"/>
      <c r="R400" s="401"/>
      <c r="S400" s="401"/>
      <c r="T400" s="401"/>
      <c r="U400" s="401"/>
      <c r="V400" s="401"/>
      <c r="W400" s="592"/>
      <c r="X400" s="401"/>
      <c r="Y400" s="401"/>
      <c r="Z400" s="401"/>
    </row>
    <row r="401" ht="18.75" customHeight="1">
      <c r="A401" s="401"/>
      <c r="B401" s="401"/>
      <c r="C401" s="401"/>
      <c r="D401" s="401"/>
      <c r="E401" s="401"/>
      <c r="F401" s="550"/>
      <c r="G401" s="550"/>
      <c r="H401" s="401"/>
      <c r="I401" s="401"/>
      <c r="J401" s="401"/>
      <c r="K401" s="401"/>
      <c r="L401" s="401"/>
      <c r="M401" s="401"/>
      <c r="N401" s="401"/>
      <c r="O401" s="401"/>
      <c r="P401" s="401"/>
      <c r="Q401" s="401"/>
      <c r="R401" s="401"/>
      <c r="S401" s="401"/>
      <c r="T401" s="401"/>
      <c r="U401" s="401"/>
      <c r="V401" s="401"/>
      <c r="W401" s="592"/>
      <c r="X401" s="401"/>
      <c r="Y401" s="401"/>
      <c r="Z401" s="401"/>
    </row>
    <row r="402" ht="18.75" customHeight="1">
      <c r="A402" s="401"/>
      <c r="B402" s="401"/>
      <c r="C402" s="401"/>
      <c r="D402" s="401"/>
      <c r="E402" s="401"/>
      <c r="F402" s="550"/>
      <c r="G402" s="550"/>
      <c r="H402" s="401"/>
      <c r="I402" s="401"/>
      <c r="J402" s="401"/>
      <c r="K402" s="401"/>
      <c r="L402" s="401"/>
      <c r="M402" s="401"/>
      <c r="N402" s="401"/>
      <c r="O402" s="401"/>
      <c r="P402" s="401"/>
      <c r="Q402" s="401"/>
      <c r="R402" s="401"/>
      <c r="S402" s="401"/>
      <c r="T402" s="401"/>
      <c r="U402" s="401"/>
      <c r="V402" s="401"/>
      <c r="W402" s="592"/>
      <c r="X402" s="401"/>
      <c r="Y402" s="401"/>
      <c r="Z402" s="401"/>
    </row>
    <row r="403" ht="18.75" customHeight="1">
      <c r="A403" s="401"/>
      <c r="B403" s="401"/>
      <c r="C403" s="401"/>
      <c r="D403" s="401"/>
      <c r="E403" s="401"/>
      <c r="F403" s="550"/>
      <c r="G403" s="550"/>
      <c r="H403" s="401"/>
      <c r="I403" s="401"/>
      <c r="J403" s="401"/>
      <c r="K403" s="401"/>
      <c r="L403" s="401"/>
      <c r="M403" s="401"/>
      <c r="N403" s="401"/>
      <c r="O403" s="401"/>
      <c r="P403" s="401"/>
      <c r="Q403" s="401"/>
      <c r="R403" s="401"/>
      <c r="S403" s="401"/>
      <c r="T403" s="401"/>
      <c r="U403" s="401"/>
      <c r="V403" s="401"/>
      <c r="W403" s="592"/>
      <c r="X403" s="401"/>
      <c r="Y403" s="401"/>
      <c r="Z403" s="401"/>
    </row>
    <row r="404" ht="18.75" customHeight="1">
      <c r="A404" s="401"/>
      <c r="B404" s="401"/>
      <c r="C404" s="401"/>
      <c r="D404" s="401"/>
      <c r="E404" s="401"/>
      <c r="F404" s="550"/>
      <c r="G404" s="550"/>
      <c r="H404" s="401"/>
      <c r="I404" s="401"/>
      <c r="J404" s="401"/>
      <c r="K404" s="401"/>
      <c r="L404" s="401"/>
      <c r="M404" s="401"/>
      <c r="N404" s="401"/>
      <c r="O404" s="401"/>
      <c r="P404" s="401"/>
      <c r="Q404" s="401"/>
      <c r="R404" s="401"/>
      <c r="S404" s="401"/>
      <c r="T404" s="401"/>
      <c r="U404" s="401"/>
      <c r="V404" s="401"/>
      <c r="W404" s="592"/>
      <c r="X404" s="401"/>
      <c r="Y404" s="401"/>
      <c r="Z404" s="401"/>
    </row>
    <row r="405" ht="18.75" customHeight="1">
      <c r="A405" s="401"/>
      <c r="B405" s="401"/>
      <c r="C405" s="401"/>
      <c r="D405" s="401"/>
      <c r="E405" s="401"/>
      <c r="F405" s="550"/>
      <c r="G405" s="550"/>
      <c r="H405" s="401"/>
      <c r="I405" s="401"/>
      <c r="J405" s="401"/>
      <c r="K405" s="401"/>
      <c r="L405" s="401"/>
      <c r="M405" s="401"/>
      <c r="N405" s="401"/>
      <c r="O405" s="401"/>
      <c r="P405" s="401"/>
      <c r="Q405" s="401"/>
      <c r="R405" s="401"/>
      <c r="S405" s="401"/>
      <c r="T405" s="401"/>
      <c r="U405" s="401"/>
      <c r="V405" s="401"/>
      <c r="W405" s="592"/>
      <c r="X405" s="401"/>
      <c r="Y405" s="401"/>
      <c r="Z405" s="401"/>
    </row>
    <row r="406" ht="18.75" customHeight="1">
      <c r="A406" s="401"/>
      <c r="B406" s="401"/>
      <c r="C406" s="401"/>
      <c r="D406" s="401"/>
      <c r="E406" s="401"/>
      <c r="F406" s="550"/>
      <c r="G406" s="550"/>
      <c r="H406" s="401"/>
      <c r="I406" s="401"/>
      <c r="J406" s="401"/>
      <c r="K406" s="401"/>
      <c r="L406" s="401"/>
      <c r="M406" s="401"/>
      <c r="N406" s="401"/>
      <c r="O406" s="401"/>
      <c r="P406" s="401"/>
      <c r="Q406" s="401"/>
      <c r="R406" s="401"/>
      <c r="S406" s="401"/>
      <c r="T406" s="401"/>
      <c r="U406" s="401"/>
      <c r="V406" s="401"/>
      <c r="W406" s="592"/>
      <c r="X406" s="401"/>
      <c r="Y406" s="401"/>
      <c r="Z406" s="401"/>
    </row>
    <row r="407" ht="18.75" customHeight="1">
      <c r="A407" s="401"/>
      <c r="B407" s="401"/>
      <c r="C407" s="401"/>
      <c r="D407" s="401"/>
      <c r="E407" s="401"/>
      <c r="F407" s="550"/>
      <c r="G407" s="550"/>
      <c r="H407" s="401"/>
      <c r="I407" s="401"/>
      <c r="J407" s="401"/>
      <c r="K407" s="401"/>
      <c r="L407" s="401"/>
      <c r="M407" s="401"/>
      <c r="N407" s="401"/>
      <c r="O407" s="401"/>
      <c r="P407" s="401"/>
      <c r="Q407" s="401"/>
      <c r="R407" s="401"/>
      <c r="S407" s="401"/>
      <c r="T407" s="401"/>
      <c r="U407" s="401"/>
      <c r="V407" s="401"/>
      <c r="W407" s="592"/>
      <c r="X407" s="401"/>
      <c r="Y407" s="401"/>
      <c r="Z407" s="401"/>
    </row>
    <row r="408" ht="18.75" customHeight="1">
      <c r="A408" s="401"/>
      <c r="B408" s="401"/>
      <c r="C408" s="401"/>
      <c r="D408" s="401"/>
      <c r="E408" s="401"/>
      <c r="F408" s="550"/>
      <c r="G408" s="550"/>
      <c r="H408" s="401"/>
      <c r="I408" s="401"/>
      <c r="J408" s="401"/>
      <c r="K408" s="401"/>
      <c r="L408" s="401"/>
      <c r="M408" s="401"/>
      <c r="N408" s="401"/>
      <c r="O408" s="401"/>
      <c r="P408" s="401"/>
      <c r="Q408" s="401"/>
      <c r="R408" s="401"/>
      <c r="S408" s="401"/>
      <c r="T408" s="401"/>
      <c r="U408" s="401"/>
      <c r="V408" s="401"/>
      <c r="W408" s="592"/>
      <c r="X408" s="401"/>
      <c r="Y408" s="401"/>
      <c r="Z408" s="401"/>
    </row>
    <row r="409" ht="18.75" customHeight="1">
      <c r="A409" s="401"/>
      <c r="B409" s="401"/>
      <c r="C409" s="401"/>
      <c r="D409" s="401"/>
      <c r="E409" s="401"/>
      <c r="F409" s="550"/>
      <c r="G409" s="550"/>
      <c r="H409" s="401"/>
      <c r="I409" s="401"/>
      <c r="J409" s="401"/>
      <c r="K409" s="401"/>
      <c r="L409" s="401"/>
      <c r="M409" s="401"/>
      <c r="N409" s="401"/>
      <c r="O409" s="401"/>
      <c r="P409" s="401"/>
      <c r="Q409" s="401"/>
      <c r="R409" s="401"/>
      <c r="S409" s="401"/>
      <c r="T409" s="401"/>
      <c r="U409" s="401"/>
      <c r="V409" s="401"/>
      <c r="W409" s="592"/>
      <c r="X409" s="401"/>
      <c r="Y409" s="401"/>
      <c r="Z409" s="401"/>
    </row>
    <row r="410" ht="18.75" customHeight="1">
      <c r="A410" s="401"/>
      <c r="B410" s="401"/>
      <c r="C410" s="401"/>
      <c r="D410" s="401"/>
      <c r="E410" s="401"/>
      <c r="F410" s="550"/>
      <c r="G410" s="550"/>
      <c r="H410" s="401"/>
      <c r="I410" s="401"/>
      <c r="J410" s="401"/>
      <c r="K410" s="401"/>
      <c r="L410" s="401"/>
      <c r="M410" s="401"/>
      <c r="N410" s="401"/>
      <c r="O410" s="401"/>
      <c r="P410" s="401"/>
      <c r="Q410" s="401"/>
      <c r="R410" s="401"/>
      <c r="S410" s="401"/>
      <c r="T410" s="401"/>
      <c r="U410" s="401"/>
      <c r="V410" s="401"/>
      <c r="W410" s="592"/>
      <c r="X410" s="401"/>
      <c r="Y410" s="401"/>
      <c r="Z410" s="401"/>
    </row>
    <row r="411" ht="18.75" customHeight="1">
      <c r="A411" s="401"/>
      <c r="B411" s="401"/>
      <c r="C411" s="401"/>
      <c r="D411" s="401"/>
      <c r="E411" s="401"/>
      <c r="F411" s="550"/>
      <c r="G411" s="550"/>
      <c r="H411" s="401"/>
      <c r="I411" s="401"/>
      <c r="J411" s="401"/>
      <c r="K411" s="401"/>
      <c r="L411" s="401"/>
      <c r="M411" s="401"/>
      <c r="N411" s="401"/>
      <c r="O411" s="401"/>
      <c r="P411" s="401"/>
      <c r="Q411" s="401"/>
      <c r="R411" s="401"/>
      <c r="S411" s="401"/>
      <c r="T411" s="401"/>
      <c r="U411" s="401"/>
      <c r="V411" s="401"/>
      <c r="W411" s="592"/>
      <c r="X411" s="401"/>
      <c r="Y411" s="401"/>
      <c r="Z411" s="401"/>
    </row>
    <row r="412" ht="18.75" customHeight="1">
      <c r="A412" s="401"/>
      <c r="B412" s="401"/>
      <c r="C412" s="401"/>
      <c r="D412" s="401"/>
      <c r="E412" s="401"/>
      <c r="F412" s="550"/>
      <c r="G412" s="550"/>
      <c r="H412" s="401"/>
      <c r="I412" s="401"/>
      <c r="J412" s="401"/>
      <c r="K412" s="401"/>
      <c r="L412" s="401"/>
      <c r="M412" s="401"/>
      <c r="N412" s="401"/>
      <c r="O412" s="401"/>
      <c r="P412" s="401"/>
      <c r="Q412" s="401"/>
      <c r="R412" s="401"/>
      <c r="S412" s="401"/>
      <c r="T412" s="401"/>
      <c r="U412" s="401"/>
      <c r="V412" s="401"/>
      <c r="W412" s="592"/>
      <c r="X412" s="401"/>
      <c r="Y412" s="401"/>
      <c r="Z412" s="401"/>
    </row>
    <row r="413" ht="18.75" customHeight="1">
      <c r="A413" s="401"/>
      <c r="B413" s="401"/>
      <c r="C413" s="401"/>
      <c r="D413" s="401"/>
      <c r="E413" s="401"/>
      <c r="F413" s="550"/>
      <c r="G413" s="550"/>
      <c r="H413" s="401"/>
      <c r="I413" s="401"/>
      <c r="J413" s="401"/>
      <c r="K413" s="401"/>
      <c r="L413" s="401"/>
      <c r="M413" s="401"/>
      <c r="N413" s="401"/>
      <c r="O413" s="401"/>
      <c r="P413" s="401"/>
      <c r="Q413" s="401"/>
      <c r="R413" s="401"/>
      <c r="S413" s="401"/>
      <c r="T413" s="401"/>
      <c r="U413" s="401"/>
      <c r="V413" s="401"/>
      <c r="W413" s="592"/>
      <c r="X413" s="401"/>
      <c r="Y413" s="401"/>
      <c r="Z413" s="401"/>
    </row>
    <row r="414" ht="18.75" customHeight="1">
      <c r="A414" s="401"/>
      <c r="B414" s="401"/>
      <c r="C414" s="401"/>
      <c r="D414" s="401"/>
      <c r="E414" s="401"/>
      <c r="F414" s="550"/>
      <c r="G414" s="550"/>
      <c r="H414" s="401"/>
      <c r="I414" s="401"/>
      <c r="J414" s="401"/>
      <c r="K414" s="401"/>
      <c r="L414" s="401"/>
      <c r="M414" s="401"/>
      <c r="N414" s="401"/>
      <c r="O414" s="401"/>
      <c r="P414" s="401"/>
      <c r="Q414" s="401"/>
      <c r="R414" s="401"/>
      <c r="S414" s="401"/>
      <c r="T414" s="401"/>
      <c r="U414" s="401"/>
      <c r="V414" s="401"/>
      <c r="W414" s="592"/>
      <c r="X414" s="401"/>
      <c r="Y414" s="401"/>
      <c r="Z414" s="401"/>
    </row>
    <row r="415" ht="18.75" customHeight="1">
      <c r="A415" s="401"/>
      <c r="B415" s="401"/>
      <c r="C415" s="401"/>
      <c r="D415" s="401"/>
      <c r="E415" s="401"/>
      <c r="F415" s="550"/>
      <c r="G415" s="550"/>
      <c r="H415" s="401"/>
      <c r="I415" s="401"/>
      <c r="J415" s="401"/>
      <c r="K415" s="401"/>
      <c r="L415" s="401"/>
      <c r="M415" s="401"/>
      <c r="N415" s="401"/>
      <c r="O415" s="401"/>
      <c r="P415" s="401"/>
      <c r="Q415" s="401"/>
      <c r="R415" s="401"/>
      <c r="S415" s="401"/>
      <c r="T415" s="401"/>
      <c r="U415" s="401"/>
      <c r="V415" s="401"/>
      <c r="W415" s="592"/>
      <c r="X415" s="401"/>
      <c r="Y415" s="401"/>
      <c r="Z415" s="401"/>
    </row>
    <row r="416" ht="18.75" customHeight="1">
      <c r="A416" s="401"/>
      <c r="B416" s="401"/>
      <c r="C416" s="401"/>
      <c r="D416" s="401"/>
      <c r="E416" s="401"/>
      <c r="F416" s="550"/>
      <c r="G416" s="550"/>
      <c r="H416" s="401"/>
      <c r="I416" s="401"/>
      <c r="J416" s="401"/>
      <c r="K416" s="401"/>
      <c r="L416" s="401"/>
      <c r="M416" s="401"/>
      <c r="N416" s="401"/>
      <c r="O416" s="401"/>
      <c r="P416" s="401"/>
      <c r="Q416" s="401"/>
      <c r="R416" s="401"/>
      <c r="S416" s="401"/>
      <c r="T416" s="401"/>
      <c r="U416" s="401"/>
      <c r="V416" s="401"/>
      <c r="W416" s="592"/>
      <c r="X416" s="401"/>
      <c r="Y416" s="401"/>
      <c r="Z416" s="401"/>
    </row>
    <row r="417" ht="18.75" customHeight="1">
      <c r="A417" s="401"/>
      <c r="B417" s="401"/>
      <c r="C417" s="401"/>
      <c r="D417" s="401"/>
      <c r="E417" s="401"/>
      <c r="F417" s="550"/>
      <c r="G417" s="550"/>
      <c r="H417" s="401"/>
      <c r="I417" s="401"/>
      <c r="J417" s="401"/>
      <c r="K417" s="401"/>
      <c r="L417" s="401"/>
      <c r="M417" s="401"/>
      <c r="N417" s="401"/>
      <c r="O417" s="401"/>
      <c r="P417" s="401"/>
      <c r="Q417" s="401"/>
      <c r="R417" s="401"/>
      <c r="S417" s="401"/>
      <c r="T417" s="401"/>
      <c r="U417" s="401"/>
      <c r="V417" s="401"/>
      <c r="W417" s="592"/>
      <c r="X417" s="401"/>
      <c r="Y417" s="401"/>
      <c r="Z417" s="401"/>
    </row>
    <row r="418" ht="18.75" customHeight="1">
      <c r="A418" s="401"/>
      <c r="B418" s="401"/>
      <c r="C418" s="401"/>
      <c r="D418" s="401"/>
      <c r="E418" s="401"/>
      <c r="F418" s="550"/>
      <c r="G418" s="550"/>
      <c r="H418" s="401"/>
      <c r="I418" s="401"/>
      <c r="J418" s="401"/>
      <c r="K418" s="401"/>
      <c r="L418" s="401"/>
      <c r="M418" s="401"/>
      <c r="N418" s="401"/>
      <c r="O418" s="401"/>
      <c r="P418" s="401"/>
      <c r="Q418" s="401"/>
      <c r="R418" s="401"/>
      <c r="S418" s="401"/>
      <c r="T418" s="401"/>
      <c r="U418" s="401"/>
      <c r="V418" s="401"/>
      <c r="W418" s="592"/>
      <c r="X418" s="401"/>
      <c r="Y418" s="401"/>
      <c r="Z418" s="401"/>
    </row>
    <row r="419" ht="18.75" customHeight="1">
      <c r="A419" s="401"/>
      <c r="B419" s="401"/>
      <c r="C419" s="401"/>
      <c r="D419" s="401"/>
      <c r="E419" s="401"/>
      <c r="F419" s="550"/>
      <c r="G419" s="550"/>
      <c r="H419" s="401"/>
      <c r="I419" s="401"/>
      <c r="J419" s="401"/>
      <c r="K419" s="401"/>
      <c r="L419" s="401"/>
      <c r="M419" s="401"/>
      <c r="N419" s="401"/>
      <c r="O419" s="401"/>
      <c r="P419" s="401"/>
      <c r="Q419" s="401"/>
      <c r="R419" s="401"/>
      <c r="S419" s="401"/>
      <c r="T419" s="401"/>
      <c r="U419" s="401"/>
      <c r="V419" s="401"/>
      <c r="W419" s="592"/>
      <c r="X419" s="401"/>
      <c r="Y419" s="401"/>
      <c r="Z419" s="401"/>
    </row>
    <row r="420" ht="18.75" customHeight="1">
      <c r="A420" s="401"/>
      <c r="B420" s="401"/>
      <c r="C420" s="401"/>
      <c r="D420" s="401"/>
      <c r="E420" s="401"/>
      <c r="F420" s="550"/>
      <c r="G420" s="550"/>
      <c r="H420" s="401"/>
      <c r="I420" s="401"/>
      <c r="J420" s="401"/>
      <c r="K420" s="401"/>
      <c r="L420" s="401"/>
      <c r="M420" s="401"/>
      <c r="N420" s="401"/>
      <c r="O420" s="401"/>
      <c r="P420" s="401"/>
      <c r="Q420" s="401"/>
      <c r="R420" s="401"/>
      <c r="S420" s="401"/>
      <c r="T420" s="401"/>
      <c r="U420" s="401"/>
      <c r="V420" s="401"/>
      <c r="W420" s="592"/>
      <c r="X420" s="401"/>
      <c r="Y420" s="401"/>
      <c r="Z420" s="401"/>
    </row>
    <row r="421" ht="18.75" customHeight="1">
      <c r="A421" s="401"/>
      <c r="B421" s="401"/>
      <c r="C421" s="401"/>
      <c r="D421" s="401"/>
      <c r="E421" s="401"/>
      <c r="F421" s="550"/>
      <c r="G421" s="550"/>
      <c r="H421" s="401"/>
      <c r="I421" s="401"/>
      <c r="J421" s="401"/>
      <c r="K421" s="401"/>
      <c r="L421" s="401"/>
      <c r="M421" s="401"/>
      <c r="N421" s="401"/>
      <c r="O421" s="401"/>
      <c r="P421" s="401"/>
      <c r="Q421" s="401"/>
      <c r="R421" s="401"/>
      <c r="S421" s="401"/>
      <c r="T421" s="401"/>
      <c r="U421" s="401"/>
      <c r="V421" s="401"/>
      <c r="W421" s="592"/>
      <c r="X421" s="401"/>
      <c r="Y421" s="401"/>
      <c r="Z421" s="401"/>
    </row>
    <row r="422" ht="18.75" customHeight="1">
      <c r="A422" s="401"/>
      <c r="B422" s="401"/>
      <c r="C422" s="401"/>
      <c r="D422" s="401"/>
      <c r="E422" s="401"/>
      <c r="F422" s="550"/>
      <c r="G422" s="550"/>
      <c r="H422" s="401"/>
      <c r="I422" s="401"/>
      <c r="J422" s="401"/>
      <c r="K422" s="401"/>
      <c r="L422" s="401"/>
      <c r="M422" s="401"/>
      <c r="N422" s="401"/>
      <c r="O422" s="401"/>
      <c r="P422" s="401"/>
      <c r="Q422" s="401"/>
      <c r="R422" s="401"/>
      <c r="S422" s="401"/>
      <c r="T422" s="401"/>
      <c r="U422" s="401"/>
      <c r="V422" s="401"/>
      <c r="W422" s="592"/>
      <c r="X422" s="401"/>
      <c r="Y422" s="401"/>
      <c r="Z422" s="401"/>
    </row>
    <row r="423" ht="18.75" customHeight="1">
      <c r="A423" s="401"/>
      <c r="B423" s="401"/>
      <c r="C423" s="401"/>
      <c r="D423" s="401"/>
      <c r="E423" s="401"/>
      <c r="F423" s="550"/>
      <c r="G423" s="550"/>
      <c r="H423" s="401"/>
      <c r="I423" s="401"/>
      <c r="J423" s="401"/>
      <c r="K423" s="401"/>
      <c r="L423" s="401"/>
      <c r="M423" s="401"/>
      <c r="N423" s="401"/>
      <c r="O423" s="401"/>
      <c r="P423" s="401"/>
      <c r="Q423" s="401"/>
      <c r="R423" s="401"/>
      <c r="S423" s="401"/>
      <c r="T423" s="401"/>
      <c r="U423" s="401"/>
      <c r="V423" s="401"/>
      <c r="W423" s="592"/>
      <c r="X423" s="401"/>
      <c r="Y423" s="401"/>
      <c r="Z423" s="401"/>
    </row>
    <row r="424" ht="18.75" customHeight="1">
      <c r="A424" s="401"/>
      <c r="B424" s="401"/>
      <c r="C424" s="401"/>
      <c r="D424" s="401"/>
      <c r="E424" s="401"/>
      <c r="F424" s="550"/>
      <c r="G424" s="550"/>
      <c r="H424" s="401"/>
      <c r="I424" s="401"/>
      <c r="J424" s="401"/>
      <c r="K424" s="401"/>
      <c r="L424" s="401"/>
      <c r="M424" s="401"/>
      <c r="N424" s="401"/>
      <c r="O424" s="401"/>
      <c r="P424" s="401"/>
      <c r="Q424" s="401"/>
      <c r="R424" s="401"/>
      <c r="S424" s="401"/>
      <c r="T424" s="401"/>
      <c r="U424" s="401"/>
      <c r="V424" s="401"/>
      <c r="W424" s="592"/>
      <c r="X424" s="401"/>
      <c r="Y424" s="401"/>
      <c r="Z424" s="401"/>
    </row>
    <row r="425" ht="18.75" customHeight="1">
      <c r="A425" s="401"/>
      <c r="B425" s="401"/>
      <c r="C425" s="401"/>
      <c r="D425" s="401"/>
      <c r="E425" s="401"/>
      <c r="F425" s="550"/>
      <c r="G425" s="550"/>
      <c r="H425" s="401"/>
      <c r="I425" s="401"/>
      <c r="J425" s="401"/>
      <c r="K425" s="401"/>
      <c r="L425" s="401"/>
      <c r="M425" s="401"/>
      <c r="N425" s="401"/>
      <c r="O425" s="401"/>
      <c r="P425" s="401"/>
      <c r="Q425" s="401"/>
      <c r="R425" s="401"/>
      <c r="S425" s="401"/>
      <c r="T425" s="401"/>
      <c r="U425" s="401"/>
      <c r="V425" s="401"/>
      <c r="W425" s="592"/>
      <c r="X425" s="401"/>
      <c r="Y425" s="401"/>
      <c r="Z425" s="401"/>
    </row>
    <row r="426" ht="18.75" customHeight="1">
      <c r="A426" s="401"/>
      <c r="B426" s="401"/>
      <c r="C426" s="401"/>
      <c r="D426" s="401"/>
      <c r="E426" s="401"/>
      <c r="F426" s="550"/>
      <c r="G426" s="550"/>
      <c r="H426" s="401"/>
      <c r="I426" s="401"/>
      <c r="J426" s="401"/>
      <c r="K426" s="401"/>
      <c r="L426" s="401"/>
      <c r="M426" s="401"/>
      <c r="N426" s="401"/>
      <c r="O426" s="401"/>
      <c r="P426" s="401"/>
      <c r="Q426" s="401"/>
      <c r="R426" s="401"/>
      <c r="S426" s="401"/>
      <c r="T426" s="401"/>
      <c r="U426" s="401"/>
      <c r="V426" s="401"/>
      <c r="W426" s="592"/>
      <c r="X426" s="401"/>
      <c r="Y426" s="401"/>
      <c r="Z426" s="401"/>
    </row>
    <row r="427" ht="18.75" customHeight="1">
      <c r="A427" s="401"/>
      <c r="B427" s="401"/>
      <c r="C427" s="401"/>
      <c r="D427" s="401"/>
      <c r="E427" s="401"/>
      <c r="F427" s="550"/>
      <c r="G427" s="550"/>
      <c r="H427" s="401"/>
      <c r="I427" s="401"/>
      <c r="J427" s="401"/>
      <c r="K427" s="401"/>
      <c r="L427" s="401"/>
      <c r="M427" s="401"/>
      <c r="N427" s="401"/>
      <c r="O427" s="401"/>
      <c r="P427" s="401"/>
      <c r="Q427" s="401"/>
      <c r="R427" s="401"/>
      <c r="S427" s="401"/>
      <c r="T427" s="401"/>
      <c r="U427" s="401"/>
      <c r="V427" s="401"/>
      <c r="W427" s="592"/>
      <c r="X427" s="401"/>
      <c r="Y427" s="401"/>
      <c r="Z427" s="401"/>
    </row>
    <row r="428" ht="18.75" customHeight="1">
      <c r="A428" s="401"/>
      <c r="B428" s="401"/>
      <c r="C428" s="401"/>
      <c r="D428" s="401"/>
      <c r="E428" s="401"/>
      <c r="F428" s="550"/>
      <c r="G428" s="550"/>
      <c r="H428" s="401"/>
      <c r="I428" s="401"/>
      <c r="J428" s="401"/>
      <c r="K428" s="401"/>
      <c r="L428" s="401"/>
      <c r="M428" s="401"/>
      <c r="N428" s="401"/>
      <c r="O428" s="401"/>
      <c r="P428" s="401"/>
      <c r="Q428" s="401"/>
      <c r="R428" s="401"/>
      <c r="S428" s="401"/>
      <c r="T428" s="401"/>
      <c r="U428" s="401"/>
      <c r="V428" s="401"/>
      <c r="W428" s="592"/>
      <c r="X428" s="401"/>
      <c r="Y428" s="401"/>
      <c r="Z428" s="401"/>
    </row>
    <row r="429" ht="18.75" customHeight="1">
      <c r="A429" s="401"/>
      <c r="B429" s="401"/>
      <c r="C429" s="401"/>
      <c r="D429" s="401"/>
      <c r="E429" s="401"/>
      <c r="F429" s="550"/>
      <c r="G429" s="550"/>
      <c r="H429" s="401"/>
      <c r="I429" s="401"/>
      <c r="J429" s="401"/>
      <c r="K429" s="401"/>
      <c r="L429" s="401"/>
      <c r="M429" s="401"/>
      <c r="N429" s="401"/>
      <c r="O429" s="401"/>
      <c r="P429" s="401"/>
      <c r="Q429" s="401"/>
      <c r="R429" s="401"/>
      <c r="S429" s="401"/>
      <c r="T429" s="401"/>
      <c r="U429" s="401"/>
      <c r="V429" s="401"/>
      <c r="W429" s="592"/>
      <c r="X429" s="401"/>
      <c r="Y429" s="401"/>
      <c r="Z429" s="401"/>
    </row>
    <row r="430" ht="18.75" customHeight="1">
      <c r="A430" s="401"/>
      <c r="B430" s="401"/>
      <c r="C430" s="401"/>
      <c r="D430" s="401"/>
      <c r="E430" s="401"/>
      <c r="F430" s="550"/>
      <c r="G430" s="550"/>
      <c r="H430" s="401"/>
      <c r="I430" s="401"/>
      <c r="J430" s="401"/>
      <c r="K430" s="401"/>
      <c r="L430" s="401"/>
      <c r="M430" s="401"/>
      <c r="N430" s="401"/>
      <c r="O430" s="401"/>
      <c r="P430" s="401"/>
      <c r="Q430" s="401"/>
      <c r="R430" s="401"/>
      <c r="S430" s="401"/>
      <c r="T430" s="401"/>
      <c r="U430" s="401"/>
      <c r="V430" s="401"/>
      <c r="W430" s="592"/>
      <c r="X430" s="401"/>
      <c r="Y430" s="401"/>
      <c r="Z430" s="401"/>
    </row>
    <row r="431" ht="18.75" customHeight="1">
      <c r="A431" s="401"/>
      <c r="B431" s="401"/>
      <c r="C431" s="401"/>
      <c r="D431" s="401"/>
      <c r="E431" s="401"/>
      <c r="F431" s="550"/>
      <c r="G431" s="550"/>
      <c r="H431" s="401"/>
      <c r="I431" s="401"/>
      <c r="J431" s="401"/>
      <c r="K431" s="401"/>
      <c r="L431" s="401"/>
      <c r="M431" s="401"/>
      <c r="N431" s="401"/>
      <c r="O431" s="401"/>
      <c r="P431" s="401"/>
      <c r="Q431" s="401"/>
      <c r="R431" s="401"/>
      <c r="S431" s="401"/>
      <c r="T431" s="401"/>
      <c r="U431" s="401"/>
      <c r="V431" s="401"/>
      <c r="W431" s="592"/>
      <c r="X431" s="401"/>
      <c r="Y431" s="401"/>
      <c r="Z431" s="401"/>
    </row>
    <row r="432" ht="18.75" customHeight="1">
      <c r="A432" s="401"/>
      <c r="B432" s="401"/>
      <c r="C432" s="401"/>
      <c r="D432" s="401"/>
      <c r="E432" s="401"/>
      <c r="F432" s="550"/>
      <c r="G432" s="550"/>
      <c r="H432" s="401"/>
      <c r="I432" s="401"/>
      <c r="J432" s="401"/>
      <c r="K432" s="401"/>
      <c r="L432" s="401"/>
      <c r="M432" s="401"/>
      <c r="N432" s="401"/>
      <c r="O432" s="401"/>
      <c r="P432" s="401"/>
      <c r="Q432" s="401"/>
      <c r="R432" s="401"/>
      <c r="S432" s="401"/>
      <c r="T432" s="401"/>
      <c r="U432" s="401"/>
      <c r="V432" s="401"/>
      <c r="W432" s="592"/>
      <c r="X432" s="401"/>
      <c r="Y432" s="401"/>
      <c r="Z432" s="401"/>
    </row>
    <row r="433" ht="18.75" customHeight="1">
      <c r="A433" s="401"/>
      <c r="B433" s="401"/>
      <c r="C433" s="401"/>
      <c r="D433" s="401"/>
      <c r="E433" s="401"/>
      <c r="F433" s="550"/>
      <c r="G433" s="550"/>
      <c r="H433" s="401"/>
      <c r="I433" s="401"/>
      <c r="J433" s="401"/>
      <c r="K433" s="401"/>
      <c r="L433" s="401"/>
      <c r="M433" s="401"/>
      <c r="N433" s="401"/>
      <c r="O433" s="401"/>
      <c r="P433" s="401"/>
      <c r="Q433" s="401"/>
      <c r="R433" s="401"/>
      <c r="S433" s="401"/>
      <c r="T433" s="401"/>
      <c r="U433" s="401"/>
      <c r="V433" s="401"/>
      <c r="W433" s="592"/>
      <c r="X433" s="401"/>
      <c r="Y433" s="401"/>
      <c r="Z433" s="401"/>
    </row>
    <row r="434" ht="18.75" customHeight="1">
      <c r="A434" s="401"/>
      <c r="B434" s="401"/>
      <c r="C434" s="401"/>
      <c r="D434" s="401"/>
      <c r="E434" s="401"/>
      <c r="F434" s="550"/>
      <c r="G434" s="550"/>
      <c r="H434" s="401"/>
      <c r="I434" s="401"/>
      <c r="J434" s="401"/>
      <c r="K434" s="401"/>
      <c r="L434" s="401"/>
      <c r="M434" s="401"/>
      <c r="N434" s="401"/>
      <c r="O434" s="401"/>
      <c r="P434" s="401"/>
      <c r="Q434" s="401"/>
      <c r="R434" s="401"/>
      <c r="S434" s="401"/>
      <c r="T434" s="401"/>
      <c r="U434" s="401"/>
      <c r="V434" s="401"/>
      <c r="W434" s="592"/>
      <c r="X434" s="401"/>
      <c r="Y434" s="401"/>
      <c r="Z434" s="401"/>
    </row>
    <row r="435" ht="18.75" customHeight="1">
      <c r="A435" s="401"/>
      <c r="B435" s="401"/>
      <c r="C435" s="401"/>
      <c r="D435" s="401"/>
      <c r="E435" s="401"/>
      <c r="F435" s="550"/>
      <c r="G435" s="550"/>
      <c r="H435" s="401"/>
      <c r="I435" s="401"/>
      <c r="J435" s="401"/>
      <c r="K435" s="401"/>
      <c r="L435" s="401"/>
      <c r="M435" s="401"/>
      <c r="N435" s="401"/>
      <c r="O435" s="401"/>
      <c r="P435" s="401"/>
      <c r="Q435" s="401"/>
      <c r="R435" s="401"/>
      <c r="S435" s="401"/>
      <c r="T435" s="401"/>
      <c r="U435" s="401"/>
      <c r="V435" s="401"/>
      <c r="W435" s="592"/>
      <c r="X435" s="401"/>
      <c r="Y435" s="401"/>
      <c r="Z435" s="401"/>
    </row>
    <row r="436" ht="18.75" customHeight="1">
      <c r="A436" s="401"/>
      <c r="B436" s="401"/>
      <c r="C436" s="401"/>
      <c r="D436" s="401"/>
      <c r="E436" s="401"/>
      <c r="F436" s="550"/>
      <c r="G436" s="550"/>
      <c r="H436" s="401"/>
      <c r="I436" s="401"/>
      <c r="J436" s="401"/>
      <c r="K436" s="401"/>
      <c r="L436" s="401"/>
      <c r="M436" s="401"/>
      <c r="N436" s="401"/>
      <c r="O436" s="401"/>
      <c r="P436" s="401"/>
      <c r="Q436" s="401"/>
      <c r="R436" s="401"/>
      <c r="S436" s="401"/>
      <c r="T436" s="401"/>
      <c r="U436" s="401"/>
      <c r="V436" s="401"/>
      <c r="W436" s="592"/>
      <c r="X436" s="401"/>
      <c r="Y436" s="401"/>
      <c r="Z436" s="401"/>
    </row>
    <row r="437" ht="18.75" customHeight="1">
      <c r="A437" s="401"/>
      <c r="B437" s="401"/>
      <c r="C437" s="401"/>
      <c r="D437" s="401"/>
      <c r="E437" s="401"/>
      <c r="F437" s="550"/>
      <c r="G437" s="550"/>
      <c r="H437" s="401"/>
      <c r="I437" s="401"/>
      <c r="J437" s="401"/>
      <c r="K437" s="401"/>
      <c r="L437" s="401"/>
      <c r="M437" s="401"/>
      <c r="N437" s="401"/>
      <c r="O437" s="401"/>
      <c r="P437" s="401"/>
      <c r="Q437" s="401"/>
      <c r="R437" s="401"/>
      <c r="S437" s="401"/>
      <c r="T437" s="401"/>
      <c r="U437" s="401"/>
      <c r="V437" s="401"/>
      <c r="W437" s="592"/>
      <c r="X437" s="401"/>
      <c r="Y437" s="401"/>
      <c r="Z437" s="401"/>
    </row>
    <row r="438" ht="18.75" customHeight="1">
      <c r="A438" s="401"/>
      <c r="B438" s="401"/>
      <c r="C438" s="401"/>
      <c r="D438" s="401"/>
      <c r="E438" s="401"/>
      <c r="F438" s="550"/>
      <c r="G438" s="550"/>
      <c r="H438" s="401"/>
      <c r="I438" s="401"/>
      <c r="J438" s="401"/>
      <c r="K438" s="401"/>
      <c r="L438" s="401"/>
      <c r="M438" s="401"/>
      <c r="N438" s="401"/>
      <c r="O438" s="401"/>
      <c r="P438" s="401"/>
      <c r="Q438" s="401"/>
      <c r="R438" s="401"/>
      <c r="S438" s="401"/>
      <c r="T438" s="401"/>
      <c r="U438" s="401"/>
      <c r="V438" s="401"/>
      <c r="W438" s="592"/>
      <c r="X438" s="401"/>
      <c r="Y438" s="401"/>
      <c r="Z438" s="401"/>
    </row>
    <row r="439" ht="18.75" customHeight="1">
      <c r="A439" s="401"/>
      <c r="B439" s="401"/>
      <c r="C439" s="401"/>
      <c r="D439" s="401"/>
      <c r="E439" s="401"/>
      <c r="F439" s="550"/>
      <c r="G439" s="550"/>
      <c r="H439" s="401"/>
      <c r="I439" s="401"/>
      <c r="J439" s="401"/>
      <c r="K439" s="401"/>
      <c r="L439" s="401"/>
      <c r="M439" s="401"/>
      <c r="N439" s="401"/>
      <c r="O439" s="401"/>
      <c r="P439" s="401"/>
      <c r="Q439" s="401"/>
      <c r="R439" s="401"/>
      <c r="S439" s="401"/>
      <c r="T439" s="401"/>
      <c r="U439" s="401"/>
      <c r="V439" s="401"/>
      <c r="W439" s="592"/>
      <c r="X439" s="401"/>
      <c r="Y439" s="401"/>
      <c r="Z439" s="401"/>
    </row>
    <row r="440" ht="18.75" customHeight="1">
      <c r="A440" s="401"/>
      <c r="B440" s="401"/>
      <c r="C440" s="401"/>
      <c r="D440" s="401"/>
      <c r="E440" s="401"/>
      <c r="F440" s="550"/>
      <c r="G440" s="550"/>
      <c r="H440" s="401"/>
      <c r="I440" s="401"/>
      <c r="J440" s="401"/>
      <c r="K440" s="401"/>
      <c r="L440" s="401"/>
      <c r="M440" s="401"/>
      <c r="N440" s="401"/>
      <c r="O440" s="401"/>
      <c r="P440" s="401"/>
      <c r="Q440" s="401"/>
      <c r="R440" s="401"/>
      <c r="S440" s="401"/>
      <c r="T440" s="401"/>
      <c r="U440" s="401"/>
      <c r="V440" s="401"/>
      <c r="W440" s="592"/>
      <c r="X440" s="401"/>
      <c r="Y440" s="401"/>
      <c r="Z440" s="401"/>
    </row>
    <row r="441" ht="18.75" customHeight="1">
      <c r="A441" s="401"/>
      <c r="B441" s="401"/>
      <c r="C441" s="401"/>
      <c r="D441" s="401"/>
      <c r="E441" s="401"/>
      <c r="F441" s="550"/>
      <c r="G441" s="550"/>
      <c r="H441" s="401"/>
      <c r="I441" s="401"/>
      <c r="J441" s="401"/>
      <c r="K441" s="401"/>
      <c r="L441" s="401"/>
      <c r="M441" s="401"/>
      <c r="N441" s="401"/>
      <c r="O441" s="401"/>
      <c r="P441" s="401"/>
      <c r="Q441" s="401"/>
      <c r="R441" s="401"/>
      <c r="S441" s="401"/>
      <c r="T441" s="401"/>
      <c r="U441" s="401"/>
      <c r="V441" s="401"/>
      <c r="W441" s="592"/>
      <c r="X441" s="401"/>
      <c r="Y441" s="401"/>
      <c r="Z441" s="401"/>
    </row>
    <row r="442" ht="18.75" customHeight="1">
      <c r="A442" s="401"/>
      <c r="B442" s="401"/>
      <c r="C442" s="401"/>
      <c r="D442" s="401"/>
      <c r="E442" s="401"/>
      <c r="F442" s="550"/>
      <c r="G442" s="550"/>
      <c r="H442" s="401"/>
      <c r="I442" s="401"/>
      <c r="J442" s="401"/>
      <c r="K442" s="401"/>
      <c r="L442" s="401"/>
      <c r="M442" s="401"/>
      <c r="N442" s="401"/>
      <c r="O442" s="401"/>
      <c r="P442" s="401"/>
      <c r="Q442" s="401"/>
      <c r="R442" s="401"/>
      <c r="S442" s="401"/>
      <c r="T442" s="401"/>
      <c r="U442" s="401"/>
      <c r="V442" s="401"/>
      <c r="W442" s="592"/>
      <c r="X442" s="401"/>
      <c r="Y442" s="401"/>
      <c r="Z442" s="401"/>
    </row>
    <row r="443" ht="18.75" customHeight="1">
      <c r="A443" s="401"/>
      <c r="B443" s="401"/>
      <c r="C443" s="401"/>
      <c r="D443" s="401"/>
      <c r="E443" s="401"/>
      <c r="F443" s="550"/>
      <c r="G443" s="550"/>
      <c r="H443" s="401"/>
      <c r="I443" s="401"/>
      <c r="J443" s="401"/>
      <c r="K443" s="401"/>
      <c r="L443" s="401"/>
      <c r="M443" s="401"/>
      <c r="N443" s="401"/>
      <c r="O443" s="401"/>
      <c r="P443" s="401"/>
      <c r="Q443" s="401"/>
      <c r="R443" s="401"/>
      <c r="S443" s="401"/>
      <c r="T443" s="401"/>
      <c r="U443" s="401"/>
      <c r="V443" s="401"/>
      <c r="W443" s="592"/>
      <c r="X443" s="401"/>
      <c r="Y443" s="401"/>
      <c r="Z443" s="401"/>
    </row>
    <row r="444" ht="18.75" customHeight="1">
      <c r="A444" s="401"/>
      <c r="B444" s="401"/>
      <c r="C444" s="401"/>
      <c r="D444" s="401"/>
      <c r="E444" s="401"/>
      <c r="F444" s="550"/>
      <c r="G444" s="550"/>
      <c r="H444" s="401"/>
      <c r="I444" s="401"/>
      <c r="J444" s="401"/>
      <c r="K444" s="401"/>
      <c r="L444" s="401"/>
      <c r="M444" s="401"/>
      <c r="N444" s="401"/>
      <c r="O444" s="401"/>
      <c r="P444" s="401"/>
      <c r="Q444" s="401"/>
      <c r="R444" s="401"/>
      <c r="S444" s="401"/>
      <c r="T444" s="401"/>
      <c r="U444" s="401"/>
      <c r="V444" s="401"/>
      <c r="W444" s="592"/>
      <c r="X444" s="401"/>
      <c r="Y444" s="401"/>
      <c r="Z444" s="401"/>
    </row>
    <row r="445" ht="18.75" customHeight="1">
      <c r="A445" s="401"/>
      <c r="B445" s="401"/>
      <c r="C445" s="401"/>
      <c r="D445" s="401"/>
      <c r="E445" s="401"/>
      <c r="F445" s="550"/>
      <c r="G445" s="550"/>
      <c r="H445" s="401"/>
      <c r="I445" s="401"/>
      <c r="J445" s="401"/>
      <c r="K445" s="401"/>
      <c r="L445" s="401"/>
      <c r="M445" s="401"/>
      <c r="N445" s="401"/>
      <c r="O445" s="401"/>
      <c r="P445" s="401"/>
      <c r="Q445" s="401"/>
      <c r="R445" s="401"/>
      <c r="S445" s="401"/>
      <c r="T445" s="401"/>
      <c r="U445" s="401"/>
      <c r="V445" s="401"/>
      <c r="W445" s="592"/>
      <c r="X445" s="401"/>
      <c r="Y445" s="401"/>
      <c r="Z445" s="401"/>
    </row>
    <row r="446" ht="18.75" customHeight="1">
      <c r="A446" s="401"/>
      <c r="B446" s="401"/>
      <c r="C446" s="401"/>
      <c r="D446" s="401"/>
      <c r="E446" s="401"/>
      <c r="F446" s="550"/>
      <c r="G446" s="550"/>
      <c r="H446" s="401"/>
      <c r="I446" s="401"/>
      <c r="J446" s="401"/>
      <c r="K446" s="401"/>
      <c r="L446" s="401"/>
      <c r="M446" s="401"/>
      <c r="N446" s="401"/>
      <c r="O446" s="401"/>
      <c r="P446" s="401"/>
      <c r="Q446" s="401"/>
      <c r="R446" s="401"/>
      <c r="S446" s="401"/>
      <c r="T446" s="401"/>
      <c r="U446" s="401"/>
      <c r="V446" s="401"/>
      <c r="W446" s="592"/>
      <c r="X446" s="401"/>
      <c r="Y446" s="401"/>
      <c r="Z446" s="401"/>
    </row>
    <row r="447" ht="18.75" customHeight="1">
      <c r="A447" s="401"/>
      <c r="B447" s="401"/>
      <c r="C447" s="401"/>
      <c r="D447" s="401"/>
      <c r="E447" s="401"/>
      <c r="F447" s="550"/>
      <c r="G447" s="550"/>
      <c r="H447" s="401"/>
      <c r="I447" s="401"/>
      <c r="J447" s="401"/>
      <c r="K447" s="401"/>
      <c r="L447" s="401"/>
      <c r="M447" s="401"/>
      <c r="N447" s="401"/>
      <c r="O447" s="401"/>
      <c r="P447" s="401"/>
      <c r="Q447" s="401"/>
      <c r="R447" s="401"/>
      <c r="S447" s="401"/>
      <c r="T447" s="401"/>
      <c r="U447" s="401"/>
      <c r="V447" s="401"/>
      <c r="W447" s="592"/>
      <c r="X447" s="401"/>
      <c r="Y447" s="401"/>
      <c r="Z447" s="401"/>
    </row>
    <row r="448" ht="18.75" customHeight="1">
      <c r="A448" s="401"/>
      <c r="B448" s="401"/>
      <c r="C448" s="401"/>
      <c r="D448" s="401"/>
      <c r="E448" s="401"/>
      <c r="F448" s="550"/>
      <c r="G448" s="550"/>
      <c r="H448" s="401"/>
      <c r="I448" s="401"/>
      <c r="J448" s="401"/>
      <c r="K448" s="401"/>
      <c r="L448" s="401"/>
      <c r="M448" s="401"/>
      <c r="N448" s="401"/>
      <c r="O448" s="401"/>
      <c r="P448" s="401"/>
      <c r="Q448" s="401"/>
      <c r="R448" s="401"/>
      <c r="S448" s="401"/>
      <c r="T448" s="401"/>
      <c r="U448" s="401"/>
      <c r="V448" s="401"/>
      <c r="W448" s="592"/>
      <c r="X448" s="401"/>
      <c r="Y448" s="401"/>
      <c r="Z448" s="401"/>
    </row>
    <row r="449" ht="18.75" customHeight="1">
      <c r="A449" s="401"/>
      <c r="B449" s="401"/>
      <c r="C449" s="401"/>
      <c r="D449" s="401"/>
      <c r="E449" s="401"/>
      <c r="F449" s="550"/>
      <c r="G449" s="550"/>
      <c r="H449" s="401"/>
      <c r="I449" s="401"/>
      <c r="J449" s="401"/>
      <c r="K449" s="401"/>
      <c r="L449" s="401"/>
      <c r="M449" s="401"/>
      <c r="N449" s="401"/>
      <c r="O449" s="401"/>
      <c r="P449" s="401"/>
      <c r="Q449" s="401"/>
      <c r="R449" s="401"/>
      <c r="S449" s="401"/>
      <c r="T449" s="401"/>
      <c r="U449" s="401"/>
      <c r="V449" s="401"/>
      <c r="W449" s="592"/>
      <c r="X449" s="401"/>
      <c r="Y449" s="401"/>
      <c r="Z449" s="401"/>
    </row>
    <row r="450" ht="18.75" customHeight="1">
      <c r="A450" s="401"/>
      <c r="B450" s="401"/>
      <c r="C450" s="401"/>
      <c r="D450" s="401"/>
      <c r="E450" s="401"/>
      <c r="F450" s="550"/>
      <c r="G450" s="550"/>
      <c r="H450" s="401"/>
      <c r="I450" s="401"/>
      <c r="J450" s="401"/>
      <c r="K450" s="401"/>
      <c r="L450" s="401"/>
      <c r="M450" s="401"/>
      <c r="N450" s="401"/>
      <c r="O450" s="401"/>
      <c r="P450" s="401"/>
      <c r="Q450" s="401"/>
      <c r="R450" s="401"/>
      <c r="S450" s="401"/>
      <c r="T450" s="401"/>
      <c r="U450" s="401"/>
      <c r="V450" s="401"/>
      <c r="W450" s="592"/>
      <c r="X450" s="401"/>
      <c r="Y450" s="401"/>
      <c r="Z450" s="401"/>
    </row>
    <row r="451" ht="18.75" customHeight="1">
      <c r="A451" s="401"/>
      <c r="B451" s="401"/>
      <c r="C451" s="401"/>
      <c r="D451" s="401"/>
      <c r="E451" s="401"/>
      <c r="F451" s="550"/>
      <c r="G451" s="550"/>
      <c r="H451" s="401"/>
      <c r="I451" s="401"/>
      <c r="J451" s="401"/>
      <c r="K451" s="401"/>
      <c r="L451" s="401"/>
      <c r="M451" s="401"/>
      <c r="N451" s="401"/>
      <c r="O451" s="401"/>
      <c r="P451" s="401"/>
      <c r="Q451" s="401"/>
      <c r="R451" s="401"/>
      <c r="S451" s="401"/>
      <c r="T451" s="401"/>
      <c r="U451" s="401"/>
      <c r="V451" s="401"/>
      <c r="W451" s="592"/>
      <c r="X451" s="401"/>
      <c r="Y451" s="401"/>
      <c r="Z451" s="401"/>
    </row>
    <row r="452" ht="18.75" customHeight="1">
      <c r="A452" s="401"/>
      <c r="B452" s="401"/>
      <c r="C452" s="401"/>
      <c r="D452" s="401"/>
      <c r="E452" s="401"/>
      <c r="F452" s="550"/>
      <c r="G452" s="550"/>
      <c r="H452" s="401"/>
      <c r="I452" s="401"/>
      <c r="J452" s="401"/>
      <c r="K452" s="401"/>
      <c r="L452" s="401"/>
      <c r="M452" s="401"/>
      <c r="N452" s="401"/>
      <c r="O452" s="401"/>
      <c r="P452" s="401"/>
      <c r="Q452" s="401"/>
      <c r="R452" s="401"/>
      <c r="S452" s="401"/>
      <c r="T452" s="401"/>
      <c r="U452" s="401"/>
      <c r="V452" s="401"/>
      <c r="W452" s="592"/>
      <c r="X452" s="401"/>
      <c r="Y452" s="401"/>
      <c r="Z452" s="401"/>
    </row>
    <row r="453" ht="18.75" customHeight="1">
      <c r="A453" s="401"/>
      <c r="B453" s="401"/>
      <c r="C453" s="401"/>
      <c r="D453" s="401"/>
      <c r="E453" s="401"/>
      <c r="F453" s="550"/>
      <c r="G453" s="550"/>
      <c r="H453" s="401"/>
      <c r="I453" s="401"/>
      <c r="J453" s="401"/>
      <c r="K453" s="401"/>
      <c r="L453" s="401"/>
      <c r="M453" s="401"/>
      <c r="N453" s="401"/>
      <c r="O453" s="401"/>
      <c r="P453" s="401"/>
      <c r="Q453" s="401"/>
      <c r="R453" s="401"/>
      <c r="S453" s="401"/>
      <c r="T453" s="401"/>
      <c r="U453" s="401"/>
      <c r="V453" s="401"/>
      <c r="W453" s="592"/>
      <c r="X453" s="401"/>
      <c r="Y453" s="401"/>
      <c r="Z453" s="401"/>
    </row>
    <row r="454" ht="18.75" customHeight="1">
      <c r="A454" s="401"/>
      <c r="B454" s="401"/>
      <c r="C454" s="401"/>
      <c r="D454" s="401"/>
      <c r="E454" s="401"/>
      <c r="F454" s="550"/>
      <c r="G454" s="550"/>
      <c r="H454" s="401"/>
      <c r="I454" s="401"/>
      <c r="J454" s="401"/>
      <c r="K454" s="401"/>
      <c r="L454" s="401"/>
      <c r="M454" s="401"/>
      <c r="N454" s="401"/>
      <c r="O454" s="401"/>
      <c r="P454" s="401"/>
      <c r="Q454" s="401"/>
      <c r="R454" s="401"/>
      <c r="S454" s="401"/>
      <c r="T454" s="401"/>
      <c r="U454" s="401"/>
      <c r="V454" s="401"/>
      <c r="W454" s="592"/>
      <c r="X454" s="401"/>
      <c r="Y454" s="401"/>
      <c r="Z454" s="401"/>
    </row>
    <row r="455" ht="18.75" customHeight="1">
      <c r="A455" s="401"/>
      <c r="B455" s="401"/>
      <c r="C455" s="401"/>
      <c r="D455" s="401"/>
      <c r="E455" s="401"/>
      <c r="F455" s="550"/>
      <c r="G455" s="550"/>
      <c r="H455" s="401"/>
      <c r="I455" s="401"/>
      <c r="J455" s="401"/>
      <c r="K455" s="401"/>
      <c r="L455" s="401"/>
      <c r="M455" s="401"/>
      <c r="N455" s="401"/>
      <c r="O455" s="401"/>
      <c r="P455" s="401"/>
      <c r="Q455" s="401"/>
      <c r="R455" s="401"/>
      <c r="S455" s="401"/>
      <c r="T455" s="401"/>
      <c r="U455" s="401"/>
      <c r="V455" s="401"/>
      <c r="W455" s="592"/>
      <c r="X455" s="401"/>
      <c r="Y455" s="401"/>
      <c r="Z455" s="401"/>
    </row>
    <row r="456" ht="18.75" customHeight="1">
      <c r="A456" s="401"/>
      <c r="B456" s="401"/>
      <c r="C456" s="401"/>
      <c r="D456" s="401"/>
      <c r="E456" s="401"/>
      <c r="F456" s="550"/>
      <c r="G456" s="550"/>
      <c r="H456" s="401"/>
      <c r="I456" s="401"/>
      <c r="J456" s="401"/>
      <c r="K456" s="401"/>
      <c r="L456" s="401"/>
      <c r="M456" s="401"/>
      <c r="N456" s="401"/>
      <c r="O456" s="401"/>
      <c r="P456" s="401"/>
      <c r="Q456" s="401"/>
      <c r="R456" s="401"/>
      <c r="S456" s="401"/>
      <c r="T456" s="401"/>
      <c r="U456" s="401"/>
      <c r="V456" s="401"/>
      <c r="W456" s="592"/>
      <c r="X456" s="401"/>
      <c r="Y456" s="401"/>
      <c r="Z456" s="401"/>
    </row>
    <row r="457" ht="18.75" customHeight="1">
      <c r="A457" s="401"/>
      <c r="B457" s="401"/>
      <c r="C457" s="401"/>
      <c r="D457" s="401"/>
      <c r="E457" s="401"/>
      <c r="F457" s="550"/>
      <c r="G457" s="550"/>
      <c r="H457" s="401"/>
      <c r="I457" s="401"/>
      <c r="J457" s="401"/>
      <c r="K457" s="401"/>
      <c r="L457" s="401"/>
      <c r="M457" s="401"/>
      <c r="N457" s="401"/>
      <c r="O457" s="401"/>
      <c r="P457" s="401"/>
      <c r="Q457" s="401"/>
      <c r="R457" s="401"/>
      <c r="S457" s="401"/>
      <c r="T457" s="401"/>
      <c r="U457" s="401"/>
      <c r="V457" s="401"/>
      <c r="W457" s="592"/>
      <c r="X457" s="401"/>
      <c r="Y457" s="401"/>
      <c r="Z457" s="401"/>
    </row>
    <row r="458" ht="18.75" customHeight="1">
      <c r="A458" s="401"/>
      <c r="B458" s="401"/>
      <c r="C458" s="401"/>
      <c r="D458" s="401"/>
      <c r="E458" s="401"/>
      <c r="F458" s="550"/>
      <c r="G458" s="550"/>
      <c r="H458" s="401"/>
      <c r="I458" s="401"/>
      <c r="J458" s="401"/>
      <c r="K458" s="401"/>
      <c r="L458" s="401"/>
      <c r="M458" s="401"/>
      <c r="N458" s="401"/>
      <c r="O458" s="401"/>
      <c r="P458" s="401"/>
      <c r="Q458" s="401"/>
      <c r="R458" s="401"/>
      <c r="S458" s="401"/>
      <c r="T458" s="401"/>
      <c r="U458" s="401"/>
      <c r="V458" s="401"/>
      <c r="W458" s="592"/>
      <c r="X458" s="401"/>
      <c r="Y458" s="401"/>
      <c r="Z458" s="401"/>
    </row>
    <row r="459" ht="18.75" customHeight="1">
      <c r="A459" s="401"/>
      <c r="B459" s="401"/>
      <c r="C459" s="401"/>
      <c r="D459" s="401"/>
      <c r="E459" s="401"/>
      <c r="F459" s="550"/>
      <c r="G459" s="550"/>
      <c r="H459" s="401"/>
      <c r="I459" s="401"/>
      <c r="J459" s="401"/>
      <c r="K459" s="401"/>
      <c r="L459" s="401"/>
      <c r="M459" s="401"/>
      <c r="N459" s="401"/>
      <c r="O459" s="401"/>
      <c r="P459" s="401"/>
      <c r="Q459" s="401"/>
      <c r="R459" s="401"/>
      <c r="S459" s="401"/>
      <c r="T459" s="401"/>
      <c r="U459" s="401"/>
      <c r="V459" s="401"/>
      <c r="W459" s="592"/>
      <c r="X459" s="401"/>
      <c r="Y459" s="401"/>
      <c r="Z459" s="401"/>
    </row>
    <row r="460" ht="18.75" customHeight="1">
      <c r="A460" s="401"/>
      <c r="B460" s="401"/>
      <c r="C460" s="401"/>
      <c r="D460" s="401"/>
      <c r="E460" s="401"/>
      <c r="F460" s="550"/>
      <c r="G460" s="550"/>
      <c r="H460" s="401"/>
      <c r="I460" s="401"/>
      <c r="J460" s="401"/>
      <c r="K460" s="401"/>
      <c r="L460" s="401"/>
      <c r="M460" s="401"/>
      <c r="N460" s="401"/>
      <c r="O460" s="401"/>
      <c r="P460" s="401"/>
      <c r="Q460" s="401"/>
      <c r="R460" s="401"/>
      <c r="S460" s="401"/>
      <c r="T460" s="401"/>
      <c r="U460" s="401"/>
      <c r="V460" s="401"/>
      <c r="W460" s="592"/>
      <c r="X460" s="401"/>
      <c r="Y460" s="401"/>
      <c r="Z460" s="401"/>
    </row>
    <row r="461" ht="18.75" customHeight="1">
      <c r="A461" s="401"/>
      <c r="B461" s="401"/>
      <c r="C461" s="401"/>
      <c r="D461" s="401"/>
      <c r="E461" s="401"/>
      <c r="F461" s="550"/>
      <c r="G461" s="550"/>
      <c r="H461" s="401"/>
      <c r="I461" s="401"/>
      <c r="J461" s="401"/>
      <c r="K461" s="401"/>
      <c r="L461" s="401"/>
      <c r="M461" s="401"/>
      <c r="N461" s="401"/>
      <c r="O461" s="401"/>
      <c r="P461" s="401"/>
      <c r="Q461" s="401"/>
      <c r="R461" s="401"/>
      <c r="S461" s="401"/>
      <c r="T461" s="401"/>
      <c r="U461" s="401"/>
      <c r="V461" s="401"/>
      <c r="W461" s="592"/>
      <c r="X461" s="401"/>
      <c r="Y461" s="401"/>
      <c r="Z461" s="401"/>
    </row>
    <row r="462" ht="18.75" customHeight="1">
      <c r="A462" s="401"/>
      <c r="B462" s="401"/>
      <c r="C462" s="401"/>
      <c r="D462" s="401"/>
      <c r="E462" s="401"/>
      <c r="F462" s="550"/>
      <c r="G462" s="550"/>
      <c r="H462" s="401"/>
      <c r="I462" s="401"/>
      <c r="J462" s="401"/>
      <c r="K462" s="401"/>
      <c r="L462" s="401"/>
      <c r="M462" s="401"/>
      <c r="N462" s="401"/>
      <c r="O462" s="401"/>
      <c r="P462" s="401"/>
      <c r="Q462" s="401"/>
      <c r="R462" s="401"/>
      <c r="S462" s="401"/>
      <c r="T462" s="401"/>
      <c r="U462" s="401"/>
      <c r="V462" s="401"/>
      <c r="W462" s="592"/>
      <c r="X462" s="401"/>
      <c r="Y462" s="401"/>
      <c r="Z462" s="401"/>
    </row>
    <row r="463" ht="18.75" customHeight="1">
      <c r="A463" s="401"/>
      <c r="B463" s="401"/>
      <c r="C463" s="401"/>
      <c r="D463" s="401"/>
      <c r="E463" s="401"/>
      <c r="F463" s="550"/>
      <c r="G463" s="550"/>
      <c r="H463" s="401"/>
      <c r="I463" s="401"/>
      <c r="J463" s="401"/>
      <c r="K463" s="401"/>
      <c r="L463" s="401"/>
      <c r="M463" s="401"/>
      <c r="N463" s="401"/>
      <c r="O463" s="401"/>
      <c r="P463" s="401"/>
      <c r="Q463" s="401"/>
      <c r="R463" s="401"/>
      <c r="S463" s="401"/>
      <c r="T463" s="401"/>
      <c r="U463" s="401"/>
      <c r="V463" s="401"/>
      <c r="W463" s="592"/>
      <c r="X463" s="401"/>
      <c r="Y463" s="401"/>
      <c r="Z463" s="401"/>
    </row>
    <row r="464" ht="18.75" customHeight="1">
      <c r="A464" s="401"/>
      <c r="B464" s="401"/>
      <c r="C464" s="401"/>
      <c r="D464" s="401"/>
      <c r="E464" s="401"/>
      <c r="F464" s="550"/>
      <c r="G464" s="550"/>
      <c r="H464" s="401"/>
      <c r="I464" s="401"/>
      <c r="J464" s="401"/>
      <c r="K464" s="401"/>
      <c r="L464" s="401"/>
      <c r="M464" s="401"/>
      <c r="N464" s="401"/>
      <c r="O464" s="401"/>
      <c r="P464" s="401"/>
      <c r="Q464" s="401"/>
      <c r="R464" s="401"/>
      <c r="S464" s="401"/>
      <c r="T464" s="401"/>
      <c r="U464" s="401"/>
      <c r="V464" s="401"/>
      <c r="W464" s="592"/>
      <c r="X464" s="401"/>
      <c r="Y464" s="401"/>
      <c r="Z464" s="401"/>
    </row>
    <row r="465" ht="18.75" customHeight="1">
      <c r="A465" s="401"/>
      <c r="B465" s="401"/>
      <c r="C465" s="401"/>
      <c r="D465" s="401"/>
      <c r="E465" s="401"/>
      <c r="F465" s="550"/>
      <c r="G465" s="550"/>
      <c r="H465" s="401"/>
      <c r="I465" s="401"/>
      <c r="J465" s="401"/>
      <c r="K465" s="401"/>
      <c r="L465" s="401"/>
      <c r="M465" s="401"/>
      <c r="N465" s="401"/>
      <c r="O465" s="401"/>
      <c r="P465" s="401"/>
      <c r="Q465" s="401"/>
      <c r="R465" s="401"/>
      <c r="S465" s="401"/>
      <c r="T465" s="401"/>
      <c r="U465" s="401"/>
      <c r="V465" s="401"/>
      <c r="W465" s="592"/>
      <c r="X465" s="401"/>
      <c r="Y465" s="401"/>
      <c r="Z465" s="401"/>
    </row>
    <row r="466" ht="18.75" customHeight="1">
      <c r="A466" s="401"/>
      <c r="B466" s="401"/>
      <c r="C466" s="401"/>
      <c r="D466" s="401"/>
      <c r="E466" s="401"/>
      <c r="F466" s="550"/>
      <c r="G466" s="550"/>
      <c r="H466" s="401"/>
      <c r="I466" s="401"/>
      <c r="J466" s="401"/>
      <c r="K466" s="401"/>
      <c r="L466" s="401"/>
      <c r="M466" s="401"/>
      <c r="N466" s="401"/>
      <c r="O466" s="401"/>
      <c r="P466" s="401"/>
      <c r="Q466" s="401"/>
      <c r="R466" s="401"/>
      <c r="S466" s="401"/>
      <c r="T466" s="401"/>
      <c r="U466" s="401"/>
      <c r="V466" s="401"/>
      <c r="W466" s="592"/>
      <c r="X466" s="401"/>
      <c r="Y466" s="401"/>
      <c r="Z466" s="401"/>
    </row>
    <row r="467" ht="18.75" customHeight="1">
      <c r="A467" s="401"/>
      <c r="B467" s="401"/>
      <c r="C467" s="401"/>
      <c r="D467" s="401"/>
      <c r="E467" s="401"/>
      <c r="F467" s="550"/>
      <c r="G467" s="550"/>
      <c r="H467" s="401"/>
      <c r="I467" s="401"/>
      <c r="J467" s="401"/>
      <c r="K467" s="401"/>
      <c r="L467" s="401"/>
      <c r="M467" s="401"/>
      <c r="N467" s="401"/>
      <c r="O467" s="401"/>
      <c r="P467" s="401"/>
      <c r="Q467" s="401"/>
      <c r="R467" s="401"/>
      <c r="S467" s="401"/>
      <c r="T467" s="401"/>
      <c r="U467" s="401"/>
      <c r="V467" s="401"/>
      <c r="W467" s="592"/>
      <c r="X467" s="401"/>
      <c r="Y467" s="401"/>
      <c r="Z467" s="401"/>
    </row>
    <row r="468" ht="18.75" customHeight="1">
      <c r="A468" s="401"/>
      <c r="B468" s="401"/>
      <c r="C468" s="401"/>
      <c r="D468" s="401"/>
      <c r="E468" s="401"/>
      <c r="F468" s="550"/>
      <c r="G468" s="550"/>
      <c r="H468" s="401"/>
      <c r="I468" s="401"/>
      <c r="J468" s="401"/>
      <c r="K468" s="401"/>
      <c r="L468" s="401"/>
      <c r="M468" s="401"/>
      <c r="N468" s="401"/>
      <c r="O468" s="401"/>
      <c r="P468" s="401"/>
      <c r="Q468" s="401"/>
      <c r="R468" s="401"/>
      <c r="S468" s="401"/>
      <c r="T468" s="401"/>
      <c r="U468" s="401"/>
      <c r="V468" s="401"/>
      <c r="W468" s="592"/>
      <c r="X468" s="401"/>
      <c r="Y468" s="401"/>
      <c r="Z468" s="401"/>
    </row>
    <row r="469" ht="18.75" customHeight="1">
      <c r="A469" s="401"/>
      <c r="B469" s="401"/>
      <c r="C469" s="401"/>
      <c r="D469" s="401"/>
      <c r="E469" s="401"/>
      <c r="F469" s="550"/>
      <c r="G469" s="550"/>
      <c r="H469" s="401"/>
      <c r="I469" s="401"/>
      <c r="J469" s="401"/>
      <c r="K469" s="401"/>
      <c r="L469" s="401"/>
      <c r="M469" s="401"/>
      <c r="N469" s="401"/>
      <c r="O469" s="401"/>
      <c r="P469" s="401"/>
      <c r="Q469" s="401"/>
      <c r="R469" s="401"/>
      <c r="S469" s="401"/>
      <c r="T469" s="401"/>
      <c r="U469" s="401"/>
      <c r="V469" s="401"/>
      <c r="W469" s="592"/>
      <c r="X469" s="401"/>
      <c r="Y469" s="401"/>
      <c r="Z469" s="401"/>
    </row>
    <row r="470" ht="18.75" customHeight="1">
      <c r="A470" s="401"/>
      <c r="B470" s="401"/>
      <c r="C470" s="401"/>
      <c r="D470" s="401"/>
      <c r="E470" s="401"/>
      <c r="F470" s="550"/>
      <c r="G470" s="550"/>
      <c r="H470" s="401"/>
      <c r="I470" s="401"/>
      <c r="J470" s="401"/>
      <c r="K470" s="401"/>
      <c r="L470" s="401"/>
      <c r="M470" s="401"/>
      <c r="N470" s="401"/>
      <c r="O470" s="401"/>
      <c r="P470" s="401"/>
      <c r="Q470" s="401"/>
      <c r="R470" s="401"/>
      <c r="S470" s="401"/>
      <c r="T470" s="401"/>
      <c r="U470" s="401"/>
      <c r="V470" s="401"/>
      <c r="W470" s="592"/>
      <c r="X470" s="401"/>
      <c r="Y470" s="401"/>
      <c r="Z470" s="401"/>
    </row>
    <row r="471" ht="18.75" customHeight="1">
      <c r="A471" s="401"/>
      <c r="B471" s="401"/>
      <c r="C471" s="401"/>
      <c r="D471" s="401"/>
      <c r="E471" s="401"/>
      <c r="F471" s="550"/>
      <c r="G471" s="550"/>
      <c r="H471" s="401"/>
      <c r="I471" s="401"/>
      <c r="J471" s="401"/>
      <c r="K471" s="401"/>
      <c r="L471" s="401"/>
      <c r="M471" s="401"/>
      <c r="N471" s="401"/>
      <c r="O471" s="401"/>
      <c r="P471" s="401"/>
      <c r="Q471" s="401"/>
      <c r="R471" s="401"/>
      <c r="S471" s="401"/>
      <c r="T471" s="401"/>
      <c r="U471" s="401"/>
      <c r="V471" s="401"/>
      <c r="W471" s="592"/>
      <c r="X471" s="401"/>
      <c r="Y471" s="401"/>
      <c r="Z471" s="401"/>
    </row>
    <row r="472" ht="18.75" customHeight="1">
      <c r="A472" s="401"/>
      <c r="B472" s="401"/>
      <c r="C472" s="401"/>
      <c r="D472" s="401"/>
      <c r="E472" s="401"/>
      <c r="F472" s="550"/>
      <c r="G472" s="550"/>
      <c r="H472" s="401"/>
      <c r="I472" s="401"/>
      <c r="J472" s="401"/>
      <c r="K472" s="401"/>
      <c r="L472" s="401"/>
      <c r="M472" s="401"/>
      <c r="N472" s="401"/>
      <c r="O472" s="401"/>
      <c r="P472" s="401"/>
      <c r="Q472" s="401"/>
      <c r="R472" s="401"/>
      <c r="S472" s="401"/>
      <c r="T472" s="401"/>
      <c r="U472" s="401"/>
      <c r="V472" s="401"/>
      <c r="W472" s="592"/>
      <c r="X472" s="401"/>
      <c r="Y472" s="401"/>
      <c r="Z472" s="401"/>
    </row>
    <row r="473" ht="18.75" customHeight="1">
      <c r="A473" s="401"/>
      <c r="B473" s="401"/>
      <c r="C473" s="401"/>
      <c r="D473" s="401"/>
      <c r="E473" s="401"/>
      <c r="F473" s="550"/>
      <c r="G473" s="550"/>
      <c r="H473" s="401"/>
      <c r="I473" s="401"/>
      <c r="J473" s="401"/>
      <c r="K473" s="401"/>
      <c r="L473" s="401"/>
      <c r="M473" s="401"/>
      <c r="N473" s="401"/>
      <c r="O473" s="401"/>
      <c r="P473" s="401"/>
      <c r="Q473" s="401"/>
      <c r="R473" s="401"/>
      <c r="S473" s="401"/>
      <c r="T473" s="401"/>
      <c r="U473" s="401"/>
      <c r="V473" s="401"/>
      <c r="W473" s="592"/>
      <c r="X473" s="401"/>
      <c r="Y473" s="401"/>
      <c r="Z473" s="401"/>
    </row>
    <row r="474" ht="18.75" customHeight="1">
      <c r="A474" s="401"/>
      <c r="B474" s="401"/>
      <c r="C474" s="401"/>
      <c r="D474" s="401"/>
      <c r="E474" s="401"/>
      <c r="F474" s="550"/>
      <c r="G474" s="550"/>
      <c r="H474" s="401"/>
      <c r="I474" s="401"/>
      <c r="J474" s="401"/>
      <c r="K474" s="401"/>
      <c r="L474" s="401"/>
      <c r="M474" s="401"/>
      <c r="N474" s="401"/>
      <c r="O474" s="401"/>
      <c r="P474" s="401"/>
      <c r="Q474" s="401"/>
      <c r="R474" s="401"/>
      <c r="S474" s="401"/>
      <c r="T474" s="401"/>
      <c r="U474" s="401"/>
      <c r="V474" s="401"/>
      <c r="W474" s="592"/>
      <c r="X474" s="401"/>
      <c r="Y474" s="401"/>
      <c r="Z474" s="401"/>
    </row>
    <row r="475" ht="18.75" customHeight="1">
      <c r="A475" s="401"/>
      <c r="B475" s="401"/>
      <c r="C475" s="401"/>
      <c r="D475" s="401"/>
      <c r="E475" s="401"/>
      <c r="F475" s="550"/>
      <c r="G475" s="550"/>
      <c r="H475" s="401"/>
      <c r="I475" s="401"/>
      <c r="J475" s="401"/>
      <c r="K475" s="401"/>
      <c r="L475" s="401"/>
      <c r="M475" s="401"/>
      <c r="N475" s="401"/>
      <c r="O475" s="401"/>
      <c r="P475" s="401"/>
      <c r="Q475" s="401"/>
      <c r="R475" s="401"/>
      <c r="S475" s="401"/>
      <c r="T475" s="401"/>
      <c r="U475" s="401"/>
      <c r="V475" s="401"/>
      <c r="W475" s="592"/>
      <c r="X475" s="401"/>
      <c r="Y475" s="401"/>
      <c r="Z475" s="401"/>
    </row>
    <row r="476" ht="18.75" customHeight="1">
      <c r="A476" s="401"/>
      <c r="B476" s="401"/>
      <c r="C476" s="401"/>
      <c r="D476" s="401"/>
      <c r="E476" s="401"/>
      <c r="F476" s="550"/>
      <c r="G476" s="550"/>
      <c r="H476" s="401"/>
      <c r="I476" s="401"/>
      <c r="J476" s="401"/>
      <c r="K476" s="401"/>
      <c r="L476" s="401"/>
      <c r="M476" s="401"/>
      <c r="N476" s="401"/>
      <c r="O476" s="401"/>
      <c r="P476" s="401"/>
      <c r="Q476" s="401"/>
      <c r="R476" s="401"/>
      <c r="S476" s="401"/>
      <c r="T476" s="401"/>
      <c r="U476" s="401"/>
      <c r="V476" s="401"/>
      <c r="W476" s="592"/>
      <c r="X476" s="401"/>
      <c r="Y476" s="401"/>
      <c r="Z476" s="401"/>
    </row>
    <row r="477" ht="18.75" customHeight="1">
      <c r="A477" s="401"/>
      <c r="B477" s="401"/>
      <c r="C477" s="401"/>
      <c r="D477" s="401"/>
      <c r="E477" s="401"/>
      <c r="F477" s="550"/>
      <c r="G477" s="550"/>
      <c r="H477" s="401"/>
      <c r="I477" s="401"/>
      <c r="J477" s="401"/>
      <c r="K477" s="401"/>
      <c r="L477" s="401"/>
      <c r="M477" s="401"/>
      <c r="N477" s="401"/>
      <c r="O477" s="401"/>
      <c r="P477" s="401"/>
      <c r="Q477" s="401"/>
      <c r="R477" s="401"/>
      <c r="S477" s="401"/>
      <c r="T477" s="401"/>
      <c r="U477" s="401"/>
      <c r="V477" s="401"/>
      <c r="W477" s="592"/>
      <c r="X477" s="401"/>
      <c r="Y477" s="401"/>
      <c r="Z477" s="401"/>
    </row>
    <row r="478" ht="18.75" customHeight="1">
      <c r="A478" s="401"/>
      <c r="B478" s="401"/>
      <c r="C478" s="401"/>
      <c r="D478" s="401"/>
      <c r="E478" s="401"/>
      <c r="F478" s="550"/>
      <c r="G478" s="550"/>
      <c r="H478" s="401"/>
      <c r="I478" s="401"/>
      <c r="J478" s="401"/>
      <c r="K478" s="401"/>
      <c r="L478" s="401"/>
      <c r="M478" s="401"/>
      <c r="N478" s="401"/>
      <c r="O478" s="401"/>
      <c r="P478" s="401"/>
      <c r="Q478" s="401"/>
      <c r="R478" s="401"/>
      <c r="S478" s="401"/>
      <c r="T478" s="401"/>
      <c r="U478" s="401"/>
      <c r="V478" s="401"/>
      <c r="W478" s="592"/>
      <c r="X478" s="401"/>
      <c r="Y478" s="401"/>
      <c r="Z478" s="401"/>
    </row>
    <row r="479" ht="18.75" customHeight="1">
      <c r="A479" s="401"/>
      <c r="B479" s="401"/>
      <c r="C479" s="401"/>
      <c r="D479" s="401"/>
      <c r="E479" s="401"/>
      <c r="F479" s="550"/>
      <c r="G479" s="550"/>
      <c r="H479" s="401"/>
      <c r="I479" s="401"/>
      <c r="J479" s="401"/>
      <c r="K479" s="401"/>
      <c r="L479" s="401"/>
      <c r="M479" s="401"/>
      <c r="N479" s="401"/>
      <c r="O479" s="401"/>
      <c r="P479" s="401"/>
      <c r="Q479" s="401"/>
      <c r="R479" s="401"/>
      <c r="S479" s="401"/>
      <c r="T479" s="401"/>
      <c r="U479" s="401"/>
      <c r="V479" s="401"/>
      <c r="W479" s="592"/>
      <c r="X479" s="401"/>
      <c r="Y479" s="401"/>
      <c r="Z479" s="401"/>
    </row>
    <row r="480" ht="18.75" customHeight="1">
      <c r="A480" s="401"/>
      <c r="B480" s="401"/>
      <c r="C480" s="401"/>
      <c r="D480" s="401"/>
      <c r="E480" s="401"/>
      <c r="F480" s="550"/>
      <c r="G480" s="550"/>
      <c r="H480" s="401"/>
      <c r="I480" s="401"/>
      <c r="J480" s="401"/>
      <c r="K480" s="401"/>
      <c r="L480" s="401"/>
      <c r="M480" s="401"/>
      <c r="N480" s="401"/>
      <c r="O480" s="401"/>
      <c r="P480" s="401"/>
      <c r="Q480" s="401"/>
      <c r="R480" s="401"/>
      <c r="S480" s="401"/>
      <c r="T480" s="401"/>
      <c r="U480" s="401"/>
      <c r="V480" s="401"/>
      <c r="W480" s="592"/>
      <c r="X480" s="401"/>
      <c r="Y480" s="401"/>
      <c r="Z480" s="401"/>
    </row>
    <row r="481" ht="18.75" customHeight="1">
      <c r="A481" s="401"/>
      <c r="B481" s="401"/>
      <c r="C481" s="401"/>
      <c r="D481" s="401"/>
      <c r="E481" s="401"/>
      <c r="F481" s="550"/>
      <c r="G481" s="550"/>
      <c r="H481" s="401"/>
      <c r="I481" s="401"/>
      <c r="J481" s="401"/>
      <c r="K481" s="401"/>
      <c r="L481" s="401"/>
      <c r="M481" s="401"/>
      <c r="N481" s="401"/>
      <c r="O481" s="401"/>
      <c r="P481" s="401"/>
      <c r="Q481" s="401"/>
      <c r="R481" s="401"/>
      <c r="S481" s="401"/>
      <c r="T481" s="401"/>
      <c r="U481" s="401"/>
      <c r="V481" s="401"/>
      <c r="W481" s="592"/>
      <c r="X481" s="401"/>
      <c r="Y481" s="401"/>
      <c r="Z481" s="401"/>
    </row>
    <row r="482" ht="18.75" customHeight="1">
      <c r="A482" s="401"/>
      <c r="B482" s="401"/>
      <c r="C482" s="401"/>
      <c r="D482" s="401"/>
      <c r="E482" s="401"/>
      <c r="F482" s="550"/>
      <c r="G482" s="550"/>
      <c r="H482" s="401"/>
      <c r="I482" s="401"/>
      <c r="J482" s="401"/>
      <c r="K482" s="401"/>
      <c r="L482" s="401"/>
      <c r="M482" s="401"/>
      <c r="N482" s="401"/>
      <c r="O482" s="401"/>
      <c r="P482" s="401"/>
      <c r="Q482" s="401"/>
      <c r="R482" s="401"/>
      <c r="S482" s="401"/>
      <c r="T482" s="401"/>
      <c r="U482" s="401"/>
      <c r="V482" s="401"/>
      <c r="W482" s="592"/>
      <c r="X482" s="401"/>
      <c r="Y482" s="401"/>
      <c r="Z482" s="401"/>
    </row>
    <row r="483" ht="18.75" customHeight="1">
      <c r="A483" s="401"/>
      <c r="B483" s="401"/>
      <c r="C483" s="401"/>
      <c r="D483" s="401"/>
      <c r="E483" s="401"/>
      <c r="F483" s="550"/>
      <c r="G483" s="550"/>
      <c r="H483" s="401"/>
      <c r="I483" s="401"/>
      <c r="J483" s="401"/>
      <c r="K483" s="401"/>
      <c r="L483" s="401"/>
      <c r="M483" s="401"/>
      <c r="N483" s="401"/>
      <c r="O483" s="401"/>
      <c r="P483" s="401"/>
      <c r="Q483" s="401"/>
      <c r="R483" s="401"/>
      <c r="S483" s="401"/>
      <c r="T483" s="401"/>
      <c r="U483" s="401"/>
      <c r="V483" s="401"/>
      <c r="W483" s="592"/>
      <c r="X483" s="401"/>
      <c r="Y483" s="401"/>
      <c r="Z483" s="401"/>
    </row>
    <row r="484" ht="18.75" customHeight="1">
      <c r="A484" s="401"/>
      <c r="B484" s="401"/>
      <c r="C484" s="401"/>
      <c r="D484" s="401"/>
      <c r="E484" s="401"/>
      <c r="F484" s="550"/>
      <c r="G484" s="550"/>
      <c r="H484" s="401"/>
      <c r="I484" s="401"/>
      <c r="J484" s="401"/>
      <c r="K484" s="401"/>
      <c r="L484" s="401"/>
      <c r="M484" s="401"/>
      <c r="N484" s="401"/>
      <c r="O484" s="401"/>
      <c r="P484" s="401"/>
      <c r="Q484" s="401"/>
      <c r="R484" s="401"/>
      <c r="S484" s="401"/>
      <c r="T484" s="401"/>
      <c r="U484" s="401"/>
      <c r="V484" s="401"/>
      <c r="W484" s="592"/>
      <c r="X484" s="401"/>
      <c r="Y484" s="401"/>
      <c r="Z484" s="401"/>
    </row>
    <row r="485" ht="18.75" customHeight="1">
      <c r="A485" s="401"/>
      <c r="B485" s="401"/>
      <c r="C485" s="401"/>
      <c r="D485" s="401"/>
      <c r="E485" s="401"/>
      <c r="F485" s="550"/>
      <c r="G485" s="550"/>
      <c r="H485" s="401"/>
      <c r="I485" s="401"/>
      <c r="J485" s="401"/>
      <c r="K485" s="401"/>
      <c r="L485" s="401"/>
      <c r="M485" s="401"/>
      <c r="N485" s="401"/>
      <c r="O485" s="401"/>
      <c r="P485" s="401"/>
      <c r="Q485" s="401"/>
      <c r="R485" s="401"/>
      <c r="S485" s="401"/>
      <c r="T485" s="401"/>
      <c r="U485" s="401"/>
      <c r="V485" s="401"/>
      <c r="W485" s="592"/>
      <c r="X485" s="401"/>
      <c r="Y485" s="401"/>
      <c r="Z485" s="401"/>
    </row>
    <row r="486" ht="18.75" customHeight="1">
      <c r="A486" s="401"/>
      <c r="B486" s="401"/>
      <c r="C486" s="401"/>
      <c r="D486" s="401"/>
      <c r="E486" s="401"/>
      <c r="F486" s="550"/>
      <c r="G486" s="550"/>
      <c r="H486" s="401"/>
      <c r="I486" s="401"/>
      <c r="J486" s="401"/>
      <c r="K486" s="401"/>
      <c r="L486" s="401"/>
      <c r="M486" s="401"/>
      <c r="N486" s="401"/>
      <c r="O486" s="401"/>
      <c r="P486" s="401"/>
      <c r="Q486" s="401"/>
      <c r="R486" s="401"/>
      <c r="S486" s="401"/>
      <c r="T486" s="401"/>
      <c r="U486" s="401"/>
      <c r="V486" s="401"/>
      <c r="W486" s="592"/>
      <c r="X486" s="401"/>
      <c r="Y486" s="401"/>
      <c r="Z486" s="401"/>
    </row>
    <row r="487" ht="18.75" customHeight="1">
      <c r="A487" s="401"/>
      <c r="B487" s="401"/>
      <c r="C487" s="401"/>
      <c r="D487" s="401"/>
      <c r="E487" s="401"/>
      <c r="F487" s="550"/>
      <c r="G487" s="550"/>
      <c r="H487" s="401"/>
      <c r="I487" s="401"/>
      <c r="J487" s="401"/>
      <c r="K487" s="401"/>
      <c r="L487" s="401"/>
      <c r="M487" s="401"/>
      <c r="N487" s="401"/>
      <c r="O487" s="401"/>
      <c r="P487" s="401"/>
      <c r="Q487" s="401"/>
      <c r="R487" s="401"/>
      <c r="S487" s="401"/>
      <c r="T487" s="401"/>
      <c r="U487" s="401"/>
      <c r="V487" s="401"/>
      <c r="W487" s="592"/>
      <c r="X487" s="401"/>
      <c r="Y487" s="401"/>
      <c r="Z487" s="401"/>
    </row>
    <row r="488" ht="18.75" customHeight="1">
      <c r="A488" s="401"/>
      <c r="B488" s="401"/>
      <c r="C488" s="401"/>
      <c r="D488" s="401"/>
      <c r="E488" s="401"/>
      <c r="F488" s="550"/>
      <c r="G488" s="550"/>
      <c r="H488" s="401"/>
      <c r="I488" s="401"/>
      <c r="J488" s="401"/>
      <c r="K488" s="401"/>
      <c r="L488" s="401"/>
      <c r="M488" s="401"/>
      <c r="N488" s="401"/>
      <c r="O488" s="401"/>
      <c r="P488" s="401"/>
      <c r="Q488" s="401"/>
      <c r="R488" s="401"/>
      <c r="S488" s="401"/>
      <c r="T488" s="401"/>
      <c r="U488" s="401"/>
      <c r="V488" s="401"/>
      <c r="W488" s="592"/>
      <c r="X488" s="401"/>
      <c r="Y488" s="401"/>
      <c r="Z488" s="401"/>
    </row>
    <row r="489" ht="18.75" customHeight="1">
      <c r="A489" s="401"/>
      <c r="B489" s="401"/>
      <c r="C489" s="401"/>
      <c r="D489" s="401"/>
      <c r="E489" s="401"/>
      <c r="F489" s="550"/>
      <c r="G489" s="550"/>
      <c r="H489" s="401"/>
      <c r="I489" s="401"/>
      <c r="J489" s="401"/>
      <c r="K489" s="401"/>
      <c r="L489" s="401"/>
      <c r="M489" s="401"/>
      <c r="N489" s="401"/>
      <c r="O489" s="401"/>
      <c r="P489" s="401"/>
      <c r="Q489" s="401"/>
      <c r="R489" s="401"/>
      <c r="S489" s="401"/>
      <c r="T489" s="401"/>
      <c r="U489" s="401"/>
      <c r="V489" s="401"/>
      <c r="W489" s="592"/>
      <c r="X489" s="401"/>
      <c r="Y489" s="401"/>
      <c r="Z489" s="401"/>
    </row>
    <row r="490" ht="18.75" customHeight="1">
      <c r="A490" s="401"/>
      <c r="B490" s="401"/>
      <c r="C490" s="401"/>
      <c r="D490" s="401"/>
      <c r="E490" s="401"/>
      <c r="F490" s="550"/>
      <c r="G490" s="550"/>
      <c r="H490" s="401"/>
      <c r="I490" s="401"/>
      <c r="J490" s="401"/>
      <c r="K490" s="401"/>
      <c r="L490" s="401"/>
      <c r="M490" s="401"/>
      <c r="N490" s="401"/>
      <c r="O490" s="401"/>
      <c r="P490" s="401"/>
      <c r="Q490" s="401"/>
      <c r="R490" s="401"/>
      <c r="S490" s="401"/>
      <c r="T490" s="401"/>
      <c r="U490" s="401"/>
      <c r="V490" s="401"/>
      <c r="W490" s="592"/>
      <c r="X490" s="401"/>
      <c r="Y490" s="401"/>
      <c r="Z490" s="401"/>
    </row>
    <row r="491" ht="18.75" customHeight="1">
      <c r="A491" s="401"/>
      <c r="B491" s="401"/>
      <c r="C491" s="401"/>
      <c r="D491" s="401"/>
      <c r="E491" s="401"/>
      <c r="F491" s="550"/>
      <c r="G491" s="550"/>
      <c r="H491" s="401"/>
      <c r="I491" s="401"/>
      <c r="J491" s="401"/>
      <c r="K491" s="401"/>
      <c r="L491" s="401"/>
      <c r="M491" s="401"/>
      <c r="N491" s="401"/>
      <c r="O491" s="401"/>
      <c r="P491" s="401"/>
      <c r="Q491" s="401"/>
      <c r="R491" s="401"/>
      <c r="S491" s="401"/>
      <c r="T491" s="401"/>
      <c r="U491" s="401"/>
      <c r="V491" s="401"/>
      <c r="W491" s="592"/>
      <c r="X491" s="401"/>
      <c r="Y491" s="401"/>
      <c r="Z491" s="401"/>
    </row>
    <row r="492" ht="18.75" customHeight="1">
      <c r="A492" s="401"/>
      <c r="B492" s="401"/>
      <c r="C492" s="401"/>
      <c r="D492" s="401"/>
      <c r="E492" s="401"/>
      <c r="F492" s="550"/>
      <c r="G492" s="550"/>
      <c r="H492" s="401"/>
      <c r="I492" s="401"/>
      <c r="J492" s="401"/>
      <c r="K492" s="401"/>
      <c r="L492" s="401"/>
      <c r="M492" s="401"/>
      <c r="N492" s="401"/>
      <c r="O492" s="401"/>
      <c r="P492" s="401"/>
      <c r="Q492" s="401"/>
      <c r="R492" s="401"/>
      <c r="S492" s="401"/>
      <c r="T492" s="401"/>
      <c r="U492" s="401"/>
      <c r="V492" s="401"/>
      <c r="W492" s="592"/>
      <c r="X492" s="401"/>
      <c r="Y492" s="401"/>
      <c r="Z492" s="401"/>
    </row>
    <row r="493" ht="18.75" customHeight="1">
      <c r="A493" s="401"/>
      <c r="B493" s="401"/>
      <c r="C493" s="401"/>
      <c r="D493" s="401"/>
      <c r="E493" s="401"/>
      <c r="F493" s="550"/>
      <c r="G493" s="550"/>
      <c r="H493" s="401"/>
      <c r="I493" s="401"/>
      <c r="J493" s="401"/>
      <c r="K493" s="401"/>
      <c r="L493" s="401"/>
      <c r="M493" s="401"/>
      <c r="N493" s="401"/>
      <c r="O493" s="401"/>
      <c r="P493" s="401"/>
      <c r="Q493" s="401"/>
      <c r="R493" s="401"/>
      <c r="S493" s="401"/>
      <c r="T493" s="401"/>
      <c r="U493" s="401"/>
      <c r="V493" s="401"/>
      <c r="W493" s="592"/>
      <c r="X493" s="401"/>
      <c r="Y493" s="401"/>
      <c r="Z493" s="401"/>
    </row>
    <row r="494" ht="18.75" customHeight="1">
      <c r="A494" s="401"/>
      <c r="B494" s="401"/>
      <c r="C494" s="401"/>
      <c r="D494" s="401"/>
      <c r="E494" s="401"/>
      <c r="F494" s="550"/>
      <c r="G494" s="550"/>
      <c r="H494" s="401"/>
      <c r="I494" s="401"/>
      <c r="J494" s="401"/>
      <c r="K494" s="401"/>
      <c r="L494" s="401"/>
      <c r="M494" s="401"/>
      <c r="N494" s="401"/>
      <c r="O494" s="401"/>
      <c r="P494" s="401"/>
      <c r="Q494" s="401"/>
      <c r="R494" s="401"/>
      <c r="S494" s="401"/>
      <c r="T494" s="401"/>
      <c r="U494" s="401"/>
      <c r="V494" s="401"/>
      <c r="W494" s="592"/>
      <c r="X494" s="401"/>
      <c r="Y494" s="401"/>
      <c r="Z494" s="401"/>
    </row>
    <row r="495" ht="18.75" customHeight="1">
      <c r="A495" s="401"/>
      <c r="B495" s="401"/>
      <c r="C495" s="401"/>
      <c r="D495" s="401"/>
      <c r="E495" s="401"/>
      <c r="F495" s="550"/>
      <c r="G495" s="550"/>
      <c r="H495" s="401"/>
      <c r="I495" s="401"/>
      <c r="J495" s="401"/>
      <c r="K495" s="401"/>
      <c r="L495" s="401"/>
      <c r="M495" s="401"/>
      <c r="N495" s="401"/>
      <c r="O495" s="401"/>
      <c r="P495" s="401"/>
      <c r="Q495" s="401"/>
      <c r="R495" s="401"/>
      <c r="S495" s="401"/>
      <c r="T495" s="401"/>
      <c r="U495" s="401"/>
      <c r="V495" s="401"/>
      <c r="W495" s="592"/>
      <c r="X495" s="401"/>
      <c r="Y495" s="401"/>
      <c r="Z495" s="401"/>
    </row>
    <row r="496" ht="18.75" customHeight="1">
      <c r="A496" s="401"/>
      <c r="B496" s="401"/>
      <c r="C496" s="401"/>
      <c r="D496" s="401"/>
      <c r="E496" s="401"/>
      <c r="F496" s="550"/>
      <c r="G496" s="550"/>
      <c r="H496" s="401"/>
      <c r="I496" s="401"/>
      <c r="J496" s="401"/>
      <c r="K496" s="401"/>
      <c r="L496" s="401"/>
      <c r="M496" s="401"/>
      <c r="N496" s="401"/>
      <c r="O496" s="401"/>
      <c r="P496" s="401"/>
      <c r="Q496" s="401"/>
      <c r="R496" s="401"/>
      <c r="S496" s="401"/>
      <c r="T496" s="401"/>
      <c r="U496" s="401"/>
      <c r="V496" s="401"/>
      <c r="W496" s="592"/>
      <c r="X496" s="401"/>
      <c r="Y496" s="401"/>
      <c r="Z496" s="401"/>
    </row>
    <row r="497" ht="18.75" customHeight="1">
      <c r="A497" s="401"/>
      <c r="B497" s="401"/>
      <c r="C497" s="401"/>
      <c r="D497" s="401"/>
      <c r="E497" s="401"/>
      <c r="F497" s="550"/>
      <c r="G497" s="550"/>
      <c r="H497" s="401"/>
      <c r="I497" s="401"/>
      <c r="J497" s="401"/>
      <c r="K497" s="401"/>
      <c r="L497" s="401"/>
      <c r="M497" s="401"/>
      <c r="N497" s="401"/>
      <c r="O497" s="401"/>
      <c r="P497" s="401"/>
      <c r="Q497" s="401"/>
      <c r="R497" s="401"/>
      <c r="S497" s="401"/>
      <c r="T497" s="401"/>
      <c r="U497" s="401"/>
      <c r="V497" s="401"/>
      <c r="W497" s="592"/>
      <c r="X497" s="401"/>
      <c r="Y497" s="401"/>
      <c r="Z497" s="401"/>
    </row>
    <row r="498" ht="18.75" customHeight="1">
      <c r="A498" s="401"/>
      <c r="B498" s="401"/>
      <c r="C498" s="401"/>
      <c r="D498" s="401"/>
      <c r="E498" s="401"/>
      <c r="F498" s="550"/>
      <c r="G498" s="550"/>
      <c r="H498" s="401"/>
      <c r="I498" s="401"/>
      <c r="J498" s="401"/>
      <c r="K498" s="401"/>
      <c r="L498" s="401"/>
      <c r="M498" s="401"/>
      <c r="N498" s="401"/>
      <c r="O498" s="401"/>
      <c r="P498" s="401"/>
      <c r="Q498" s="401"/>
      <c r="R498" s="401"/>
      <c r="S498" s="401"/>
      <c r="T498" s="401"/>
      <c r="U498" s="401"/>
      <c r="V498" s="401"/>
      <c r="W498" s="592"/>
      <c r="X498" s="401"/>
      <c r="Y498" s="401"/>
      <c r="Z498" s="401"/>
    </row>
    <row r="499" ht="18.75" customHeight="1">
      <c r="A499" s="401"/>
      <c r="B499" s="401"/>
      <c r="C499" s="401"/>
      <c r="D499" s="401"/>
      <c r="E499" s="401"/>
      <c r="F499" s="550"/>
      <c r="G499" s="550"/>
      <c r="H499" s="401"/>
      <c r="I499" s="401"/>
      <c r="J499" s="401"/>
      <c r="K499" s="401"/>
      <c r="L499" s="401"/>
      <c r="M499" s="401"/>
      <c r="N499" s="401"/>
      <c r="O499" s="401"/>
      <c r="P499" s="401"/>
      <c r="Q499" s="401"/>
      <c r="R499" s="401"/>
      <c r="S499" s="401"/>
      <c r="T499" s="401"/>
      <c r="U499" s="401"/>
      <c r="V499" s="401"/>
      <c r="W499" s="592"/>
      <c r="X499" s="401"/>
      <c r="Y499" s="401"/>
      <c r="Z499" s="401"/>
    </row>
    <row r="500" ht="18.75" customHeight="1">
      <c r="A500" s="401"/>
      <c r="B500" s="401"/>
      <c r="C500" s="401"/>
      <c r="D500" s="401"/>
      <c r="E500" s="401"/>
      <c r="F500" s="550"/>
      <c r="G500" s="550"/>
      <c r="H500" s="401"/>
      <c r="I500" s="401"/>
      <c r="J500" s="401"/>
      <c r="K500" s="401"/>
      <c r="L500" s="401"/>
      <c r="M500" s="401"/>
      <c r="N500" s="401"/>
      <c r="O500" s="401"/>
      <c r="P500" s="401"/>
      <c r="Q500" s="401"/>
      <c r="R500" s="401"/>
      <c r="S500" s="401"/>
      <c r="T500" s="401"/>
      <c r="U500" s="401"/>
      <c r="V500" s="401"/>
      <c r="W500" s="592"/>
      <c r="X500" s="401"/>
      <c r="Y500" s="401"/>
      <c r="Z500" s="401"/>
    </row>
    <row r="501" ht="18.75" customHeight="1">
      <c r="A501" s="401"/>
      <c r="B501" s="401"/>
      <c r="C501" s="401"/>
      <c r="D501" s="401"/>
      <c r="E501" s="401"/>
      <c r="F501" s="550"/>
      <c r="G501" s="550"/>
      <c r="H501" s="401"/>
      <c r="I501" s="401"/>
      <c r="J501" s="401"/>
      <c r="K501" s="401"/>
      <c r="L501" s="401"/>
      <c r="M501" s="401"/>
      <c r="N501" s="401"/>
      <c r="O501" s="401"/>
      <c r="P501" s="401"/>
      <c r="Q501" s="401"/>
      <c r="R501" s="401"/>
      <c r="S501" s="401"/>
      <c r="T501" s="401"/>
      <c r="U501" s="401"/>
      <c r="V501" s="401"/>
      <c r="W501" s="592"/>
      <c r="X501" s="401"/>
      <c r="Y501" s="401"/>
      <c r="Z501" s="401"/>
    </row>
    <row r="502" ht="18.75" customHeight="1">
      <c r="A502" s="401"/>
      <c r="B502" s="401"/>
      <c r="C502" s="401"/>
      <c r="D502" s="401"/>
      <c r="E502" s="401"/>
      <c r="F502" s="550"/>
      <c r="G502" s="550"/>
      <c r="H502" s="401"/>
      <c r="I502" s="401"/>
      <c r="J502" s="401"/>
      <c r="K502" s="401"/>
      <c r="L502" s="401"/>
      <c r="M502" s="401"/>
      <c r="N502" s="401"/>
      <c r="O502" s="401"/>
      <c r="P502" s="401"/>
      <c r="Q502" s="401"/>
      <c r="R502" s="401"/>
      <c r="S502" s="401"/>
      <c r="T502" s="401"/>
      <c r="U502" s="401"/>
      <c r="V502" s="401"/>
      <c r="W502" s="592"/>
      <c r="X502" s="401"/>
      <c r="Y502" s="401"/>
      <c r="Z502" s="401"/>
    </row>
    <row r="503" ht="18.75" customHeight="1">
      <c r="A503" s="401"/>
      <c r="B503" s="401"/>
      <c r="C503" s="401"/>
      <c r="D503" s="401"/>
      <c r="E503" s="401"/>
      <c r="F503" s="550"/>
      <c r="G503" s="550"/>
      <c r="H503" s="401"/>
      <c r="I503" s="401"/>
      <c r="J503" s="401"/>
      <c r="K503" s="401"/>
      <c r="L503" s="401"/>
      <c r="M503" s="401"/>
      <c r="N503" s="401"/>
      <c r="O503" s="401"/>
      <c r="P503" s="401"/>
      <c r="Q503" s="401"/>
      <c r="R503" s="401"/>
      <c r="S503" s="401"/>
      <c r="T503" s="401"/>
      <c r="U503" s="401"/>
      <c r="V503" s="401"/>
      <c r="W503" s="592"/>
      <c r="X503" s="401"/>
      <c r="Y503" s="401"/>
      <c r="Z503" s="401"/>
    </row>
    <row r="504" ht="18.75" customHeight="1">
      <c r="A504" s="401"/>
      <c r="B504" s="401"/>
      <c r="C504" s="401"/>
      <c r="D504" s="401"/>
      <c r="E504" s="401"/>
      <c r="F504" s="550"/>
      <c r="G504" s="550"/>
      <c r="H504" s="401"/>
      <c r="I504" s="401"/>
      <c r="J504" s="401"/>
      <c r="K504" s="401"/>
      <c r="L504" s="401"/>
      <c r="M504" s="401"/>
      <c r="N504" s="401"/>
      <c r="O504" s="401"/>
      <c r="P504" s="401"/>
      <c r="Q504" s="401"/>
      <c r="R504" s="401"/>
      <c r="S504" s="401"/>
      <c r="T504" s="401"/>
      <c r="U504" s="401"/>
      <c r="V504" s="401"/>
      <c r="W504" s="592"/>
      <c r="X504" s="401"/>
      <c r="Y504" s="401"/>
      <c r="Z504" s="401"/>
    </row>
    <row r="505" ht="18.75" customHeight="1">
      <c r="A505" s="401"/>
      <c r="B505" s="401"/>
      <c r="C505" s="401"/>
      <c r="D505" s="401"/>
      <c r="E505" s="401"/>
      <c r="F505" s="550"/>
      <c r="G505" s="550"/>
      <c r="H505" s="401"/>
      <c r="I505" s="401"/>
      <c r="J505" s="401"/>
      <c r="K505" s="401"/>
      <c r="L505" s="401"/>
      <c r="M505" s="401"/>
      <c r="N505" s="401"/>
      <c r="O505" s="401"/>
      <c r="P505" s="401"/>
      <c r="Q505" s="401"/>
      <c r="R505" s="401"/>
      <c r="S505" s="401"/>
      <c r="T505" s="401"/>
      <c r="U505" s="401"/>
      <c r="V505" s="401"/>
      <c r="W505" s="592"/>
      <c r="X505" s="401"/>
      <c r="Y505" s="401"/>
      <c r="Z505" s="401"/>
    </row>
    <row r="506" ht="18.75" customHeight="1">
      <c r="A506" s="401"/>
      <c r="B506" s="401"/>
      <c r="C506" s="401"/>
      <c r="D506" s="401"/>
      <c r="E506" s="401"/>
      <c r="F506" s="550"/>
      <c r="G506" s="550"/>
      <c r="H506" s="401"/>
      <c r="I506" s="401"/>
      <c r="J506" s="401"/>
      <c r="K506" s="401"/>
      <c r="L506" s="401"/>
      <c r="M506" s="401"/>
      <c r="N506" s="401"/>
      <c r="O506" s="401"/>
      <c r="P506" s="401"/>
      <c r="Q506" s="401"/>
      <c r="R506" s="401"/>
      <c r="S506" s="401"/>
      <c r="T506" s="401"/>
      <c r="U506" s="401"/>
      <c r="V506" s="401"/>
      <c r="W506" s="592"/>
      <c r="X506" s="401"/>
      <c r="Y506" s="401"/>
      <c r="Z506" s="401"/>
    </row>
    <row r="507" ht="18.75" customHeight="1">
      <c r="A507" s="401"/>
      <c r="B507" s="401"/>
      <c r="C507" s="401"/>
      <c r="D507" s="401"/>
      <c r="E507" s="401"/>
      <c r="F507" s="550"/>
      <c r="G507" s="550"/>
      <c r="H507" s="401"/>
      <c r="I507" s="401"/>
      <c r="J507" s="401"/>
      <c r="K507" s="401"/>
      <c r="L507" s="401"/>
      <c r="M507" s="401"/>
      <c r="N507" s="401"/>
      <c r="O507" s="401"/>
      <c r="P507" s="401"/>
      <c r="Q507" s="401"/>
      <c r="R507" s="401"/>
      <c r="S507" s="401"/>
      <c r="T507" s="401"/>
      <c r="U507" s="401"/>
      <c r="V507" s="401"/>
      <c r="W507" s="592"/>
      <c r="X507" s="401"/>
      <c r="Y507" s="401"/>
      <c r="Z507" s="401"/>
    </row>
    <row r="508" ht="18.75" customHeight="1">
      <c r="A508" s="401"/>
      <c r="B508" s="401"/>
      <c r="C508" s="401"/>
      <c r="D508" s="401"/>
      <c r="E508" s="401"/>
      <c r="F508" s="550"/>
      <c r="G508" s="550"/>
      <c r="H508" s="401"/>
      <c r="I508" s="401"/>
      <c r="J508" s="401"/>
      <c r="K508" s="401"/>
      <c r="L508" s="401"/>
      <c r="M508" s="401"/>
      <c r="N508" s="401"/>
      <c r="O508" s="401"/>
      <c r="P508" s="401"/>
      <c r="Q508" s="401"/>
      <c r="R508" s="401"/>
      <c r="S508" s="401"/>
      <c r="T508" s="401"/>
      <c r="U508" s="401"/>
      <c r="V508" s="401"/>
      <c r="W508" s="592"/>
      <c r="X508" s="401"/>
      <c r="Y508" s="401"/>
      <c r="Z508" s="401"/>
    </row>
    <row r="509" ht="18.75" customHeight="1">
      <c r="A509" s="401"/>
      <c r="B509" s="401"/>
      <c r="C509" s="401"/>
      <c r="D509" s="401"/>
      <c r="E509" s="401"/>
      <c r="F509" s="550"/>
      <c r="G509" s="550"/>
      <c r="H509" s="401"/>
      <c r="I509" s="401"/>
      <c r="J509" s="401"/>
      <c r="K509" s="401"/>
      <c r="L509" s="401"/>
      <c r="M509" s="401"/>
      <c r="N509" s="401"/>
      <c r="O509" s="401"/>
      <c r="P509" s="401"/>
      <c r="Q509" s="401"/>
      <c r="R509" s="401"/>
      <c r="S509" s="401"/>
      <c r="T509" s="401"/>
      <c r="U509" s="401"/>
      <c r="V509" s="401"/>
      <c r="W509" s="592"/>
      <c r="X509" s="401"/>
      <c r="Y509" s="401"/>
      <c r="Z509" s="401"/>
    </row>
    <row r="510" ht="18.75" customHeight="1">
      <c r="A510" s="401"/>
      <c r="B510" s="401"/>
      <c r="C510" s="401"/>
      <c r="D510" s="401"/>
      <c r="E510" s="401"/>
      <c r="F510" s="550"/>
      <c r="G510" s="550"/>
      <c r="H510" s="401"/>
      <c r="I510" s="401"/>
      <c r="J510" s="401"/>
      <c r="K510" s="401"/>
      <c r="L510" s="401"/>
      <c r="M510" s="401"/>
      <c r="N510" s="401"/>
      <c r="O510" s="401"/>
      <c r="P510" s="401"/>
      <c r="Q510" s="401"/>
      <c r="R510" s="401"/>
      <c r="S510" s="401"/>
      <c r="T510" s="401"/>
      <c r="U510" s="401"/>
      <c r="V510" s="401"/>
      <c r="W510" s="592"/>
      <c r="X510" s="401"/>
      <c r="Y510" s="401"/>
      <c r="Z510" s="401"/>
    </row>
    <row r="511" ht="18.75" customHeight="1">
      <c r="A511" s="401"/>
      <c r="B511" s="401"/>
      <c r="C511" s="401"/>
      <c r="D511" s="401"/>
      <c r="E511" s="401"/>
      <c r="F511" s="550"/>
      <c r="G511" s="550"/>
      <c r="H511" s="401"/>
      <c r="I511" s="401"/>
      <c r="J511" s="401"/>
      <c r="K511" s="401"/>
      <c r="L511" s="401"/>
      <c r="M511" s="401"/>
      <c r="N511" s="401"/>
      <c r="O511" s="401"/>
      <c r="P511" s="401"/>
      <c r="Q511" s="401"/>
      <c r="R511" s="401"/>
      <c r="S511" s="401"/>
      <c r="T511" s="401"/>
      <c r="U511" s="401"/>
      <c r="V511" s="401"/>
      <c r="W511" s="592"/>
      <c r="X511" s="401"/>
      <c r="Y511" s="401"/>
      <c r="Z511" s="401"/>
    </row>
    <row r="512" ht="18.75" customHeight="1">
      <c r="A512" s="401"/>
      <c r="B512" s="401"/>
      <c r="C512" s="401"/>
      <c r="D512" s="401"/>
      <c r="E512" s="401"/>
      <c r="F512" s="550"/>
      <c r="G512" s="550"/>
      <c r="H512" s="401"/>
      <c r="I512" s="401"/>
      <c r="J512" s="401"/>
      <c r="K512" s="401"/>
      <c r="L512" s="401"/>
      <c r="M512" s="401"/>
      <c r="N512" s="401"/>
      <c r="O512" s="401"/>
      <c r="P512" s="401"/>
      <c r="Q512" s="401"/>
      <c r="R512" s="401"/>
      <c r="S512" s="401"/>
      <c r="T512" s="401"/>
      <c r="U512" s="401"/>
      <c r="V512" s="401"/>
      <c r="W512" s="592"/>
      <c r="X512" s="401"/>
      <c r="Y512" s="401"/>
      <c r="Z512" s="401"/>
    </row>
    <row r="513" ht="18.75" customHeight="1">
      <c r="A513" s="401"/>
      <c r="B513" s="401"/>
      <c r="C513" s="401"/>
      <c r="D513" s="401"/>
      <c r="E513" s="401"/>
      <c r="F513" s="550"/>
      <c r="G513" s="550"/>
      <c r="H513" s="401"/>
      <c r="I513" s="401"/>
      <c r="J513" s="401"/>
      <c r="K513" s="401"/>
      <c r="L513" s="401"/>
      <c r="M513" s="401"/>
      <c r="N513" s="401"/>
      <c r="O513" s="401"/>
      <c r="P513" s="401"/>
      <c r="Q513" s="401"/>
      <c r="R513" s="401"/>
      <c r="S513" s="401"/>
      <c r="T513" s="401"/>
      <c r="U513" s="401"/>
      <c r="V513" s="401"/>
      <c r="W513" s="592"/>
      <c r="X513" s="401"/>
      <c r="Y513" s="401"/>
      <c r="Z513" s="401"/>
    </row>
    <row r="514" ht="18.75" customHeight="1">
      <c r="A514" s="401"/>
      <c r="B514" s="401"/>
      <c r="C514" s="401"/>
      <c r="D514" s="401"/>
      <c r="E514" s="401"/>
      <c r="F514" s="550"/>
      <c r="G514" s="550"/>
      <c r="H514" s="401"/>
      <c r="I514" s="401"/>
      <c r="J514" s="401"/>
      <c r="K514" s="401"/>
      <c r="L514" s="401"/>
      <c r="M514" s="401"/>
      <c r="N514" s="401"/>
      <c r="O514" s="401"/>
      <c r="P514" s="401"/>
      <c r="Q514" s="401"/>
      <c r="R514" s="401"/>
      <c r="S514" s="401"/>
      <c r="T514" s="401"/>
      <c r="U514" s="401"/>
      <c r="V514" s="401"/>
      <c r="W514" s="592"/>
      <c r="X514" s="401"/>
      <c r="Y514" s="401"/>
      <c r="Z514" s="401"/>
    </row>
    <row r="515" ht="18.75" customHeight="1">
      <c r="A515" s="401"/>
      <c r="B515" s="401"/>
      <c r="C515" s="401"/>
      <c r="D515" s="401"/>
      <c r="E515" s="401"/>
      <c r="F515" s="550"/>
      <c r="G515" s="550"/>
      <c r="H515" s="401"/>
      <c r="I515" s="401"/>
      <c r="J515" s="401"/>
      <c r="K515" s="401"/>
      <c r="L515" s="401"/>
      <c r="M515" s="401"/>
      <c r="N515" s="401"/>
      <c r="O515" s="401"/>
      <c r="P515" s="401"/>
      <c r="Q515" s="401"/>
      <c r="R515" s="401"/>
      <c r="S515" s="401"/>
      <c r="T515" s="401"/>
      <c r="U515" s="401"/>
      <c r="V515" s="401"/>
      <c r="W515" s="592"/>
      <c r="X515" s="401"/>
      <c r="Y515" s="401"/>
      <c r="Z515" s="401"/>
    </row>
    <row r="516" ht="18.75" customHeight="1">
      <c r="A516" s="401"/>
      <c r="B516" s="401"/>
      <c r="C516" s="401"/>
      <c r="D516" s="401"/>
      <c r="E516" s="401"/>
      <c r="F516" s="550"/>
      <c r="G516" s="550"/>
      <c r="H516" s="401"/>
      <c r="I516" s="401"/>
      <c r="J516" s="401"/>
      <c r="K516" s="401"/>
      <c r="L516" s="401"/>
      <c r="M516" s="401"/>
      <c r="N516" s="401"/>
      <c r="O516" s="401"/>
      <c r="P516" s="401"/>
      <c r="Q516" s="401"/>
      <c r="R516" s="401"/>
      <c r="S516" s="401"/>
      <c r="T516" s="401"/>
      <c r="U516" s="401"/>
      <c r="V516" s="401"/>
      <c r="W516" s="592"/>
      <c r="X516" s="401"/>
      <c r="Y516" s="401"/>
      <c r="Z516" s="401"/>
    </row>
    <row r="517" ht="18.75" customHeight="1">
      <c r="A517" s="401"/>
      <c r="B517" s="401"/>
      <c r="C517" s="401"/>
      <c r="D517" s="401"/>
      <c r="E517" s="401"/>
      <c r="F517" s="550"/>
      <c r="G517" s="550"/>
      <c r="H517" s="401"/>
      <c r="I517" s="401"/>
      <c r="J517" s="401"/>
      <c r="K517" s="401"/>
      <c r="L517" s="401"/>
      <c r="M517" s="401"/>
      <c r="N517" s="401"/>
      <c r="O517" s="401"/>
      <c r="P517" s="401"/>
      <c r="Q517" s="401"/>
      <c r="R517" s="401"/>
      <c r="S517" s="401"/>
      <c r="T517" s="401"/>
      <c r="U517" s="401"/>
      <c r="V517" s="401"/>
      <c r="W517" s="592"/>
      <c r="X517" s="401"/>
      <c r="Y517" s="401"/>
      <c r="Z517" s="401"/>
    </row>
    <row r="518" ht="18.75" customHeight="1">
      <c r="A518" s="401"/>
      <c r="B518" s="401"/>
      <c r="C518" s="401"/>
      <c r="D518" s="401"/>
      <c r="E518" s="401"/>
      <c r="F518" s="550"/>
      <c r="G518" s="550"/>
      <c r="H518" s="401"/>
      <c r="I518" s="401"/>
      <c r="J518" s="401"/>
      <c r="K518" s="401"/>
      <c r="L518" s="401"/>
      <c r="M518" s="401"/>
      <c r="N518" s="401"/>
      <c r="O518" s="401"/>
      <c r="P518" s="401"/>
      <c r="Q518" s="401"/>
      <c r="R518" s="401"/>
      <c r="S518" s="401"/>
      <c r="T518" s="401"/>
      <c r="U518" s="401"/>
      <c r="V518" s="401"/>
      <c r="W518" s="592"/>
      <c r="X518" s="401"/>
      <c r="Y518" s="401"/>
      <c r="Z518" s="401"/>
    </row>
    <row r="519" ht="18.75" customHeight="1">
      <c r="A519" s="401"/>
      <c r="B519" s="401"/>
      <c r="C519" s="401"/>
      <c r="D519" s="401"/>
      <c r="E519" s="401"/>
      <c r="F519" s="550"/>
      <c r="G519" s="550"/>
      <c r="H519" s="401"/>
      <c r="I519" s="401"/>
      <c r="J519" s="401"/>
      <c r="K519" s="401"/>
      <c r="L519" s="401"/>
      <c r="M519" s="401"/>
      <c r="N519" s="401"/>
      <c r="O519" s="401"/>
      <c r="P519" s="401"/>
      <c r="Q519" s="401"/>
      <c r="R519" s="401"/>
      <c r="S519" s="401"/>
      <c r="T519" s="401"/>
      <c r="U519" s="401"/>
      <c r="V519" s="401"/>
      <c r="W519" s="592"/>
      <c r="X519" s="401"/>
      <c r="Y519" s="401"/>
      <c r="Z519" s="401"/>
    </row>
    <row r="520" ht="18.75" customHeight="1">
      <c r="A520" s="401"/>
      <c r="B520" s="401"/>
      <c r="C520" s="401"/>
      <c r="D520" s="401"/>
      <c r="E520" s="401"/>
      <c r="F520" s="550"/>
      <c r="G520" s="550"/>
      <c r="H520" s="401"/>
      <c r="I520" s="401"/>
      <c r="J520" s="401"/>
      <c r="K520" s="401"/>
      <c r="L520" s="401"/>
      <c r="M520" s="401"/>
      <c r="N520" s="401"/>
      <c r="O520" s="401"/>
      <c r="P520" s="401"/>
      <c r="Q520" s="401"/>
      <c r="R520" s="401"/>
      <c r="S520" s="401"/>
      <c r="T520" s="401"/>
      <c r="U520" s="401"/>
      <c r="V520" s="401"/>
      <c r="W520" s="592"/>
      <c r="X520" s="401"/>
      <c r="Y520" s="401"/>
      <c r="Z520" s="401"/>
    </row>
    <row r="521" ht="18.75" customHeight="1">
      <c r="A521" s="401"/>
      <c r="B521" s="401"/>
      <c r="C521" s="401"/>
      <c r="D521" s="401"/>
      <c r="E521" s="401"/>
      <c r="F521" s="550"/>
      <c r="G521" s="550"/>
      <c r="H521" s="401"/>
      <c r="I521" s="401"/>
      <c r="J521" s="401"/>
      <c r="K521" s="401"/>
      <c r="L521" s="401"/>
      <c r="M521" s="401"/>
      <c r="N521" s="401"/>
      <c r="O521" s="401"/>
      <c r="P521" s="401"/>
      <c r="Q521" s="401"/>
      <c r="R521" s="401"/>
      <c r="S521" s="401"/>
      <c r="T521" s="401"/>
      <c r="U521" s="401"/>
      <c r="V521" s="401"/>
      <c r="W521" s="592"/>
      <c r="X521" s="401"/>
      <c r="Y521" s="401"/>
      <c r="Z521" s="401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507"/>
      <c r="B1" s="508"/>
      <c r="C1" s="508"/>
      <c r="D1" s="508"/>
      <c r="E1" s="508"/>
      <c r="F1" s="515"/>
      <c r="G1" s="515"/>
      <c r="H1" s="508"/>
      <c r="I1" s="521"/>
      <c r="J1" s="521"/>
      <c r="K1" s="510"/>
      <c r="L1" s="510"/>
      <c r="M1" s="510"/>
      <c r="N1" s="510"/>
      <c r="O1" s="507"/>
      <c r="P1" s="507"/>
      <c r="Q1" s="507"/>
      <c r="R1" s="510"/>
      <c r="S1" s="510"/>
      <c r="T1" s="510"/>
      <c r="U1" s="510"/>
      <c r="V1" s="510"/>
      <c r="W1" s="510"/>
      <c r="X1" s="507"/>
      <c r="Y1" s="507"/>
    </row>
    <row r="2" ht="21.0" customHeight="1">
      <c r="A2" s="596"/>
      <c r="B2" s="597"/>
      <c r="C2" s="597"/>
      <c r="D2" s="597"/>
      <c r="E2" s="598"/>
      <c r="F2" s="599"/>
      <c r="G2" s="599"/>
      <c r="H2" s="597"/>
      <c r="I2" s="600"/>
      <c r="J2" s="600"/>
      <c r="K2" s="599"/>
      <c r="L2" s="599"/>
      <c r="M2" s="599"/>
      <c r="N2" s="26"/>
      <c r="O2" s="601"/>
      <c r="P2" s="602"/>
      <c r="Q2" s="602"/>
      <c r="R2" s="599"/>
      <c r="S2" s="599"/>
      <c r="T2" s="599"/>
      <c r="U2" s="599"/>
      <c r="V2" s="599"/>
      <c r="W2" s="599"/>
      <c r="X2" s="596"/>
      <c r="Y2" s="596"/>
    </row>
    <row r="3" ht="21.0" customHeight="1">
      <c r="A3" s="596"/>
      <c r="B3" s="597"/>
      <c r="C3" s="26"/>
      <c r="D3" s="599"/>
      <c r="E3" s="599"/>
      <c r="F3" s="599"/>
      <c r="G3" s="599"/>
      <c r="H3" s="599"/>
      <c r="I3" s="599"/>
      <c r="J3" s="599"/>
      <c r="K3" s="602"/>
      <c r="L3" s="601"/>
      <c r="M3" s="601"/>
      <c r="N3" s="602"/>
      <c r="O3" s="601"/>
      <c r="P3" s="602"/>
      <c r="Q3" s="602"/>
      <c r="R3" s="599"/>
      <c r="S3" s="599"/>
      <c r="T3" s="599"/>
      <c r="U3" s="599"/>
      <c r="V3" s="603"/>
      <c r="W3" s="599"/>
      <c r="X3" s="596"/>
      <c r="Y3" s="596"/>
    </row>
    <row r="4" ht="21.0" customHeight="1">
      <c r="A4" s="596"/>
      <c r="B4" s="604"/>
      <c r="C4" s="599"/>
      <c r="D4" s="599"/>
      <c r="E4" s="599"/>
      <c r="F4" s="599"/>
      <c r="G4" s="599"/>
      <c r="H4" s="599"/>
      <c r="I4" s="599"/>
      <c r="J4" s="599"/>
      <c r="K4" s="602"/>
      <c r="L4" s="601"/>
      <c r="M4" s="601"/>
      <c r="N4" s="602"/>
      <c r="O4" s="605"/>
      <c r="P4" s="596"/>
      <c r="Q4" s="596"/>
      <c r="R4" s="599"/>
      <c r="S4" s="599"/>
      <c r="T4" s="599"/>
      <c r="U4" s="599"/>
      <c r="V4" s="603"/>
      <c r="W4" s="599"/>
      <c r="X4" s="596"/>
      <c r="Y4" s="596"/>
    </row>
    <row r="5" ht="21.0" customHeight="1">
      <c r="A5" s="596"/>
      <c r="B5" s="604"/>
      <c r="C5" s="599"/>
      <c r="D5" s="599"/>
      <c r="E5" s="599"/>
      <c r="F5" s="599"/>
      <c r="G5" s="599"/>
      <c r="H5" s="599"/>
      <c r="I5" s="606"/>
      <c r="J5" s="606"/>
      <c r="K5" s="607"/>
      <c r="L5" s="606"/>
      <c r="M5" s="606"/>
      <c r="N5" s="599"/>
      <c r="O5" s="596"/>
      <c r="P5" s="596"/>
      <c r="Q5" s="596"/>
      <c r="R5" s="599"/>
      <c r="S5" s="599"/>
      <c r="T5" s="599"/>
      <c r="U5" s="599"/>
      <c r="V5" s="603"/>
      <c r="W5" s="599"/>
      <c r="X5" s="596"/>
      <c r="Y5" s="596"/>
    </row>
    <row r="6" ht="21.0" customHeight="1">
      <c r="A6" s="596"/>
      <c r="B6" s="604"/>
      <c r="C6" s="599"/>
      <c r="D6" s="599"/>
      <c r="E6" s="599"/>
      <c r="F6" s="599"/>
      <c r="G6" s="599"/>
      <c r="H6" s="597"/>
      <c r="I6" s="26"/>
      <c r="J6" s="26"/>
      <c r="K6" s="601"/>
      <c r="L6" s="602"/>
      <c r="M6" s="602"/>
      <c r="N6" s="599"/>
      <c r="O6" s="596"/>
      <c r="P6" s="596"/>
      <c r="Q6" s="596"/>
      <c r="R6" s="599"/>
      <c r="S6" s="599"/>
      <c r="T6" s="599"/>
      <c r="U6" s="599"/>
      <c r="V6" s="603"/>
      <c r="W6" s="599"/>
      <c r="X6" s="596"/>
      <c r="Y6" s="596"/>
    </row>
    <row r="7" ht="21.0" customHeight="1">
      <c r="A7" s="596"/>
      <c r="B7" s="604"/>
      <c r="C7" s="608"/>
      <c r="D7" s="599"/>
      <c r="E7" s="609"/>
      <c r="F7" s="599"/>
      <c r="G7" s="599"/>
      <c r="H7" s="597"/>
      <c r="I7" s="26"/>
      <c r="J7" s="26"/>
      <c r="K7" s="607"/>
      <c r="L7" s="607"/>
      <c r="M7" s="607"/>
      <c r="N7" s="599"/>
      <c r="O7" s="596"/>
      <c r="P7" s="596"/>
      <c r="Q7" s="596"/>
      <c r="R7" s="599"/>
      <c r="S7" s="599"/>
      <c r="T7" s="599"/>
      <c r="U7" s="599"/>
      <c r="V7" s="603"/>
      <c r="W7" s="599"/>
      <c r="X7" s="596"/>
      <c r="Y7" s="596"/>
    </row>
    <row r="8" ht="21.0" customHeight="1">
      <c r="A8" s="596"/>
      <c r="B8" s="604"/>
      <c r="C8" s="599"/>
      <c r="D8" s="599"/>
      <c r="E8" s="599"/>
      <c r="F8" s="599"/>
      <c r="G8" s="599"/>
      <c r="H8" s="610"/>
      <c r="I8" s="611"/>
      <c r="J8" s="611"/>
      <c r="K8" s="612"/>
      <c r="L8" s="599"/>
      <c r="M8" s="599"/>
      <c r="N8" s="599"/>
      <c r="O8" s="596"/>
      <c r="P8" s="596"/>
      <c r="Q8" s="596"/>
      <c r="R8" s="599"/>
      <c r="S8" s="599"/>
      <c r="T8" s="599"/>
      <c r="U8" s="599"/>
      <c r="V8" s="603"/>
      <c r="W8" s="599"/>
      <c r="X8" s="596"/>
      <c r="Y8" s="596"/>
    </row>
    <row r="9" ht="21.0" customHeight="1">
      <c r="A9" s="507"/>
      <c r="B9" s="514"/>
      <c r="C9" s="510"/>
      <c r="D9" s="510"/>
      <c r="E9" s="510"/>
      <c r="F9" s="510"/>
      <c r="G9" s="510"/>
      <c r="H9" s="522"/>
      <c r="I9" s="611"/>
      <c r="J9" s="611"/>
      <c r="K9" s="612"/>
      <c r="L9" s="599"/>
      <c r="M9" s="599"/>
      <c r="N9" s="599"/>
      <c r="O9" s="596"/>
      <c r="P9" s="596"/>
      <c r="Q9" s="596"/>
      <c r="R9" s="599"/>
      <c r="S9" s="599"/>
      <c r="T9" s="599"/>
      <c r="U9" s="599"/>
      <c r="V9" s="603"/>
      <c r="W9" s="599"/>
      <c r="X9" s="596"/>
      <c r="Y9" s="596"/>
    </row>
    <row r="10" ht="21.0" customHeight="1">
      <c r="A10" s="507"/>
      <c r="B10" s="508"/>
      <c r="C10" s="510"/>
      <c r="D10" s="510"/>
      <c r="E10" s="510"/>
      <c r="F10" s="510"/>
      <c r="G10" s="510"/>
      <c r="H10" s="522"/>
      <c r="I10" s="611"/>
      <c r="J10" s="611"/>
      <c r="K10" s="612"/>
      <c r="L10" s="599"/>
      <c r="M10" s="599"/>
      <c r="N10" s="599"/>
      <c r="O10" s="596"/>
      <c r="P10" s="596"/>
      <c r="Q10" s="596"/>
      <c r="R10" s="599"/>
      <c r="S10" s="599"/>
      <c r="T10" s="599"/>
      <c r="U10" s="599"/>
      <c r="V10" s="603"/>
      <c r="W10" s="599"/>
      <c r="X10" s="596"/>
      <c r="Y10" s="596"/>
    </row>
    <row r="11" ht="21.0" customHeight="1">
      <c r="A11" s="507"/>
      <c r="B11" s="508" t="s">
        <v>266</v>
      </c>
      <c r="C11" s="510" t="s">
        <v>267</v>
      </c>
      <c r="D11" s="510" t="s">
        <v>268</v>
      </c>
      <c r="E11" s="507" t="s">
        <v>275</v>
      </c>
      <c r="F11" s="510"/>
      <c r="G11" s="510"/>
      <c r="H11" s="522"/>
      <c r="I11" s="600"/>
      <c r="J11" s="600"/>
      <c r="K11" s="610"/>
      <c r="L11" s="599"/>
      <c r="M11" s="599"/>
      <c r="N11" s="599"/>
      <c r="O11" s="596"/>
      <c r="P11" s="596"/>
      <c r="Q11" s="596"/>
      <c r="R11" s="599"/>
      <c r="S11" s="599"/>
      <c r="T11" s="599"/>
      <c r="U11" s="599"/>
      <c r="V11" s="597"/>
      <c r="W11" s="599"/>
      <c r="X11" s="599"/>
      <c r="Y11" s="596"/>
    </row>
    <row r="12" ht="21.0" customHeight="1">
      <c r="A12" s="507"/>
      <c r="B12" s="508">
        <v>1.0</v>
      </c>
      <c r="C12" s="522"/>
      <c r="D12" s="583"/>
      <c r="E12" s="522"/>
      <c r="F12" s="510"/>
      <c r="G12" s="510"/>
      <c r="H12" s="522"/>
      <c r="I12" s="613"/>
      <c r="J12" s="613"/>
      <c r="K12" s="612"/>
      <c r="L12" s="599"/>
      <c r="M12" s="599"/>
      <c r="N12" s="599"/>
      <c r="O12" s="596"/>
      <c r="P12" s="596"/>
      <c r="Q12" s="596"/>
      <c r="R12" s="599"/>
      <c r="S12" s="66"/>
      <c r="T12" s="66"/>
      <c r="U12" s="599"/>
      <c r="V12" s="597"/>
      <c r="W12" s="614"/>
      <c r="X12" s="605"/>
      <c r="Y12" s="596"/>
    </row>
    <row r="13" ht="21.0" customHeight="1">
      <c r="A13" s="507"/>
      <c r="B13" s="508">
        <v>2.0</v>
      </c>
      <c r="C13" s="540"/>
      <c r="D13" s="583"/>
      <c r="E13" s="540"/>
      <c r="F13" s="515"/>
      <c r="G13" s="515"/>
      <c r="H13" s="508"/>
      <c r="I13" s="600"/>
      <c r="J13" s="600"/>
      <c r="K13" s="599"/>
      <c r="L13" s="599"/>
      <c r="M13" s="599"/>
      <c r="N13" s="599"/>
      <c r="O13" s="596"/>
      <c r="P13" s="596"/>
      <c r="Q13" s="596"/>
      <c r="R13" s="599"/>
      <c r="S13" s="66"/>
      <c r="T13" s="66"/>
      <c r="U13" s="599"/>
      <c r="V13" s="597"/>
      <c r="W13" s="597"/>
      <c r="X13" s="615"/>
      <c r="Y13" s="596"/>
    </row>
    <row r="14" ht="21.0" customHeight="1">
      <c r="A14" s="507"/>
      <c r="B14" s="508">
        <v>3.0</v>
      </c>
      <c r="C14" s="522"/>
      <c r="D14" s="583"/>
      <c r="E14" s="540"/>
      <c r="F14" s="515"/>
      <c r="G14" s="515"/>
      <c r="H14" s="508"/>
      <c r="I14" s="600"/>
      <c r="J14" s="600"/>
      <c r="K14" s="599"/>
      <c r="L14" s="599"/>
      <c r="M14" s="599"/>
      <c r="N14" s="599"/>
      <c r="O14" s="596"/>
      <c r="P14" s="596"/>
      <c r="Q14" s="596"/>
      <c r="R14" s="599"/>
      <c r="S14" s="66"/>
      <c r="T14" s="66"/>
      <c r="U14" s="599"/>
      <c r="V14" s="597"/>
      <c r="W14" s="597"/>
      <c r="X14" s="615"/>
      <c r="Y14" s="596"/>
    </row>
    <row r="15" ht="21.0" customHeight="1">
      <c r="A15" s="507"/>
      <c r="B15" s="508">
        <v>4.0</v>
      </c>
      <c r="C15" s="522"/>
      <c r="D15" s="583"/>
      <c r="E15" s="540"/>
      <c r="F15" s="515"/>
      <c r="G15" s="515"/>
      <c r="H15" s="508"/>
      <c r="I15" s="600"/>
      <c r="J15" s="600"/>
      <c r="K15" s="599"/>
      <c r="L15" s="599"/>
      <c r="M15" s="599"/>
      <c r="N15" s="599"/>
      <c r="O15" s="596"/>
      <c r="P15" s="596"/>
      <c r="Q15" s="596"/>
      <c r="R15" s="599"/>
      <c r="S15" s="66"/>
      <c r="T15" s="66"/>
      <c r="U15" s="599"/>
      <c r="V15" s="597"/>
      <c r="W15" s="597"/>
      <c r="X15" s="26"/>
      <c r="Y15" s="596"/>
    </row>
    <row r="16" ht="21.0" customHeight="1">
      <c r="A16" s="507"/>
      <c r="B16" s="508">
        <v>5.0</v>
      </c>
      <c r="C16" s="522"/>
      <c r="D16" s="583"/>
      <c r="E16" s="540"/>
      <c r="F16" s="515"/>
      <c r="G16" s="515"/>
      <c r="H16" s="508"/>
      <c r="I16" s="600"/>
      <c r="J16" s="600"/>
      <c r="K16" s="599"/>
      <c r="L16" s="599"/>
      <c r="M16" s="599"/>
      <c r="N16" s="599"/>
      <c r="O16" s="596"/>
      <c r="P16" s="596"/>
      <c r="Q16" s="596"/>
      <c r="R16" s="599"/>
      <c r="S16" s="66"/>
      <c r="T16" s="66"/>
      <c r="U16" s="599"/>
      <c r="V16" s="597"/>
      <c r="W16" s="597"/>
      <c r="X16" s="615"/>
      <c r="Y16" s="596"/>
    </row>
    <row r="17" ht="21.0" customHeight="1">
      <c r="A17" s="507"/>
      <c r="B17" s="508">
        <v>6.0</v>
      </c>
      <c r="C17" s="522"/>
      <c r="D17" s="583"/>
      <c r="E17" s="540"/>
      <c r="F17" s="515"/>
      <c r="G17" s="515"/>
      <c r="H17" s="508"/>
      <c r="I17" s="600"/>
      <c r="J17" s="600"/>
      <c r="K17" s="599"/>
      <c r="L17" s="599"/>
      <c r="M17" s="599"/>
      <c r="N17" s="599"/>
      <c r="O17" s="596"/>
      <c r="P17" s="596"/>
      <c r="Q17" s="596"/>
      <c r="R17" s="599"/>
      <c r="S17" s="66"/>
      <c r="T17" s="66"/>
      <c r="U17" s="599"/>
      <c r="V17" s="597"/>
      <c r="W17" s="597"/>
      <c r="X17" s="615"/>
      <c r="Y17" s="596"/>
    </row>
    <row r="18" ht="21.0" customHeight="1">
      <c r="A18" s="507"/>
      <c r="B18" s="508">
        <v>7.0</v>
      </c>
      <c r="C18" s="540"/>
      <c r="D18" s="586"/>
      <c r="E18" s="540"/>
      <c r="F18" s="515"/>
      <c r="G18" s="515"/>
      <c r="H18" s="508"/>
      <c r="I18" s="600"/>
      <c r="J18" s="600"/>
      <c r="K18" s="599"/>
      <c r="L18" s="599"/>
      <c r="M18" s="599"/>
      <c r="N18" s="599"/>
      <c r="O18" s="596"/>
      <c r="P18" s="596"/>
      <c r="Q18" s="596"/>
      <c r="R18" s="599"/>
      <c r="S18" s="66"/>
      <c r="T18" s="66"/>
      <c r="U18" s="599"/>
      <c r="V18" s="597"/>
      <c r="W18" s="616"/>
      <c r="X18" s="605"/>
      <c r="Y18" s="596"/>
    </row>
    <row r="19" ht="21.0" customHeight="1">
      <c r="A19" s="507"/>
      <c r="B19" s="508">
        <v>8.0</v>
      </c>
      <c r="C19" s="540"/>
      <c r="D19" s="586"/>
      <c r="E19" s="540"/>
      <c r="F19" s="515"/>
      <c r="G19" s="515"/>
      <c r="H19" s="508"/>
      <c r="I19" s="600"/>
      <c r="J19" s="600"/>
      <c r="K19" s="599"/>
      <c r="L19" s="599"/>
      <c r="M19" s="599"/>
      <c r="N19" s="599"/>
      <c r="O19" s="596"/>
      <c r="P19" s="596"/>
      <c r="Q19" s="596"/>
      <c r="R19" s="599"/>
      <c r="S19" s="66"/>
      <c r="T19" s="66"/>
      <c r="U19" s="599"/>
      <c r="V19" s="597"/>
      <c r="W19" s="597"/>
      <c r="X19" s="605"/>
      <c r="Y19" s="596"/>
    </row>
    <row r="20" ht="21.0" customHeight="1">
      <c r="A20" s="507"/>
      <c r="B20" s="508">
        <v>9.0</v>
      </c>
      <c r="C20" s="522"/>
      <c r="D20" s="539"/>
      <c r="E20" s="540"/>
      <c r="F20" s="515"/>
      <c r="G20" s="515"/>
      <c r="H20" s="508"/>
      <c r="I20" s="600"/>
      <c r="J20" s="600"/>
      <c r="K20" s="599"/>
      <c r="L20" s="599"/>
      <c r="M20" s="599"/>
      <c r="N20" s="599"/>
      <c r="O20" s="596"/>
      <c r="P20" s="596"/>
      <c r="Q20" s="596"/>
      <c r="R20" s="599"/>
      <c r="S20" s="66"/>
      <c r="T20" s="66"/>
      <c r="U20" s="599"/>
      <c r="V20" s="597"/>
      <c r="W20" s="617"/>
      <c r="X20" s="605"/>
      <c r="Y20" s="596"/>
    </row>
    <row r="21" ht="21.0" customHeight="1">
      <c r="A21" s="507"/>
      <c r="B21" s="508">
        <v>10.0</v>
      </c>
      <c r="C21" s="522"/>
      <c r="D21" s="583"/>
      <c r="E21" s="540"/>
      <c r="F21" s="515"/>
      <c r="G21" s="515"/>
      <c r="H21" s="508"/>
      <c r="I21" s="600"/>
      <c r="J21" s="600"/>
      <c r="K21" s="599"/>
      <c r="L21" s="599"/>
      <c r="M21" s="599"/>
      <c r="N21" s="599"/>
      <c r="O21" s="596"/>
      <c r="P21" s="596"/>
      <c r="Q21" s="596"/>
      <c r="R21" s="599"/>
      <c r="S21" s="66"/>
      <c r="T21" s="66"/>
      <c r="U21" s="599"/>
      <c r="V21" s="597"/>
      <c r="W21" s="597"/>
      <c r="X21" s="605"/>
      <c r="Y21" s="596"/>
    </row>
    <row r="22" ht="21.0" customHeight="1">
      <c r="A22" s="507"/>
      <c r="B22" s="508">
        <v>11.0</v>
      </c>
      <c r="C22" s="522"/>
      <c r="D22" s="583"/>
      <c r="E22" s="540"/>
      <c r="F22" s="515"/>
      <c r="G22" s="515"/>
      <c r="H22" s="508"/>
      <c r="I22" s="600"/>
      <c r="J22" s="600"/>
      <c r="K22" s="599"/>
      <c r="L22" s="599"/>
      <c r="M22" s="599"/>
      <c r="N22" s="599"/>
      <c r="O22" s="596"/>
      <c r="P22" s="596"/>
      <c r="Q22" s="596"/>
      <c r="R22" s="599"/>
      <c r="S22" s="66"/>
      <c r="T22" s="66"/>
      <c r="U22" s="599"/>
      <c r="V22" s="597"/>
      <c r="W22" s="617"/>
      <c r="X22" s="605"/>
      <c r="Y22" s="596"/>
    </row>
    <row r="23" ht="21.0" customHeight="1">
      <c r="A23" s="507"/>
      <c r="B23" s="508">
        <v>12.0</v>
      </c>
      <c r="C23" s="540"/>
      <c r="D23" s="586"/>
      <c r="E23" s="540"/>
      <c r="F23" s="515"/>
      <c r="G23" s="515"/>
      <c r="H23" s="508"/>
      <c r="I23" s="600"/>
      <c r="J23" s="600"/>
      <c r="K23" s="599"/>
      <c r="L23" s="599"/>
      <c r="M23" s="599"/>
      <c r="N23" s="599"/>
      <c r="O23" s="596"/>
      <c r="P23" s="596"/>
      <c r="Q23" s="596"/>
      <c r="R23" s="599"/>
      <c r="S23" s="66"/>
      <c r="T23" s="66"/>
      <c r="U23" s="599"/>
      <c r="V23" s="597"/>
      <c r="W23" s="617"/>
      <c r="X23" s="605"/>
      <c r="Y23" s="596"/>
    </row>
    <row r="24" ht="21.0" customHeight="1">
      <c r="A24" s="507"/>
      <c r="B24" s="508">
        <v>13.0</v>
      </c>
      <c r="C24" s="522"/>
      <c r="D24" s="583"/>
      <c r="E24" s="540"/>
      <c r="F24" s="515"/>
      <c r="G24" s="515"/>
      <c r="H24" s="508"/>
      <c r="I24" s="600"/>
      <c r="J24" s="600"/>
      <c r="K24" s="599"/>
      <c r="L24" s="599"/>
      <c r="M24" s="599"/>
      <c r="N24" s="599"/>
      <c r="O24" s="596"/>
      <c r="P24" s="596"/>
      <c r="Q24" s="596"/>
      <c r="R24" s="599"/>
      <c r="S24" s="66"/>
      <c r="T24" s="66"/>
      <c r="U24" s="599"/>
      <c r="V24" s="597"/>
      <c r="W24" s="616"/>
      <c r="X24" s="605"/>
      <c r="Y24" s="596"/>
    </row>
    <row r="25" ht="21.0" customHeight="1">
      <c r="A25" s="507"/>
      <c r="B25" s="508">
        <v>14.0</v>
      </c>
      <c r="C25" s="522"/>
      <c r="D25" s="583"/>
      <c r="E25" s="540"/>
      <c r="F25" s="515"/>
      <c r="G25" s="515"/>
      <c r="H25" s="508"/>
      <c r="I25" s="600"/>
      <c r="J25" s="600"/>
      <c r="K25" s="599"/>
      <c r="L25" s="599"/>
      <c r="M25" s="599"/>
      <c r="N25" s="599"/>
      <c r="O25" s="596"/>
      <c r="P25" s="596"/>
      <c r="Q25" s="596"/>
      <c r="R25" s="599"/>
      <c r="S25" s="66"/>
      <c r="T25" s="618"/>
      <c r="U25" s="599"/>
      <c r="V25" s="597"/>
      <c r="W25" s="616"/>
      <c r="X25" s="605"/>
      <c r="Y25" s="596"/>
    </row>
    <row r="26" ht="21.0" customHeight="1">
      <c r="A26" s="507"/>
      <c r="B26" s="508">
        <v>15.0</v>
      </c>
      <c r="C26" s="522"/>
      <c r="D26" s="539"/>
      <c r="E26" s="540"/>
      <c r="F26" s="515"/>
      <c r="G26" s="515"/>
      <c r="H26" s="508"/>
      <c r="I26" s="600"/>
      <c r="J26" s="600"/>
      <c r="K26" s="599"/>
      <c r="L26" s="599"/>
      <c r="M26" s="599"/>
      <c r="N26" s="599"/>
      <c r="O26" s="596"/>
      <c r="P26" s="596"/>
      <c r="Q26" s="596"/>
      <c r="R26" s="599"/>
      <c r="S26" s="66"/>
      <c r="T26" s="66"/>
      <c r="U26" s="599"/>
      <c r="V26" s="597"/>
      <c r="W26" s="616"/>
      <c r="X26" s="605"/>
      <c r="Y26" s="596"/>
    </row>
    <row r="27" ht="21.0" customHeight="1">
      <c r="A27" s="507"/>
      <c r="B27" s="508">
        <v>16.0</v>
      </c>
      <c r="C27" s="522"/>
      <c r="D27" s="583"/>
      <c r="E27" s="540"/>
      <c r="F27" s="515"/>
      <c r="G27" s="515"/>
      <c r="H27" s="508"/>
      <c r="I27" s="600"/>
      <c r="J27" s="600"/>
      <c r="K27" s="599"/>
      <c r="L27" s="599"/>
      <c r="M27" s="599"/>
      <c r="N27" s="599"/>
      <c r="O27" s="596"/>
      <c r="P27" s="596"/>
      <c r="Q27" s="596"/>
      <c r="R27" s="599"/>
      <c r="S27" s="66"/>
      <c r="T27" s="66"/>
      <c r="U27" s="599"/>
      <c r="V27" s="597"/>
      <c r="W27" s="597"/>
      <c r="X27" s="605"/>
      <c r="Y27" s="596"/>
    </row>
    <row r="28" ht="21.0" customHeight="1">
      <c r="A28" s="507"/>
      <c r="B28" s="508">
        <v>17.0</v>
      </c>
      <c r="C28" s="540"/>
      <c r="D28" s="586"/>
      <c r="E28" s="540"/>
      <c r="F28" s="515"/>
      <c r="G28" s="515"/>
      <c r="H28" s="508"/>
      <c r="I28" s="600"/>
      <c r="J28" s="600"/>
      <c r="K28" s="599"/>
      <c r="L28" s="599"/>
      <c r="M28" s="599"/>
      <c r="N28" s="599"/>
      <c r="O28" s="596"/>
      <c r="P28" s="596"/>
      <c r="Q28" s="596"/>
      <c r="R28" s="599"/>
      <c r="S28" s="66"/>
      <c r="T28" s="66"/>
      <c r="U28" s="599"/>
      <c r="V28" s="597"/>
      <c r="W28" s="597"/>
      <c r="X28" s="605"/>
      <c r="Y28" s="596"/>
    </row>
    <row r="29" ht="21.0" customHeight="1">
      <c r="A29" s="507"/>
      <c r="B29" s="508">
        <v>18.0</v>
      </c>
      <c r="C29" s="522"/>
      <c r="D29" s="583"/>
      <c r="E29" s="540"/>
      <c r="F29" s="515"/>
      <c r="G29" s="515"/>
      <c r="H29" s="508"/>
      <c r="I29" s="600"/>
      <c r="J29" s="600"/>
      <c r="K29" s="599"/>
      <c r="L29" s="599"/>
      <c r="M29" s="599"/>
      <c r="N29" s="599"/>
      <c r="O29" s="596"/>
      <c r="P29" s="596"/>
      <c r="Q29" s="596"/>
      <c r="R29" s="599"/>
      <c r="S29" s="66"/>
      <c r="T29" s="66"/>
      <c r="U29" s="599"/>
      <c r="V29" s="597"/>
      <c r="W29" s="597"/>
      <c r="X29" s="605"/>
      <c r="Y29" s="596"/>
    </row>
    <row r="30" ht="21.0" customHeight="1">
      <c r="A30" s="507"/>
      <c r="B30" s="508">
        <v>19.0</v>
      </c>
      <c r="C30" s="522"/>
      <c r="D30" s="583"/>
      <c r="E30" s="540"/>
      <c r="F30" s="515"/>
      <c r="G30" s="515"/>
      <c r="H30" s="508"/>
      <c r="I30" s="600"/>
      <c r="J30" s="600"/>
      <c r="K30" s="599"/>
      <c r="L30" s="599"/>
      <c r="M30" s="599"/>
      <c r="N30" s="599"/>
      <c r="O30" s="596"/>
      <c r="P30" s="596"/>
      <c r="Q30" s="596"/>
      <c r="R30" s="599"/>
      <c r="S30" s="66"/>
      <c r="T30" s="66"/>
      <c r="U30" s="599"/>
      <c r="V30" s="597"/>
      <c r="W30" s="616"/>
      <c r="X30" s="605"/>
      <c r="Y30" s="596"/>
    </row>
    <row r="31" ht="21.0" customHeight="1">
      <c r="A31" s="507"/>
      <c r="B31" s="508">
        <v>20.0</v>
      </c>
      <c r="C31" s="522"/>
      <c r="D31" s="583"/>
      <c r="E31" s="540"/>
      <c r="F31" s="515"/>
      <c r="G31" s="515"/>
      <c r="H31" s="508"/>
      <c r="I31" s="600"/>
      <c r="J31" s="600"/>
      <c r="K31" s="599"/>
      <c r="L31" s="599"/>
      <c r="M31" s="599"/>
      <c r="N31" s="599"/>
      <c r="O31" s="596"/>
      <c r="P31" s="596"/>
      <c r="Q31" s="596"/>
      <c r="R31" s="599"/>
      <c r="S31" s="66"/>
      <c r="T31" s="66"/>
      <c r="U31" s="599"/>
      <c r="V31" s="603"/>
      <c r="W31" s="599"/>
      <c r="X31" s="596"/>
      <c r="Y31" s="596"/>
    </row>
    <row r="32" ht="21.0" customHeight="1">
      <c r="A32" s="507"/>
      <c r="B32" s="508">
        <v>21.0</v>
      </c>
      <c r="C32" s="522"/>
      <c r="D32" s="583"/>
      <c r="E32" s="540"/>
      <c r="F32" s="515"/>
      <c r="G32" s="515"/>
      <c r="H32" s="508"/>
      <c r="I32" s="600"/>
      <c r="J32" s="600"/>
      <c r="K32" s="599"/>
      <c r="L32" s="599"/>
      <c r="M32" s="599"/>
      <c r="N32" s="599"/>
      <c r="O32" s="596"/>
      <c r="P32" s="596"/>
      <c r="Q32" s="596"/>
      <c r="R32" s="599"/>
      <c r="S32" s="66"/>
      <c r="T32" s="66"/>
      <c r="U32" s="599"/>
      <c r="V32" s="603"/>
      <c r="W32" s="599"/>
      <c r="X32" s="596"/>
      <c r="Y32" s="596"/>
    </row>
    <row r="33" ht="21.0" customHeight="1">
      <c r="A33" s="507"/>
      <c r="B33" s="508">
        <v>22.0</v>
      </c>
      <c r="C33" s="522"/>
      <c r="D33" s="591"/>
      <c r="E33" s="619"/>
      <c r="F33" s="515"/>
      <c r="G33" s="515"/>
      <c r="H33" s="508"/>
      <c r="I33" s="600"/>
      <c r="J33" s="600"/>
      <c r="K33" s="599"/>
      <c r="L33" s="599"/>
      <c r="M33" s="599"/>
      <c r="N33" s="599"/>
      <c r="O33" s="596"/>
      <c r="P33" s="596"/>
      <c r="Q33" s="596"/>
      <c r="R33" s="599"/>
      <c r="S33" s="599"/>
      <c r="T33" s="599"/>
      <c r="U33" s="599"/>
      <c r="V33" s="603"/>
      <c r="W33" s="599"/>
      <c r="X33" s="596"/>
      <c r="Y33" s="596"/>
    </row>
    <row r="34" ht="21.0" customHeight="1">
      <c r="A34" s="507"/>
      <c r="B34" s="508">
        <v>23.0</v>
      </c>
      <c r="C34" s="522"/>
      <c r="D34" s="591"/>
      <c r="E34" s="619"/>
      <c r="F34" s="515"/>
      <c r="G34" s="515"/>
      <c r="H34" s="508"/>
      <c r="I34" s="600"/>
      <c r="J34" s="600"/>
      <c r="K34" s="599"/>
      <c r="L34" s="599"/>
      <c r="M34" s="599"/>
      <c r="N34" s="599"/>
      <c r="O34" s="596"/>
      <c r="P34" s="596"/>
      <c r="Q34" s="596"/>
      <c r="R34" s="599"/>
      <c r="S34" s="599"/>
      <c r="T34" s="599"/>
      <c r="U34" s="599"/>
      <c r="V34" s="603"/>
      <c r="W34" s="599"/>
      <c r="X34" s="596"/>
      <c r="Y34" s="596"/>
    </row>
    <row r="35" ht="21.0" customHeight="1">
      <c r="A35" s="507"/>
      <c r="B35" s="508" t="s">
        <v>250</v>
      </c>
      <c r="C35" s="540"/>
      <c r="D35" s="620">
        <f>SUM(D12:D34)</f>
        <v>0</v>
      </c>
      <c r="E35" s="621"/>
      <c r="F35" s="515"/>
      <c r="G35" s="515"/>
      <c r="H35" s="508"/>
      <c r="I35" s="600"/>
      <c r="J35" s="600"/>
      <c r="K35" s="599"/>
      <c r="L35" s="599"/>
      <c r="M35" s="599"/>
      <c r="N35" s="599"/>
      <c r="O35" s="596"/>
      <c r="P35" s="596"/>
      <c r="Q35" s="596"/>
      <c r="R35" s="599"/>
      <c r="S35" s="599"/>
      <c r="T35" s="599"/>
      <c r="U35" s="599"/>
      <c r="V35" s="603"/>
      <c r="W35" s="599"/>
      <c r="X35" s="596"/>
      <c r="Y35" s="596"/>
    </row>
    <row r="36" ht="21.0" customHeight="1">
      <c r="A36" s="507"/>
      <c r="B36" s="508"/>
      <c r="C36" s="522"/>
      <c r="D36" s="583"/>
      <c r="E36" s="540"/>
      <c r="F36" s="515"/>
      <c r="G36" s="515"/>
      <c r="H36" s="508"/>
      <c r="I36" s="600"/>
      <c r="J36" s="600"/>
      <c r="K36" s="599"/>
      <c r="L36" s="599"/>
      <c r="M36" s="599"/>
      <c r="N36" s="599"/>
      <c r="O36" s="596"/>
      <c r="P36" s="596"/>
      <c r="Q36" s="596"/>
      <c r="R36" s="599"/>
      <c r="S36" s="599"/>
      <c r="T36" s="599"/>
      <c r="U36" s="599"/>
      <c r="V36" s="603"/>
      <c r="W36" s="599"/>
      <c r="X36" s="596"/>
      <c r="Y36" s="596"/>
    </row>
    <row r="37" ht="21.0" customHeight="1">
      <c r="A37" s="507"/>
      <c r="B37" s="508"/>
      <c r="C37" s="522"/>
      <c r="D37" s="583"/>
      <c r="E37" s="540"/>
      <c r="F37" s="515"/>
      <c r="G37" s="515"/>
      <c r="H37" s="508"/>
      <c r="I37" s="600"/>
      <c r="J37" s="600"/>
      <c r="K37" s="599"/>
      <c r="L37" s="599"/>
      <c r="M37" s="599"/>
      <c r="N37" s="599"/>
      <c r="O37" s="596"/>
      <c r="P37" s="596"/>
      <c r="Q37" s="596"/>
      <c r="R37" s="599"/>
      <c r="S37" s="599"/>
      <c r="T37" s="599"/>
      <c r="U37" s="599"/>
      <c r="V37" s="603"/>
      <c r="W37" s="599"/>
      <c r="X37" s="596"/>
      <c r="Y37" s="596"/>
    </row>
    <row r="38" ht="21.0" customHeight="1">
      <c r="A38" s="507"/>
      <c r="B38" s="508"/>
      <c r="C38" s="522"/>
      <c r="D38" s="583"/>
      <c r="E38" s="540"/>
      <c r="F38" s="515"/>
      <c r="G38" s="515"/>
      <c r="H38" s="508"/>
      <c r="I38" s="600"/>
      <c r="J38" s="600"/>
      <c r="K38" s="599"/>
      <c r="L38" s="599"/>
      <c r="M38" s="599"/>
      <c r="N38" s="599"/>
      <c r="O38" s="596"/>
      <c r="P38" s="596"/>
      <c r="Q38" s="596"/>
      <c r="R38" s="599"/>
      <c r="S38" s="599"/>
      <c r="T38" s="599"/>
      <c r="U38" s="599"/>
      <c r="V38" s="603"/>
      <c r="W38" s="599"/>
      <c r="X38" s="596"/>
      <c r="Y38" s="596"/>
    </row>
    <row r="39" ht="21.0" customHeight="1">
      <c r="A39" s="507"/>
      <c r="B39" s="508"/>
      <c r="C39" s="508"/>
      <c r="D39" s="581"/>
      <c r="E39" s="534"/>
      <c r="F39" s="515"/>
      <c r="G39" s="515"/>
      <c r="H39" s="508"/>
      <c r="I39" s="600"/>
      <c r="J39" s="600"/>
      <c r="K39" s="599"/>
      <c r="L39" s="599"/>
      <c r="M39" s="599"/>
      <c r="N39" s="599"/>
      <c r="O39" s="596"/>
      <c r="P39" s="596"/>
      <c r="Q39" s="596"/>
      <c r="R39" s="599"/>
      <c r="S39" s="599"/>
      <c r="T39" s="599"/>
      <c r="U39" s="599"/>
      <c r="V39" s="603"/>
      <c r="W39" s="599"/>
      <c r="X39" s="596"/>
      <c r="Y39" s="596"/>
    </row>
    <row r="40" ht="21.0" customHeight="1">
      <c r="A40" s="507"/>
      <c r="B40" s="508"/>
      <c r="C40" s="508"/>
      <c r="D40" s="508"/>
      <c r="E40" s="508"/>
      <c r="F40" s="515"/>
      <c r="G40" s="515"/>
      <c r="H40" s="508"/>
      <c r="I40" s="600"/>
      <c r="J40" s="600"/>
      <c r="K40" s="599"/>
      <c r="L40" s="599"/>
      <c r="M40" s="599"/>
      <c r="N40" s="599"/>
      <c r="O40" s="596"/>
      <c r="P40" s="596"/>
      <c r="Q40" s="596"/>
      <c r="R40" s="599"/>
      <c r="S40" s="599"/>
      <c r="T40" s="599"/>
      <c r="U40" s="599"/>
      <c r="V40" s="603"/>
      <c r="W40" s="599"/>
      <c r="X40" s="596"/>
      <c r="Y40" s="596"/>
      <c r="Z40" s="599"/>
    </row>
    <row r="41" ht="21.0" customHeight="1">
      <c r="A41" s="507"/>
      <c r="B41" s="508"/>
      <c r="C41" s="508"/>
      <c r="D41" s="508"/>
      <c r="E41" s="508"/>
      <c r="F41" s="515"/>
      <c r="G41" s="515"/>
      <c r="H41" s="508"/>
      <c r="I41" s="600"/>
      <c r="J41" s="600"/>
      <c r="K41" s="599"/>
      <c r="L41" s="599"/>
      <c r="M41" s="599"/>
      <c r="N41" s="599"/>
      <c r="O41" s="596"/>
      <c r="P41" s="596"/>
      <c r="Q41" s="596"/>
      <c r="R41" s="599"/>
      <c r="S41" s="599"/>
      <c r="T41" s="599"/>
      <c r="U41" s="599"/>
      <c r="V41" s="603"/>
      <c r="W41" s="599"/>
      <c r="X41" s="596"/>
      <c r="Y41" s="596"/>
      <c r="Z41" s="599"/>
    </row>
    <row r="42" ht="21.0" customHeight="1">
      <c r="A42" s="507"/>
      <c r="B42" s="508"/>
      <c r="C42" s="508"/>
      <c r="D42" s="508"/>
      <c r="E42" s="508"/>
      <c r="F42" s="515"/>
      <c r="G42" s="515"/>
      <c r="H42" s="508"/>
      <c r="I42" s="600"/>
      <c r="J42" s="600"/>
      <c r="K42" s="599"/>
      <c r="L42" s="599"/>
      <c r="M42" s="599"/>
      <c r="N42" s="599"/>
      <c r="O42" s="596"/>
      <c r="P42" s="596"/>
      <c r="Q42" s="596"/>
      <c r="R42" s="599"/>
      <c r="S42" s="599"/>
      <c r="T42" s="599"/>
      <c r="U42" s="599"/>
      <c r="V42" s="603"/>
      <c r="W42" s="599"/>
      <c r="X42" s="596"/>
      <c r="Y42" s="596"/>
      <c r="Z42" s="599"/>
    </row>
    <row r="43" ht="21.0" customHeight="1">
      <c r="A43" s="507"/>
      <c r="B43" s="508"/>
      <c r="C43" s="508"/>
      <c r="D43" s="508"/>
      <c r="E43" s="508"/>
      <c r="F43" s="515"/>
      <c r="G43" s="515"/>
      <c r="H43" s="508"/>
      <c r="I43" s="600"/>
      <c r="J43" s="600"/>
      <c r="K43" s="599"/>
      <c r="L43" s="599"/>
      <c r="M43" s="599"/>
      <c r="N43" s="599"/>
      <c r="O43" s="596"/>
      <c r="P43" s="596"/>
      <c r="Q43" s="596"/>
      <c r="R43" s="599"/>
      <c r="S43" s="599"/>
      <c r="T43" s="599"/>
      <c r="U43" s="599"/>
      <c r="V43" s="603"/>
      <c r="W43" s="599"/>
      <c r="X43" s="596"/>
      <c r="Y43" s="596"/>
      <c r="Z43" s="599"/>
    </row>
    <row r="44" ht="21.0" customHeight="1">
      <c r="A44" s="507"/>
      <c r="B44" s="508"/>
      <c r="C44" s="508"/>
      <c r="D44" s="508"/>
      <c r="E44" s="508"/>
      <c r="F44" s="515"/>
      <c r="G44" s="515"/>
      <c r="H44" s="508"/>
      <c r="I44" s="600"/>
      <c r="J44" s="600"/>
      <c r="K44" s="599"/>
      <c r="L44" s="599"/>
      <c r="M44" s="599"/>
      <c r="N44" s="599"/>
      <c r="O44" s="596"/>
      <c r="P44" s="596"/>
      <c r="Q44" s="596"/>
      <c r="R44" s="599"/>
      <c r="S44" s="599"/>
      <c r="T44" s="599"/>
      <c r="U44" s="599"/>
      <c r="V44" s="603"/>
      <c r="W44" s="599"/>
      <c r="X44" s="596"/>
      <c r="Y44" s="596"/>
      <c r="Z44" s="599"/>
    </row>
    <row r="45" ht="21.0" customHeight="1">
      <c r="A45" s="507"/>
      <c r="B45" s="508"/>
      <c r="C45" s="508"/>
      <c r="D45" s="508"/>
      <c r="E45" s="508"/>
      <c r="F45" s="515"/>
      <c r="G45" s="515"/>
      <c r="H45" s="508"/>
      <c r="I45" s="600"/>
      <c r="J45" s="600"/>
      <c r="K45" s="599"/>
      <c r="L45" s="599"/>
      <c r="M45" s="599"/>
      <c r="N45" s="599"/>
      <c r="O45" s="596"/>
      <c r="P45" s="596"/>
      <c r="Q45" s="596"/>
      <c r="R45" s="599"/>
      <c r="S45" s="599"/>
      <c r="T45" s="599"/>
      <c r="U45" s="599"/>
      <c r="V45" s="603"/>
      <c r="W45" s="599"/>
      <c r="X45" s="596"/>
      <c r="Y45" s="596"/>
      <c r="Z45" s="599"/>
    </row>
    <row r="46" ht="21.0" customHeight="1">
      <c r="A46" s="507"/>
      <c r="B46" s="508"/>
      <c r="C46" s="508"/>
      <c r="D46" s="508"/>
      <c r="E46" s="508"/>
      <c r="F46" s="515"/>
      <c r="G46" s="515"/>
      <c r="H46" s="508"/>
      <c r="I46" s="600"/>
      <c r="J46" s="600"/>
      <c r="K46" s="599"/>
      <c r="L46" s="599"/>
      <c r="M46" s="599"/>
      <c r="N46" s="599"/>
      <c r="O46" s="596"/>
      <c r="P46" s="596"/>
      <c r="Q46" s="596"/>
      <c r="R46" s="599"/>
      <c r="S46" s="599"/>
      <c r="T46" s="599"/>
      <c r="U46" s="599"/>
      <c r="V46" s="603"/>
      <c r="W46" s="599"/>
      <c r="X46" s="596"/>
      <c r="Y46" s="596"/>
      <c r="Z46" s="599"/>
    </row>
    <row r="47" ht="21.0" customHeight="1">
      <c r="A47" s="507"/>
      <c r="B47" s="508"/>
      <c r="C47" s="508"/>
      <c r="D47" s="508"/>
      <c r="E47" s="508"/>
      <c r="F47" s="515"/>
      <c r="G47" s="515"/>
      <c r="H47" s="508"/>
      <c r="I47" s="600"/>
      <c r="J47" s="600"/>
      <c r="K47" s="599"/>
      <c r="L47" s="599"/>
      <c r="M47" s="599"/>
      <c r="N47" s="599"/>
      <c r="O47" s="596"/>
      <c r="P47" s="596"/>
      <c r="Q47" s="596"/>
      <c r="R47" s="599"/>
      <c r="S47" s="599"/>
      <c r="T47" s="599"/>
      <c r="U47" s="599"/>
      <c r="V47" s="603"/>
      <c r="W47" s="599"/>
      <c r="X47" s="596"/>
      <c r="Y47" s="596"/>
      <c r="Z47" s="599"/>
    </row>
    <row r="48" ht="21.0" customHeight="1">
      <c r="A48" s="507"/>
      <c r="B48" s="508"/>
      <c r="C48" s="508"/>
      <c r="D48" s="508"/>
      <c r="E48" s="508"/>
      <c r="F48" s="515"/>
      <c r="G48" s="515"/>
      <c r="H48" s="508"/>
      <c r="I48" s="600"/>
      <c r="J48" s="600"/>
      <c r="K48" s="599"/>
      <c r="L48" s="599"/>
      <c r="M48" s="599"/>
      <c r="N48" s="599"/>
      <c r="O48" s="596"/>
      <c r="P48" s="596"/>
      <c r="Q48" s="596"/>
      <c r="R48" s="599"/>
      <c r="S48" s="599"/>
      <c r="T48" s="599"/>
      <c r="U48" s="599"/>
      <c r="V48" s="603"/>
      <c r="W48" s="599"/>
      <c r="X48" s="596"/>
      <c r="Y48" s="596"/>
      <c r="Z48" s="599"/>
    </row>
    <row r="49" ht="21.0" customHeight="1">
      <c r="A49" s="507"/>
      <c r="B49" s="508"/>
      <c r="C49" s="508"/>
      <c r="D49" s="508"/>
      <c r="E49" s="508"/>
      <c r="F49" s="515"/>
      <c r="G49" s="515"/>
      <c r="H49" s="508"/>
      <c r="I49" s="600"/>
      <c r="J49" s="600"/>
      <c r="K49" s="599"/>
      <c r="L49" s="599"/>
      <c r="M49" s="599"/>
      <c r="N49" s="599"/>
      <c r="O49" s="596"/>
      <c r="P49" s="596"/>
      <c r="Q49" s="596"/>
      <c r="R49" s="599"/>
      <c r="S49" s="599"/>
      <c r="T49" s="599"/>
      <c r="U49" s="599"/>
      <c r="V49" s="603"/>
      <c r="W49" s="599"/>
      <c r="X49" s="596"/>
      <c r="Y49" s="596"/>
      <c r="Z49" s="599"/>
    </row>
    <row r="50" ht="21.0" customHeight="1">
      <c r="A50" s="507"/>
      <c r="B50" s="508"/>
      <c r="C50" s="508"/>
      <c r="D50" s="508"/>
      <c r="E50" s="508"/>
      <c r="F50" s="515"/>
      <c r="G50" s="515"/>
      <c r="H50" s="508"/>
      <c r="I50" s="600"/>
      <c r="J50" s="600"/>
      <c r="K50" s="599"/>
      <c r="L50" s="599"/>
      <c r="M50" s="599"/>
      <c r="N50" s="599"/>
      <c r="O50" s="596"/>
      <c r="P50" s="596"/>
      <c r="Q50" s="596"/>
      <c r="R50" s="599"/>
      <c r="S50" s="599"/>
      <c r="T50" s="599"/>
      <c r="U50" s="599"/>
      <c r="V50" s="603"/>
      <c r="W50" s="599"/>
      <c r="X50" s="596"/>
      <c r="Y50" s="596"/>
      <c r="Z50" s="599"/>
    </row>
    <row r="51" ht="21.0" customHeight="1">
      <c r="A51" s="507"/>
      <c r="B51" s="508"/>
      <c r="C51" s="508"/>
      <c r="D51" s="508"/>
      <c r="E51" s="508"/>
      <c r="F51" s="515"/>
      <c r="G51" s="515"/>
      <c r="H51" s="508"/>
      <c r="I51" s="600"/>
      <c r="J51" s="600"/>
      <c r="K51" s="599"/>
      <c r="L51" s="599"/>
      <c r="M51" s="599"/>
      <c r="N51" s="599"/>
      <c r="O51" s="596"/>
      <c r="P51" s="596"/>
      <c r="Q51" s="596"/>
      <c r="R51" s="599"/>
      <c r="S51" s="599"/>
      <c r="T51" s="599"/>
      <c r="U51" s="599"/>
      <c r="V51" s="603"/>
      <c r="W51" s="599"/>
      <c r="X51" s="596"/>
      <c r="Y51" s="596"/>
      <c r="Z51" s="599"/>
    </row>
    <row r="52" ht="21.0" customHeight="1">
      <c r="A52" s="507"/>
      <c r="B52" s="508"/>
      <c r="C52" s="508"/>
      <c r="D52" s="508"/>
      <c r="E52" s="508"/>
      <c r="F52" s="515"/>
      <c r="G52" s="515"/>
      <c r="H52" s="508"/>
      <c r="I52" s="600"/>
      <c r="J52" s="600"/>
      <c r="K52" s="599"/>
      <c r="L52" s="599"/>
      <c r="M52" s="599"/>
      <c r="N52" s="599"/>
      <c r="O52" s="596"/>
      <c r="P52" s="596"/>
      <c r="Q52" s="596"/>
      <c r="R52" s="599"/>
      <c r="S52" s="599"/>
      <c r="T52" s="599"/>
      <c r="U52" s="599"/>
      <c r="V52" s="603"/>
      <c r="W52" s="599"/>
      <c r="X52" s="596"/>
      <c r="Y52" s="596"/>
      <c r="Z52" s="599"/>
    </row>
    <row r="53" ht="21.0" customHeight="1">
      <c r="A53" s="507"/>
      <c r="B53" s="508"/>
      <c r="C53" s="508"/>
      <c r="D53" s="508"/>
      <c r="E53" s="508"/>
      <c r="F53" s="515"/>
      <c r="G53" s="515"/>
      <c r="H53" s="508"/>
      <c r="I53" s="600"/>
      <c r="J53" s="600"/>
      <c r="K53" s="599"/>
      <c r="L53" s="599"/>
      <c r="M53" s="599"/>
      <c r="N53" s="599"/>
      <c r="O53" s="596"/>
      <c r="P53" s="596"/>
      <c r="Q53" s="596"/>
      <c r="R53" s="599"/>
      <c r="S53" s="599"/>
      <c r="T53" s="599"/>
      <c r="U53" s="599"/>
      <c r="V53" s="603"/>
      <c r="W53" s="599"/>
      <c r="X53" s="596"/>
      <c r="Y53" s="596"/>
      <c r="Z53" s="599"/>
    </row>
    <row r="54" ht="21.0" customHeight="1">
      <c r="A54" s="507"/>
      <c r="B54" s="508"/>
      <c r="C54" s="508"/>
      <c r="D54" s="508"/>
      <c r="E54" s="508"/>
      <c r="F54" s="515"/>
      <c r="G54" s="515"/>
      <c r="H54" s="508"/>
      <c r="I54" s="600"/>
      <c r="J54" s="600"/>
      <c r="K54" s="599"/>
      <c r="L54" s="599"/>
      <c r="M54" s="599"/>
      <c r="N54" s="599"/>
      <c r="O54" s="596"/>
      <c r="P54" s="596"/>
      <c r="Q54" s="596"/>
      <c r="R54" s="599"/>
      <c r="S54" s="599"/>
      <c r="T54" s="599"/>
      <c r="U54" s="599"/>
      <c r="V54" s="603"/>
      <c r="W54" s="599"/>
      <c r="X54" s="596"/>
      <c r="Y54" s="596"/>
      <c r="Z54" s="599"/>
    </row>
    <row r="55" ht="21.0" customHeight="1">
      <c r="A55" s="507"/>
      <c r="B55" s="508"/>
      <c r="C55" s="508"/>
      <c r="D55" s="508"/>
      <c r="E55" s="508"/>
      <c r="F55" s="515"/>
      <c r="G55" s="515"/>
      <c r="H55" s="508"/>
      <c r="I55" s="600"/>
      <c r="J55" s="600"/>
      <c r="K55" s="599"/>
      <c r="L55" s="599"/>
      <c r="M55" s="599"/>
      <c r="N55" s="599"/>
      <c r="O55" s="596"/>
      <c r="P55" s="596"/>
      <c r="Q55" s="596"/>
      <c r="R55" s="599"/>
      <c r="S55" s="599"/>
      <c r="T55" s="599"/>
      <c r="U55" s="599"/>
      <c r="V55" s="603"/>
      <c r="W55" s="599"/>
      <c r="X55" s="596"/>
      <c r="Y55" s="596"/>
      <c r="Z55" s="599"/>
    </row>
    <row r="56" ht="21.0" customHeight="1">
      <c r="A56" s="507"/>
      <c r="B56" s="508"/>
      <c r="C56" s="508"/>
      <c r="D56" s="508"/>
      <c r="E56" s="508"/>
      <c r="F56" s="515"/>
      <c r="G56" s="515"/>
      <c r="H56" s="508"/>
      <c r="I56" s="600"/>
      <c r="J56" s="600"/>
      <c r="K56" s="599"/>
      <c r="L56" s="599"/>
      <c r="M56" s="599"/>
      <c r="N56" s="599"/>
      <c r="O56" s="596"/>
      <c r="P56" s="596"/>
      <c r="Q56" s="596"/>
      <c r="R56" s="599"/>
      <c r="S56" s="599"/>
      <c r="T56" s="599"/>
      <c r="U56" s="599"/>
      <c r="V56" s="603"/>
      <c r="W56" s="599"/>
      <c r="X56" s="596"/>
      <c r="Y56" s="596"/>
      <c r="Z56" s="599"/>
    </row>
    <row r="57" ht="21.0" customHeight="1">
      <c r="A57" s="507"/>
      <c r="B57" s="508"/>
      <c r="C57" s="508"/>
      <c r="D57" s="508"/>
      <c r="E57" s="508"/>
      <c r="F57" s="515"/>
      <c r="G57" s="515"/>
      <c r="H57" s="508"/>
      <c r="I57" s="600"/>
      <c r="J57" s="600"/>
      <c r="K57" s="599"/>
      <c r="L57" s="599"/>
      <c r="M57" s="599"/>
      <c r="N57" s="599"/>
      <c r="O57" s="596"/>
      <c r="P57" s="596"/>
      <c r="Q57" s="596"/>
      <c r="R57" s="599"/>
      <c r="S57" s="599"/>
      <c r="T57" s="599"/>
      <c r="U57" s="599"/>
      <c r="V57" s="603"/>
      <c r="W57" s="599"/>
      <c r="X57" s="596"/>
      <c r="Y57" s="596"/>
      <c r="Z57" s="599"/>
    </row>
    <row r="58" ht="21.0" customHeight="1">
      <c r="A58" s="507"/>
      <c r="B58" s="508"/>
      <c r="C58" s="508"/>
      <c r="D58" s="508"/>
      <c r="E58" s="508"/>
      <c r="F58" s="515"/>
      <c r="G58" s="515"/>
      <c r="H58" s="508"/>
      <c r="I58" s="600"/>
      <c r="J58" s="600"/>
      <c r="K58" s="599"/>
      <c r="L58" s="599"/>
      <c r="M58" s="599"/>
      <c r="N58" s="599"/>
      <c r="O58" s="596"/>
      <c r="P58" s="596"/>
      <c r="Q58" s="596"/>
      <c r="R58" s="599"/>
      <c r="S58" s="599"/>
      <c r="T58" s="599"/>
      <c r="U58" s="599"/>
      <c r="V58" s="603"/>
      <c r="W58" s="599"/>
      <c r="X58" s="596"/>
      <c r="Y58" s="596"/>
      <c r="Z58" s="596"/>
    </row>
    <row r="59" ht="21.0" customHeight="1">
      <c r="A59" s="507"/>
      <c r="B59" s="508"/>
      <c r="C59" s="508"/>
      <c r="D59" s="508"/>
      <c r="E59" s="508"/>
      <c r="F59" s="515"/>
      <c r="G59" s="515"/>
      <c r="H59" s="508"/>
      <c r="I59" s="600"/>
      <c r="J59" s="600"/>
      <c r="K59" s="599"/>
      <c r="L59" s="599"/>
      <c r="M59" s="599"/>
      <c r="N59" s="599"/>
      <c r="O59" s="596"/>
      <c r="P59" s="596"/>
      <c r="Q59" s="596"/>
      <c r="R59" s="599"/>
      <c r="S59" s="599"/>
      <c r="T59" s="599"/>
      <c r="U59" s="599"/>
      <c r="V59" s="603"/>
      <c r="W59" s="599"/>
      <c r="X59" s="596"/>
      <c r="Y59" s="596"/>
      <c r="Z59" s="596"/>
    </row>
    <row r="60" ht="21.0" customHeight="1">
      <c r="A60" s="507"/>
      <c r="B60" s="508"/>
      <c r="C60" s="508"/>
      <c r="D60" s="508"/>
      <c r="E60" s="508"/>
      <c r="F60" s="515"/>
      <c r="G60" s="515"/>
      <c r="H60" s="508"/>
      <c r="I60" s="600"/>
      <c r="J60" s="600"/>
      <c r="K60" s="599"/>
      <c r="L60" s="599"/>
      <c r="M60" s="599"/>
      <c r="N60" s="599"/>
      <c r="O60" s="596"/>
      <c r="P60" s="596"/>
      <c r="Q60" s="596"/>
      <c r="R60" s="599"/>
      <c r="S60" s="599"/>
      <c r="T60" s="599"/>
      <c r="U60" s="599"/>
      <c r="V60" s="603"/>
      <c r="W60" s="599"/>
      <c r="X60" s="596"/>
      <c r="Y60" s="596"/>
      <c r="Z60" s="596"/>
    </row>
    <row r="61" ht="21.0" customHeight="1">
      <c r="A61" s="507"/>
      <c r="B61" s="508"/>
      <c r="C61" s="508"/>
      <c r="D61" s="508"/>
      <c r="E61" s="508"/>
      <c r="F61" s="515"/>
      <c r="G61" s="515"/>
      <c r="H61" s="508"/>
      <c r="I61" s="600"/>
      <c r="J61" s="600"/>
      <c r="K61" s="599"/>
      <c r="L61" s="599"/>
      <c r="M61" s="599"/>
      <c r="N61" s="599"/>
      <c r="O61" s="596"/>
      <c r="P61" s="596"/>
      <c r="Q61" s="596"/>
      <c r="R61" s="599"/>
      <c r="S61" s="599"/>
      <c r="T61" s="599"/>
      <c r="U61" s="599"/>
      <c r="V61" s="603"/>
      <c r="W61" s="599"/>
      <c r="X61" s="596"/>
      <c r="Y61" s="596"/>
      <c r="Z61" s="596"/>
    </row>
    <row r="62" ht="21.0" customHeight="1">
      <c r="A62" s="507"/>
      <c r="B62" s="508"/>
      <c r="C62" s="508"/>
      <c r="D62" s="508"/>
      <c r="E62" s="508"/>
      <c r="F62" s="515"/>
      <c r="G62" s="515"/>
      <c r="H62" s="508"/>
      <c r="I62" s="600"/>
      <c r="J62" s="600"/>
      <c r="K62" s="599"/>
      <c r="L62" s="599"/>
      <c r="M62" s="599"/>
      <c r="N62" s="599"/>
      <c r="O62" s="596"/>
      <c r="P62" s="596"/>
      <c r="Q62" s="596"/>
      <c r="R62" s="599"/>
      <c r="S62" s="599"/>
      <c r="T62" s="599"/>
      <c r="U62" s="599"/>
      <c r="V62" s="603"/>
      <c r="W62" s="599"/>
      <c r="X62" s="596"/>
      <c r="Y62" s="596"/>
      <c r="Z62" s="596"/>
    </row>
    <row r="63" ht="21.0" customHeight="1">
      <c r="A63" s="507"/>
      <c r="B63" s="508"/>
      <c r="C63" s="508"/>
      <c r="D63" s="508"/>
      <c r="E63" s="508"/>
      <c r="F63" s="515"/>
      <c r="G63" s="515"/>
      <c r="H63" s="508"/>
      <c r="I63" s="600"/>
      <c r="J63" s="600"/>
      <c r="K63" s="599"/>
      <c r="L63" s="599"/>
      <c r="M63" s="599"/>
      <c r="N63" s="599"/>
      <c r="O63" s="596"/>
      <c r="P63" s="596"/>
      <c r="Q63" s="596"/>
      <c r="R63" s="599"/>
      <c r="S63" s="599"/>
      <c r="T63" s="599"/>
      <c r="U63" s="599"/>
      <c r="V63" s="603"/>
      <c r="W63" s="599"/>
      <c r="X63" s="596"/>
      <c r="Y63" s="596"/>
      <c r="Z63" s="596"/>
    </row>
    <row r="64" ht="21.0" customHeight="1">
      <c r="A64" s="507"/>
      <c r="B64" s="508"/>
      <c r="C64" s="508"/>
      <c r="D64" s="508"/>
      <c r="E64" s="508"/>
      <c r="F64" s="515"/>
      <c r="G64" s="515"/>
      <c r="H64" s="508"/>
      <c r="I64" s="600"/>
      <c r="J64" s="600"/>
      <c r="K64" s="599"/>
      <c r="L64" s="599"/>
      <c r="M64" s="599"/>
      <c r="N64" s="599"/>
      <c r="O64" s="596"/>
      <c r="P64" s="596"/>
      <c r="Q64" s="596"/>
      <c r="R64" s="599"/>
      <c r="S64" s="599"/>
      <c r="T64" s="599"/>
      <c r="U64" s="599"/>
      <c r="V64" s="603"/>
      <c r="W64" s="599"/>
      <c r="X64" s="596"/>
      <c r="Y64" s="596"/>
      <c r="Z64" s="596"/>
    </row>
    <row r="65" ht="21.0" customHeight="1">
      <c r="A65" s="507"/>
      <c r="B65" s="508"/>
      <c r="C65" s="508"/>
      <c r="D65" s="508"/>
      <c r="E65" s="508"/>
      <c r="F65" s="515"/>
      <c r="G65" s="515"/>
      <c r="H65" s="508"/>
      <c r="I65" s="600"/>
      <c r="J65" s="600"/>
      <c r="K65" s="599"/>
      <c r="L65" s="599"/>
      <c r="M65" s="599"/>
      <c r="N65" s="599"/>
      <c r="O65" s="596"/>
      <c r="P65" s="596"/>
      <c r="Q65" s="596"/>
      <c r="R65" s="599"/>
      <c r="S65" s="599"/>
      <c r="T65" s="599"/>
      <c r="U65" s="599"/>
      <c r="V65" s="603"/>
      <c r="W65" s="599"/>
      <c r="X65" s="596"/>
      <c r="Y65" s="596"/>
      <c r="Z65" s="596"/>
    </row>
    <row r="66" ht="21.0" customHeight="1">
      <c r="A66" s="507"/>
      <c r="B66" s="508"/>
      <c r="C66" s="508"/>
      <c r="D66" s="508"/>
      <c r="E66" s="508"/>
      <c r="F66" s="515"/>
      <c r="G66" s="515"/>
      <c r="H66" s="508"/>
      <c r="I66" s="600"/>
      <c r="J66" s="600"/>
      <c r="K66" s="599"/>
      <c r="L66" s="599"/>
      <c r="M66" s="599"/>
      <c r="N66" s="599"/>
      <c r="O66" s="596"/>
      <c r="P66" s="596"/>
      <c r="Q66" s="596"/>
      <c r="R66" s="599"/>
      <c r="S66" s="599"/>
      <c r="T66" s="599"/>
      <c r="U66" s="599"/>
      <c r="V66" s="603"/>
      <c r="W66" s="599"/>
      <c r="X66" s="596"/>
      <c r="Y66" s="596"/>
      <c r="Z66" s="596"/>
    </row>
    <row r="67" ht="21.0" customHeight="1">
      <c r="A67" s="507"/>
      <c r="B67" s="508"/>
      <c r="C67" s="508"/>
      <c r="D67" s="508"/>
      <c r="E67" s="508"/>
      <c r="F67" s="515"/>
      <c r="G67" s="515"/>
      <c r="H67" s="508"/>
      <c r="I67" s="600"/>
      <c r="J67" s="600"/>
      <c r="K67" s="599"/>
      <c r="L67" s="599"/>
      <c r="M67" s="599"/>
      <c r="N67" s="599"/>
      <c r="O67" s="596"/>
      <c r="P67" s="596"/>
      <c r="Q67" s="596"/>
      <c r="R67" s="599"/>
      <c r="S67" s="599"/>
      <c r="T67" s="599"/>
      <c r="U67" s="599"/>
      <c r="V67" s="603"/>
      <c r="W67" s="599"/>
      <c r="X67" s="596"/>
      <c r="Y67" s="596"/>
      <c r="Z67" s="596"/>
    </row>
    <row r="68" ht="21.0" customHeight="1">
      <c r="A68" s="507"/>
      <c r="B68" s="508"/>
      <c r="C68" s="508"/>
      <c r="D68" s="508"/>
      <c r="E68" s="508"/>
      <c r="F68" s="515"/>
      <c r="G68" s="515"/>
      <c r="H68" s="508"/>
      <c r="I68" s="600"/>
      <c r="J68" s="600"/>
      <c r="K68" s="599"/>
      <c r="L68" s="599"/>
      <c r="M68" s="599"/>
      <c r="N68" s="599"/>
      <c r="O68" s="596"/>
      <c r="P68" s="596"/>
      <c r="Q68" s="596"/>
      <c r="R68" s="599"/>
      <c r="S68" s="599"/>
      <c r="T68" s="599"/>
      <c r="U68" s="599"/>
      <c r="V68" s="603"/>
      <c r="W68" s="599"/>
      <c r="X68" s="596"/>
      <c r="Y68" s="596"/>
      <c r="Z68" s="596"/>
    </row>
    <row r="69" ht="21.0" customHeight="1">
      <c r="A69" s="507"/>
      <c r="B69" s="508"/>
      <c r="C69" s="508"/>
      <c r="D69" s="508"/>
      <c r="E69" s="508"/>
      <c r="F69" s="515"/>
      <c r="G69" s="515"/>
      <c r="H69" s="508"/>
      <c r="I69" s="600"/>
      <c r="J69" s="600"/>
      <c r="K69" s="599"/>
      <c r="L69" s="599"/>
      <c r="M69" s="599"/>
      <c r="N69" s="599"/>
      <c r="O69" s="596"/>
      <c r="P69" s="596"/>
      <c r="Q69" s="596"/>
      <c r="R69" s="599"/>
      <c r="S69" s="599"/>
      <c r="T69" s="599"/>
      <c r="U69" s="599"/>
      <c r="V69" s="603"/>
      <c r="W69" s="599"/>
      <c r="X69" s="596"/>
      <c r="Y69" s="596"/>
      <c r="Z69" s="596"/>
    </row>
    <row r="70" ht="21.0" customHeight="1">
      <c r="A70" s="507"/>
      <c r="B70" s="508"/>
      <c r="C70" s="508"/>
      <c r="D70" s="508"/>
      <c r="E70" s="508"/>
      <c r="F70" s="515"/>
      <c r="G70" s="515"/>
      <c r="H70" s="508"/>
      <c r="I70" s="600"/>
      <c r="J70" s="600"/>
      <c r="K70" s="599"/>
      <c r="L70" s="599"/>
      <c r="M70" s="599"/>
      <c r="N70" s="599"/>
      <c r="O70" s="596"/>
      <c r="P70" s="596"/>
      <c r="Q70" s="596"/>
      <c r="R70" s="599"/>
      <c r="S70" s="599"/>
      <c r="T70" s="599"/>
      <c r="U70" s="599"/>
      <c r="V70" s="603"/>
      <c r="W70" s="599"/>
      <c r="X70" s="596"/>
      <c r="Y70" s="596"/>
      <c r="Z70" s="596"/>
    </row>
    <row r="71" ht="21.0" customHeight="1">
      <c r="A71" s="507"/>
      <c r="B71" s="508"/>
      <c r="C71" s="508"/>
      <c r="D71" s="508"/>
      <c r="E71" s="508"/>
      <c r="F71" s="515"/>
      <c r="G71" s="515"/>
      <c r="H71" s="508"/>
      <c r="I71" s="600"/>
      <c r="J71" s="600"/>
      <c r="K71" s="599"/>
      <c r="L71" s="599"/>
      <c r="M71" s="599"/>
      <c r="N71" s="599"/>
      <c r="O71" s="596"/>
      <c r="P71" s="596"/>
      <c r="Q71" s="596"/>
      <c r="R71" s="599"/>
      <c r="S71" s="599"/>
      <c r="T71" s="599"/>
      <c r="U71" s="599"/>
      <c r="V71" s="603"/>
      <c r="W71" s="599"/>
      <c r="X71" s="596"/>
      <c r="Y71" s="596"/>
      <c r="Z71" s="596"/>
    </row>
    <row r="72" ht="21.0" customHeight="1">
      <c r="A72" s="507"/>
      <c r="B72" s="508"/>
      <c r="C72" s="508"/>
      <c r="D72" s="508"/>
      <c r="E72" s="508"/>
      <c r="F72" s="515"/>
      <c r="G72" s="515"/>
      <c r="H72" s="508"/>
      <c r="I72" s="600"/>
      <c r="J72" s="600"/>
      <c r="K72" s="599"/>
      <c r="L72" s="599"/>
      <c r="M72" s="599"/>
      <c r="N72" s="599"/>
      <c r="O72" s="596"/>
      <c r="P72" s="596"/>
      <c r="Q72" s="596"/>
      <c r="R72" s="599"/>
      <c r="S72" s="599"/>
      <c r="T72" s="599"/>
      <c r="U72" s="599"/>
      <c r="V72" s="603"/>
      <c r="W72" s="599"/>
      <c r="X72" s="596"/>
      <c r="Y72" s="596"/>
      <c r="Z72" s="596"/>
    </row>
    <row r="73" ht="21.0" customHeight="1">
      <c r="A73" s="507"/>
      <c r="B73" s="508"/>
      <c r="C73" s="508"/>
      <c r="D73" s="508"/>
      <c r="E73" s="508"/>
      <c r="F73" s="515"/>
      <c r="G73" s="515"/>
      <c r="H73" s="508"/>
      <c r="I73" s="600"/>
      <c r="J73" s="600"/>
      <c r="K73" s="599"/>
      <c r="L73" s="599"/>
      <c r="M73" s="599"/>
      <c r="N73" s="599"/>
      <c r="O73" s="596"/>
      <c r="P73" s="596"/>
      <c r="Q73" s="596"/>
      <c r="R73" s="599"/>
      <c r="S73" s="599"/>
      <c r="T73" s="599"/>
      <c r="U73" s="599"/>
      <c r="V73" s="603"/>
      <c r="W73" s="599"/>
      <c r="X73" s="596"/>
      <c r="Y73" s="596"/>
      <c r="Z73" s="596"/>
    </row>
    <row r="74" ht="21.0" customHeight="1">
      <c r="A74" s="507"/>
      <c r="B74" s="508"/>
      <c r="C74" s="508"/>
      <c r="D74" s="508"/>
      <c r="E74" s="508"/>
      <c r="F74" s="515"/>
      <c r="G74" s="515"/>
      <c r="H74" s="508"/>
      <c r="I74" s="600"/>
      <c r="J74" s="600"/>
      <c r="K74" s="599"/>
      <c r="L74" s="599"/>
      <c r="M74" s="599"/>
      <c r="N74" s="599"/>
      <c r="O74" s="596"/>
      <c r="P74" s="596"/>
      <c r="Q74" s="596"/>
      <c r="R74" s="599"/>
      <c r="S74" s="599"/>
      <c r="T74" s="599"/>
      <c r="U74" s="599"/>
      <c r="V74" s="603"/>
      <c r="W74" s="599"/>
      <c r="X74" s="596"/>
      <c r="Y74" s="596"/>
      <c r="Z74" s="596"/>
    </row>
    <row r="75" ht="21.0" customHeight="1">
      <c r="A75" s="507"/>
      <c r="B75" s="508"/>
      <c r="C75" s="508"/>
      <c r="D75" s="508"/>
      <c r="E75" s="508"/>
      <c r="F75" s="515"/>
      <c r="G75" s="515"/>
      <c r="H75" s="508"/>
      <c r="I75" s="600"/>
      <c r="J75" s="600"/>
      <c r="K75" s="599"/>
      <c r="L75" s="599"/>
      <c r="M75" s="599"/>
      <c r="N75" s="599"/>
      <c r="O75" s="596"/>
      <c r="P75" s="596"/>
      <c r="Q75" s="596"/>
      <c r="R75" s="599"/>
      <c r="S75" s="599"/>
      <c r="T75" s="599"/>
      <c r="U75" s="599"/>
      <c r="V75" s="603"/>
      <c r="W75" s="599"/>
      <c r="X75" s="596"/>
      <c r="Y75" s="596"/>
      <c r="Z75" s="596"/>
    </row>
    <row r="76" ht="21.0" customHeight="1">
      <c r="A76" s="507"/>
      <c r="B76" s="508"/>
      <c r="C76" s="508"/>
      <c r="D76" s="508"/>
      <c r="E76" s="508"/>
      <c r="F76" s="515"/>
      <c r="G76" s="515"/>
      <c r="H76" s="508"/>
      <c r="I76" s="600"/>
      <c r="J76" s="600"/>
      <c r="K76" s="599"/>
      <c r="L76" s="599"/>
      <c r="M76" s="599"/>
      <c r="N76" s="599"/>
      <c r="O76" s="596"/>
      <c r="P76" s="596"/>
      <c r="Q76" s="596"/>
      <c r="R76" s="599"/>
      <c r="S76" s="599"/>
      <c r="T76" s="599"/>
      <c r="U76" s="599"/>
      <c r="V76" s="603"/>
      <c r="W76" s="599"/>
      <c r="X76" s="596"/>
      <c r="Y76" s="596"/>
      <c r="Z76" s="596"/>
    </row>
    <row r="77" ht="21.0" customHeight="1">
      <c r="A77" s="507"/>
      <c r="B77" s="508"/>
      <c r="C77" s="508"/>
      <c r="D77" s="508"/>
      <c r="E77" s="508"/>
      <c r="F77" s="515"/>
      <c r="G77" s="515"/>
      <c r="H77" s="508"/>
      <c r="I77" s="600"/>
      <c r="J77" s="600"/>
      <c r="K77" s="599"/>
      <c r="L77" s="599"/>
      <c r="M77" s="599"/>
      <c r="N77" s="599"/>
      <c r="O77" s="596"/>
      <c r="P77" s="596"/>
      <c r="Q77" s="596"/>
      <c r="R77" s="599"/>
      <c r="S77" s="599"/>
      <c r="T77" s="599"/>
      <c r="U77" s="599"/>
      <c r="V77" s="603"/>
      <c r="W77" s="599"/>
      <c r="X77" s="596"/>
      <c r="Y77" s="596"/>
      <c r="Z77" s="596"/>
    </row>
    <row r="78" ht="21.0" customHeight="1">
      <c r="A78" s="507"/>
      <c r="B78" s="508"/>
      <c r="C78" s="508"/>
      <c r="D78" s="508"/>
      <c r="E78" s="508"/>
      <c r="F78" s="515"/>
      <c r="G78" s="515"/>
      <c r="H78" s="508"/>
      <c r="I78" s="600"/>
      <c r="J78" s="600"/>
      <c r="K78" s="599"/>
      <c r="L78" s="599"/>
      <c r="M78" s="599"/>
      <c r="N78" s="599"/>
      <c r="O78" s="596"/>
      <c r="P78" s="596"/>
      <c r="Q78" s="596"/>
      <c r="R78" s="599"/>
      <c r="S78" s="599"/>
      <c r="T78" s="599"/>
      <c r="U78" s="599"/>
      <c r="V78" s="603"/>
      <c r="W78" s="599"/>
      <c r="X78" s="596"/>
      <c r="Y78" s="596"/>
      <c r="Z78" s="596"/>
    </row>
    <row r="79" ht="21.0" customHeight="1">
      <c r="A79" s="507"/>
      <c r="B79" s="508"/>
      <c r="C79" s="508"/>
      <c r="D79" s="508"/>
      <c r="E79" s="508"/>
      <c r="F79" s="515"/>
      <c r="G79" s="515"/>
      <c r="H79" s="508"/>
      <c r="I79" s="600"/>
      <c r="J79" s="600"/>
      <c r="K79" s="599"/>
      <c r="L79" s="599"/>
      <c r="M79" s="599"/>
      <c r="N79" s="599"/>
      <c r="O79" s="596"/>
      <c r="P79" s="596"/>
      <c r="Q79" s="596"/>
      <c r="R79" s="599"/>
      <c r="S79" s="599"/>
      <c r="T79" s="599"/>
      <c r="U79" s="599"/>
      <c r="V79" s="603"/>
      <c r="W79" s="599"/>
      <c r="X79" s="596"/>
      <c r="Y79" s="596"/>
      <c r="Z79" s="596"/>
    </row>
    <row r="80" ht="21.0" customHeight="1">
      <c r="A80" s="507"/>
      <c r="B80" s="508"/>
      <c r="C80" s="508"/>
      <c r="D80" s="508"/>
      <c r="E80" s="508"/>
      <c r="F80" s="515"/>
      <c r="G80" s="515"/>
      <c r="H80" s="508"/>
      <c r="I80" s="600"/>
      <c r="J80" s="600"/>
      <c r="K80" s="599"/>
      <c r="L80" s="599"/>
      <c r="M80" s="599"/>
      <c r="N80" s="599"/>
      <c r="O80" s="596"/>
      <c r="P80" s="596"/>
      <c r="Q80" s="596"/>
      <c r="R80" s="599"/>
      <c r="S80" s="599"/>
      <c r="T80" s="599"/>
      <c r="U80" s="599"/>
      <c r="V80" s="603"/>
      <c r="W80" s="599"/>
      <c r="X80" s="596"/>
      <c r="Y80" s="596"/>
      <c r="Z80" s="596"/>
    </row>
    <row r="81" ht="21.0" customHeight="1">
      <c r="A81" s="507"/>
      <c r="B81" s="508"/>
      <c r="C81" s="508"/>
      <c r="D81" s="508"/>
      <c r="E81" s="508"/>
      <c r="F81" s="515"/>
      <c r="G81" s="515"/>
      <c r="H81" s="508"/>
      <c r="I81" s="600"/>
      <c r="J81" s="600"/>
      <c r="K81" s="599"/>
      <c r="L81" s="599"/>
      <c r="M81" s="599"/>
      <c r="N81" s="599"/>
      <c r="O81" s="596"/>
      <c r="P81" s="596"/>
      <c r="Q81" s="596"/>
      <c r="R81" s="599"/>
      <c r="S81" s="599"/>
      <c r="T81" s="599"/>
      <c r="U81" s="599"/>
      <c r="V81" s="603"/>
      <c r="W81" s="599"/>
      <c r="X81" s="596"/>
      <c r="Y81" s="596"/>
      <c r="Z81" s="596"/>
    </row>
    <row r="82" ht="21.0" customHeight="1">
      <c r="A82" s="507"/>
      <c r="B82" s="508"/>
      <c r="C82" s="508"/>
      <c r="D82" s="508"/>
      <c r="E82" s="508"/>
      <c r="F82" s="515"/>
      <c r="G82" s="515"/>
      <c r="H82" s="508"/>
      <c r="I82" s="600"/>
      <c r="J82" s="600"/>
      <c r="K82" s="599"/>
      <c r="L82" s="599"/>
      <c r="M82" s="599"/>
      <c r="N82" s="599"/>
      <c r="O82" s="596"/>
      <c r="P82" s="596"/>
      <c r="Q82" s="596"/>
      <c r="R82" s="599"/>
      <c r="S82" s="599"/>
      <c r="T82" s="599"/>
      <c r="U82" s="599"/>
      <c r="V82" s="603"/>
      <c r="W82" s="599"/>
      <c r="X82" s="596"/>
      <c r="Y82" s="596"/>
      <c r="Z82" s="596"/>
    </row>
    <row r="83" ht="21.0" customHeight="1">
      <c r="A83" s="507"/>
      <c r="B83" s="508"/>
      <c r="C83" s="508"/>
      <c r="D83" s="508"/>
      <c r="E83" s="508"/>
      <c r="F83" s="515"/>
      <c r="G83" s="515"/>
      <c r="H83" s="508"/>
      <c r="I83" s="600"/>
      <c r="J83" s="600"/>
      <c r="K83" s="599"/>
      <c r="L83" s="599"/>
      <c r="M83" s="599"/>
      <c r="N83" s="599"/>
      <c r="O83" s="596"/>
      <c r="P83" s="596"/>
      <c r="Q83" s="596"/>
      <c r="R83" s="599"/>
      <c r="S83" s="599"/>
      <c r="T83" s="599"/>
      <c r="U83" s="599"/>
      <c r="V83" s="603"/>
      <c r="W83" s="599"/>
      <c r="X83" s="596"/>
      <c r="Y83" s="596"/>
      <c r="Z83" s="596"/>
    </row>
    <row r="84" ht="21.0" customHeight="1">
      <c r="A84" s="507"/>
      <c r="B84" s="508"/>
      <c r="C84" s="508"/>
      <c r="D84" s="508"/>
      <c r="E84" s="508"/>
      <c r="F84" s="515"/>
      <c r="G84" s="515"/>
      <c r="H84" s="508"/>
      <c r="I84" s="600"/>
      <c r="J84" s="600"/>
      <c r="K84" s="599"/>
      <c r="L84" s="599"/>
      <c r="M84" s="599"/>
      <c r="N84" s="599"/>
      <c r="O84" s="596"/>
      <c r="P84" s="596"/>
      <c r="Q84" s="596"/>
      <c r="R84" s="599"/>
      <c r="S84" s="599"/>
      <c r="T84" s="599"/>
      <c r="U84" s="599"/>
      <c r="V84" s="603"/>
      <c r="W84" s="599"/>
      <c r="X84" s="596"/>
      <c r="Y84" s="596"/>
      <c r="Z84" s="596"/>
    </row>
    <row r="85" ht="21.0" customHeight="1">
      <c r="A85" s="507"/>
      <c r="B85" s="508"/>
      <c r="C85" s="508"/>
      <c r="D85" s="508"/>
      <c r="E85" s="508"/>
      <c r="F85" s="515"/>
      <c r="G85" s="515"/>
      <c r="H85" s="508"/>
      <c r="I85" s="600"/>
      <c r="J85" s="600"/>
      <c r="K85" s="599"/>
      <c r="L85" s="599"/>
      <c r="M85" s="599"/>
      <c r="N85" s="599"/>
      <c r="O85" s="596"/>
      <c r="P85" s="596"/>
      <c r="Q85" s="596"/>
      <c r="R85" s="599"/>
      <c r="S85" s="599"/>
      <c r="T85" s="599"/>
      <c r="U85" s="599"/>
      <c r="V85" s="603"/>
      <c r="W85" s="599"/>
      <c r="X85" s="596"/>
      <c r="Y85" s="596"/>
      <c r="Z85" s="596"/>
    </row>
    <row r="86" ht="21.0" customHeight="1">
      <c r="A86" s="507"/>
      <c r="B86" s="508"/>
      <c r="C86" s="508"/>
      <c r="D86" s="508"/>
      <c r="E86" s="508"/>
      <c r="F86" s="515"/>
      <c r="G86" s="515"/>
      <c r="H86" s="508"/>
      <c r="I86" s="600"/>
      <c r="J86" s="600"/>
      <c r="K86" s="599"/>
      <c r="L86" s="599"/>
      <c r="M86" s="599"/>
      <c r="N86" s="599"/>
      <c r="O86" s="596"/>
      <c r="P86" s="596"/>
      <c r="Q86" s="596"/>
      <c r="R86" s="599"/>
      <c r="S86" s="599"/>
      <c r="T86" s="599"/>
      <c r="U86" s="599"/>
      <c r="V86" s="603"/>
      <c r="W86" s="599"/>
      <c r="X86" s="596"/>
      <c r="Y86" s="596"/>
      <c r="Z86" s="596"/>
    </row>
    <row r="87" ht="21.0" customHeight="1">
      <c r="A87" s="507"/>
      <c r="B87" s="508"/>
      <c r="C87" s="508"/>
      <c r="D87" s="508"/>
      <c r="E87" s="508"/>
      <c r="F87" s="515"/>
      <c r="G87" s="515"/>
      <c r="H87" s="508"/>
      <c r="I87" s="600"/>
      <c r="J87" s="600"/>
      <c r="K87" s="599"/>
      <c r="L87" s="599"/>
      <c r="M87" s="599"/>
      <c r="N87" s="599"/>
      <c r="O87" s="596"/>
      <c r="P87" s="596"/>
      <c r="Q87" s="596"/>
      <c r="R87" s="599"/>
      <c r="S87" s="599"/>
      <c r="T87" s="599"/>
      <c r="U87" s="599"/>
      <c r="V87" s="603"/>
      <c r="W87" s="599"/>
      <c r="X87" s="596"/>
      <c r="Y87" s="596"/>
      <c r="Z87" s="596"/>
    </row>
    <row r="88" ht="21.0" customHeight="1">
      <c r="A88" s="507"/>
      <c r="B88" s="508"/>
      <c r="C88" s="508"/>
      <c r="D88" s="508"/>
      <c r="E88" s="508"/>
      <c r="F88" s="515"/>
      <c r="G88" s="515"/>
      <c r="H88" s="508"/>
      <c r="I88" s="600"/>
      <c r="J88" s="600"/>
      <c r="K88" s="599"/>
      <c r="L88" s="599"/>
      <c r="M88" s="599"/>
      <c r="N88" s="599"/>
      <c r="O88" s="596"/>
      <c r="P88" s="596"/>
      <c r="Q88" s="596"/>
      <c r="R88" s="599"/>
      <c r="S88" s="599"/>
      <c r="T88" s="599"/>
      <c r="U88" s="599"/>
      <c r="V88" s="603"/>
      <c r="W88" s="599"/>
      <c r="X88" s="596"/>
      <c r="Y88" s="596"/>
      <c r="Z88" s="596"/>
    </row>
    <row r="89" ht="21.0" customHeight="1">
      <c r="A89" s="507"/>
      <c r="B89" s="508"/>
      <c r="C89" s="508"/>
      <c r="D89" s="508"/>
      <c r="E89" s="508"/>
      <c r="F89" s="515"/>
      <c r="G89" s="515"/>
      <c r="H89" s="508"/>
      <c r="I89" s="600"/>
      <c r="J89" s="600"/>
      <c r="K89" s="599"/>
      <c r="L89" s="599"/>
      <c r="M89" s="599"/>
      <c r="N89" s="599"/>
      <c r="O89" s="596"/>
      <c r="P89" s="596"/>
      <c r="Q89" s="596"/>
      <c r="R89" s="599"/>
      <c r="S89" s="599"/>
      <c r="T89" s="599"/>
      <c r="U89" s="599"/>
      <c r="V89" s="603"/>
      <c r="W89" s="599"/>
      <c r="X89" s="596"/>
      <c r="Y89" s="596"/>
      <c r="Z89" s="596"/>
    </row>
    <row r="90" ht="21.0" customHeight="1">
      <c r="A90" s="507"/>
      <c r="B90" s="508"/>
      <c r="C90" s="508"/>
      <c r="D90" s="508"/>
      <c r="E90" s="508"/>
      <c r="F90" s="515"/>
      <c r="G90" s="515"/>
      <c r="H90" s="508"/>
      <c r="I90" s="600"/>
      <c r="J90" s="600"/>
      <c r="K90" s="599"/>
      <c r="L90" s="599"/>
      <c r="M90" s="599"/>
      <c r="N90" s="599"/>
      <c r="O90" s="596"/>
      <c r="P90" s="596"/>
      <c r="Q90" s="596"/>
      <c r="R90" s="599"/>
      <c r="S90" s="599"/>
      <c r="T90" s="599"/>
      <c r="U90" s="599"/>
      <c r="V90" s="603"/>
      <c r="W90" s="599"/>
      <c r="X90" s="596"/>
      <c r="Y90" s="596"/>
      <c r="Z90" s="596"/>
    </row>
    <row r="91" ht="21.0" customHeight="1">
      <c r="A91" s="507"/>
      <c r="B91" s="508"/>
      <c r="C91" s="508"/>
      <c r="D91" s="508"/>
      <c r="E91" s="508"/>
      <c r="F91" s="515"/>
      <c r="G91" s="515"/>
      <c r="H91" s="508"/>
      <c r="I91" s="600"/>
      <c r="J91" s="600"/>
      <c r="K91" s="599"/>
      <c r="L91" s="599"/>
      <c r="M91" s="599"/>
      <c r="N91" s="599"/>
      <c r="O91" s="596"/>
      <c r="P91" s="596"/>
      <c r="Q91" s="596"/>
      <c r="R91" s="599"/>
      <c r="S91" s="599"/>
      <c r="T91" s="599"/>
      <c r="U91" s="599"/>
      <c r="V91" s="603"/>
      <c r="W91" s="599"/>
      <c r="X91" s="596"/>
      <c r="Y91" s="596"/>
      <c r="Z91" s="596"/>
    </row>
    <row r="92" ht="21.0" customHeight="1">
      <c r="A92" s="507"/>
      <c r="B92" s="508"/>
      <c r="C92" s="508"/>
      <c r="D92" s="508"/>
      <c r="E92" s="508"/>
      <c r="F92" s="515"/>
      <c r="G92" s="515"/>
      <c r="H92" s="508"/>
      <c r="I92" s="600"/>
      <c r="J92" s="600"/>
      <c r="K92" s="599"/>
      <c r="L92" s="599"/>
      <c r="M92" s="599"/>
      <c r="N92" s="599"/>
      <c r="O92" s="596"/>
      <c r="P92" s="596"/>
      <c r="Q92" s="596"/>
      <c r="R92" s="599"/>
      <c r="S92" s="599"/>
      <c r="T92" s="599"/>
      <c r="U92" s="599"/>
      <c r="V92" s="603"/>
      <c r="W92" s="599"/>
      <c r="X92" s="596"/>
      <c r="Y92" s="596"/>
      <c r="Z92" s="596"/>
    </row>
    <row r="93" ht="21.0" customHeight="1">
      <c r="A93" s="507"/>
      <c r="B93" s="508"/>
      <c r="C93" s="508"/>
      <c r="D93" s="508"/>
      <c r="E93" s="508"/>
      <c r="F93" s="515"/>
      <c r="G93" s="515"/>
      <c r="H93" s="508"/>
      <c r="I93" s="600"/>
      <c r="J93" s="600"/>
      <c r="K93" s="599"/>
      <c r="L93" s="599"/>
      <c r="M93" s="599"/>
      <c r="N93" s="599"/>
      <c r="O93" s="596"/>
      <c r="P93" s="596"/>
      <c r="Q93" s="596"/>
      <c r="R93" s="599"/>
      <c r="S93" s="599"/>
      <c r="T93" s="599"/>
      <c r="U93" s="599"/>
      <c r="V93" s="603"/>
      <c r="W93" s="599"/>
      <c r="X93" s="596"/>
      <c r="Y93" s="596"/>
      <c r="Z93" s="596"/>
    </row>
    <row r="94" ht="21.0" customHeight="1">
      <c r="A94" s="507"/>
      <c r="B94" s="508"/>
      <c r="C94" s="508"/>
      <c r="D94" s="508"/>
      <c r="E94" s="508"/>
      <c r="F94" s="515"/>
      <c r="G94" s="515"/>
      <c r="H94" s="508"/>
      <c r="I94" s="600"/>
      <c r="J94" s="600"/>
      <c r="K94" s="599"/>
      <c r="L94" s="599"/>
      <c r="M94" s="599"/>
      <c r="N94" s="599"/>
      <c r="O94" s="596"/>
      <c r="P94" s="596"/>
      <c r="Q94" s="596"/>
      <c r="R94" s="599"/>
      <c r="S94" s="599"/>
      <c r="T94" s="599"/>
      <c r="U94" s="599"/>
      <c r="V94" s="603"/>
      <c r="W94" s="599"/>
      <c r="X94" s="596"/>
      <c r="Y94" s="596"/>
      <c r="Z94" s="596"/>
    </row>
    <row r="95" ht="21.0" customHeight="1">
      <c r="A95" s="507"/>
      <c r="B95" s="508"/>
      <c r="C95" s="508"/>
      <c r="D95" s="508"/>
      <c r="E95" s="508"/>
      <c r="F95" s="515"/>
      <c r="G95" s="515"/>
      <c r="H95" s="508"/>
      <c r="I95" s="600"/>
      <c r="J95" s="600"/>
      <c r="K95" s="599"/>
      <c r="L95" s="599"/>
      <c r="M95" s="599"/>
      <c r="N95" s="599"/>
      <c r="O95" s="596"/>
      <c r="P95" s="596"/>
      <c r="Q95" s="596"/>
      <c r="R95" s="599"/>
      <c r="S95" s="599"/>
      <c r="T95" s="599"/>
      <c r="U95" s="599"/>
      <c r="V95" s="603"/>
      <c r="W95" s="599"/>
      <c r="X95" s="596"/>
      <c r="Y95" s="596"/>
      <c r="Z95" s="596"/>
    </row>
    <row r="96" ht="21.0" customHeight="1">
      <c r="A96" s="507"/>
      <c r="B96" s="508"/>
      <c r="C96" s="508"/>
      <c r="D96" s="508"/>
      <c r="E96" s="508"/>
      <c r="F96" s="515"/>
      <c r="G96" s="515"/>
      <c r="H96" s="508"/>
      <c r="I96" s="600"/>
      <c r="J96" s="600"/>
      <c r="K96" s="599"/>
      <c r="L96" s="599"/>
      <c r="M96" s="599"/>
      <c r="N96" s="599"/>
      <c r="O96" s="596"/>
      <c r="P96" s="596"/>
      <c r="Q96" s="596"/>
      <c r="R96" s="599"/>
      <c r="S96" s="599"/>
      <c r="T96" s="599"/>
      <c r="U96" s="599"/>
      <c r="V96" s="603"/>
      <c r="W96" s="599"/>
      <c r="X96" s="596"/>
      <c r="Y96" s="596"/>
      <c r="Z96" s="596"/>
    </row>
    <row r="97" ht="21.0" customHeight="1">
      <c r="A97" s="507"/>
      <c r="B97" s="508"/>
      <c r="C97" s="508"/>
      <c r="D97" s="508"/>
      <c r="E97" s="508"/>
      <c r="F97" s="515"/>
      <c r="G97" s="515"/>
      <c r="H97" s="508"/>
      <c r="I97" s="600"/>
      <c r="J97" s="600"/>
      <c r="K97" s="599"/>
      <c r="L97" s="599"/>
      <c r="M97" s="599"/>
      <c r="N97" s="599"/>
      <c r="O97" s="596"/>
      <c r="P97" s="596"/>
      <c r="Q97" s="596"/>
      <c r="R97" s="599"/>
      <c r="S97" s="599"/>
      <c r="T97" s="599"/>
      <c r="U97" s="599"/>
      <c r="V97" s="603"/>
      <c r="W97" s="599"/>
      <c r="X97" s="596"/>
      <c r="Y97" s="596"/>
      <c r="Z97" s="596"/>
    </row>
    <row r="98" ht="21.0" customHeight="1">
      <c r="A98" s="507"/>
      <c r="B98" s="508"/>
      <c r="C98" s="508"/>
      <c r="D98" s="508"/>
      <c r="E98" s="508"/>
      <c r="F98" s="515"/>
      <c r="G98" s="515"/>
      <c r="H98" s="508"/>
      <c r="I98" s="600"/>
      <c r="J98" s="600"/>
      <c r="K98" s="599"/>
      <c r="L98" s="599"/>
      <c r="M98" s="599"/>
      <c r="N98" s="599"/>
      <c r="O98" s="596"/>
      <c r="P98" s="596"/>
      <c r="Q98" s="596"/>
      <c r="R98" s="599"/>
      <c r="S98" s="599"/>
      <c r="T98" s="599"/>
      <c r="U98" s="599"/>
      <c r="V98" s="603"/>
      <c r="W98" s="599"/>
      <c r="X98" s="596"/>
      <c r="Y98" s="596"/>
      <c r="Z98" s="596"/>
    </row>
    <row r="99" ht="21.0" customHeight="1">
      <c r="A99" s="507"/>
      <c r="B99" s="508"/>
      <c r="C99" s="508"/>
      <c r="D99" s="508"/>
      <c r="E99" s="508"/>
      <c r="F99" s="515"/>
      <c r="G99" s="515"/>
      <c r="H99" s="508"/>
      <c r="I99" s="600"/>
      <c r="J99" s="600"/>
      <c r="K99" s="599"/>
      <c r="L99" s="599"/>
      <c r="M99" s="599"/>
      <c r="N99" s="599"/>
      <c r="O99" s="596"/>
      <c r="P99" s="596"/>
      <c r="Q99" s="596"/>
      <c r="R99" s="599"/>
      <c r="S99" s="599"/>
      <c r="T99" s="599"/>
      <c r="U99" s="599"/>
      <c r="V99" s="603"/>
      <c r="W99" s="599"/>
      <c r="X99" s="596"/>
      <c r="Y99" s="596"/>
      <c r="Z99" s="596"/>
    </row>
    <row r="100" ht="21.0" customHeight="1">
      <c r="A100" s="507"/>
      <c r="B100" s="508"/>
      <c r="C100" s="508"/>
      <c r="D100" s="508"/>
      <c r="E100" s="508"/>
      <c r="F100" s="515"/>
      <c r="G100" s="515"/>
      <c r="H100" s="508"/>
      <c r="I100" s="600"/>
      <c r="J100" s="600"/>
      <c r="K100" s="599"/>
      <c r="L100" s="599"/>
      <c r="M100" s="599"/>
      <c r="N100" s="599"/>
      <c r="O100" s="596"/>
      <c r="P100" s="596"/>
      <c r="Q100" s="596"/>
      <c r="R100" s="599"/>
      <c r="S100" s="599"/>
      <c r="T100" s="599"/>
      <c r="U100" s="599"/>
      <c r="V100" s="603"/>
      <c r="W100" s="599"/>
      <c r="X100" s="596"/>
      <c r="Y100" s="596"/>
      <c r="Z100" s="596"/>
    </row>
    <row r="101" ht="21.0" customHeight="1">
      <c r="A101" s="507"/>
      <c r="B101" s="508"/>
      <c r="C101" s="508"/>
      <c r="D101" s="508"/>
      <c r="E101" s="508"/>
      <c r="F101" s="515"/>
      <c r="G101" s="515"/>
      <c r="H101" s="508"/>
      <c r="I101" s="600"/>
      <c r="J101" s="600"/>
      <c r="K101" s="599"/>
      <c r="L101" s="599"/>
      <c r="M101" s="599"/>
      <c r="N101" s="599"/>
      <c r="O101" s="596"/>
      <c r="P101" s="596"/>
      <c r="Q101" s="596"/>
      <c r="R101" s="599"/>
      <c r="S101" s="599"/>
      <c r="T101" s="599"/>
      <c r="U101" s="599"/>
      <c r="V101" s="603"/>
      <c r="W101" s="599"/>
      <c r="X101" s="596"/>
      <c r="Y101" s="596"/>
      <c r="Z101" s="596"/>
    </row>
    <row r="102" ht="21.0" customHeight="1">
      <c r="A102" s="507"/>
      <c r="B102" s="508"/>
      <c r="C102" s="508"/>
      <c r="D102" s="508"/>
      <c r="E102" s="508"/>
      <c r="F102" s="515"/>
      <c r="G102" s="515"/>
      <c r="H102" s="508"/>
      <c r="I102" s="600"/>
      <c r="J102" s="600"/>
      <c r="K102" s="599"/>
      <c r="L102" s="599"/>
      <c r="M102" s="599"/>
      <c r="N102" s="599"/>
      <c r="O102" s="596"/>
      <c r="P102" s="596"/>
      <c r="Q102" s="596"/>
      <c r="R102" s="599"/>
      <c r="S102" s="599"/>
      <c r="T102" s="599"/>
      <c r="U102" s="599"/>
      <c r="V102" s="603"/>
      <c r="W102" s="599"/>
      <c r="X102" s="596"/>
      <c r="Y102" s="596"/>
      <c r="Z102" s="596"/>
    </row>
    <row r="103" ht="21.0" customHeight="1">
      <c r="A103" s="507"/>
      <c r="B103" s="508"/>
      <c r="C103" s="508"/>
      <c r="D103" s="508"/>
      <c r="E103" s="508"/>
      <c r="F103" s="515"/>
      <c r="G103" s="515"/>
      <c r="H103" s="508"/>
      <c r="I103" s="600"/>
      <c r="J103" s="600"/>
      <c r="K103" s="599"/>
      <c r="L103" s="599"/>
      <c r="M103" s="599"/>
      <c r="N103" s="599"/>
      <c r="O103" s="596"/>
      <c r="P103" s="596"/>
      <c r="Q103" s="596"/>
      <c r="R103" s="599"/>
      <c r="S103" s="599"/>
      <c r="T103" s="599"/>
      <c r="U103" s="599"/>
      <c r="V103" s="603"/>
      <c r="W103" s="599"/>
      <c r="X103" s="596"/>
      <c r="Y103" s="596"/>
      <c r="Z103" s="596"/>
    </row>
    <row r="104" ht="21.0" customHeight="1">
      <c r="A104" s="507"/>
      <c r="B104" s="508"/>
      <c r="C104" s="508"/>
      <c r="D104" s="508"/>
      <c r="E104" s="508"/>
      <c r="F104" s="515"/>
      <c r="G104" s="515"/>
      <c r="H104" s="508"/>
      <c r="I104" s="600"/>
      <c r="J104" s="600"/>
      <c r="K104" s="599"/>
      <c r="L104" s="599"/>
      <c r="M104" s="599"/>
      <c r="N104" s="599"/>
      <c r="O104" s="596"/>
      <c r="P104" s="596"/>
      <c r="Q104" s="596"/>
      <c r="R104" s="599"/>
      <c r="S104" s="599"/>
      <c r="T104" s="599"/>
      <c r="U104" s="599"/>
      <c r="V104" s="603"/>
      <c r="W104" s="599"/>
      <c r="X104" s="596"/>
      <c r="Y104" s="596"/>
      <c r="Z104" s="596"/>
    </row>
    <row r="105" ht="21.0" customHeight="1">
      <c r="A105" s="507"/>
      <c r="B105" s="508"/>
      <c r="C105" s="508"/>
      <c r="D105" s="508"/>
      <c r="E105" s="508"/>
      <c r="F105" s="515"/>
      <c r="G105" s="515"/>
      <c r="H105" s="508"/>
      <c r="I105" s="600"/>
      <c r="J105" s="600"/>
      <c r="K105" s="599"/>
      <c r="L105" s="599"/>
      <c r="M105" s="599"/>
      <c r="N105" s="599"/>
      <c r="O105" s="596"/>
      <c r="P105" s="596"/>
      <c r="Q105" s="596"/>
      <c r="R105" s="599"/>
      <c r="S105" s="599"/>
      <c r="T105" s="599"/>
      <c r="U105" s="599"/>
      <c r="V105" s="603"/>
      <c r="W105" s="599"/>
      <c r="X105" s="596"/>
      <c r="Y105" s="596"/>
      <c r="Z105" s="596"/>
    </row>
    <row r="106" ht="21.0" customHeight="1">
      <c r="A106" s="507"/>
      <c r="B106" s="508"/>
      <c r="C106" s="508"/>
      <c r="D106" s="508"/>
      <c r="E106" s="508"/>
      <c r="F106" s="515"/>
      <c r="G106" s="515"/>
      <c r="H106" s="508"/>
      <c r="I106" s="600"/>
      <c r="J106" s="600"/>
      <c r="K106" s="599"/>
      <c r="L106" s="599"/>
      <c r="M106" s="599"/>
      <c r="N106" s="599"/>
      <c r="O106" s="596"/>
      <c r="P106" s="596"/>
      <c r="Q106" s="596"/>
      <c r="R106" s="599"/>
      <c r="S106" s="599"/>
      <c r="T106" s="599"/>
      <c r="U106" s="599"/>
      <c r="V106" s="603"/>
      <c r="W106" s="599"/>
      <c r="X106" s="596"/>
      <c r="Y106" s="596"/>
      <c r="Z106" s="596"/>
    </row>
    <row r="107" ht="21.0" customHeight="1">
      <c r="A107" s="507"/>
      <c r="B107" s="508"/>
      <c r="C107" s="508"/>
      <c r="D107" s="508"/>
      <c r="E107" s="508"/>
      <c r="F107" s="515"/>
      <c r="G107" s="515"/>
      <c r="H107" s="508"/>
      <c r="I107" s="600"/>
      <c r="J107" s="600"/>
      <c r="K107" s="599"/>
      <c r="L107" s="599"/>
      <c r="M107" s="599"/>
      <c r="N107" s="599"/>
      <c r="O107" s="596"/>
      <c r="P107" s="596"/>
      <c r="Q107" s="596"/>
      <c r="R107" s="599"/>
      <c r="S107" s="599"/>
      <c r="T107" s="599"/>
      <c r="U107" s="599"/>
      <c r="V107" s="603"/>
      <c r="W107" s="599"/>
      <c r="X107" s="596"/>
      <c r="Y107" s="596"/>
      <c r="Z107" s="596"/>
    </row>
    <row r="108" ht="21.0" customHeight="1">
      <c r="A108" s="507"/>
      <c r="B108" s="508"/>
      <c r="C108" s="508"/>
      <c r="D108" s="508"/>
      <c r="E108" s="508"/>
      <c r="F108" s="515"/>
      <c r="G108" s="515"/>
      <c r="H108" s="508"/>
      <c r="I108" s="600"/>
      <c r="J108" s="600"/>
      <c r="K108" s="599"/>
      <c r="L108" s="599"/>
      <c r="M108" s="599"/>
      <c r="N108" s="599"/>
      <c r="O108" s="596"/>
      <c r="P108" s="596"/>
      <c r="Q108" s="596"/>
      <c r="R108" s="599"/>
      <c r="S108" s="599"/>
      <c r="T108" s="599"/>
      <c r="U108" s="599"/>
      <c r="V108" s="603"/>
      <c r="W108" s="599"/>
      <c r="X108" s="596"/>
      <c r="Y108" s="596"/>
      <c r="Z108" s="596"/>
    </row>
    <row r="109" ht="21.0" customHeight="1">
      <c r="A109" s="507"/>
      <c r="B109" s="508"/>
      <c r="C109" s="508"/>
      <c r="D109" s="508"/>
      <c r="E109" s="508"/>
      <c r="F109" s="515"/>
      <c r="G109" s="515"/>
      <c r="H109" s="508"/>
      <c r="I109" s="600"/>
      <c r="J109" s="600"/>
      <c r="K109" s="599"/>
      <c r="L109" s="599"/>
      <c r="M109" s="599"/>
      <c r="N109" s="599"/>
      <c r="O109" s="596"/>
      <c r="P109" s="596"/>
      <c r="Q109" s="596"/>
      <c r="R109" s="599"/>
      <c r="S109" s="599"/>
      <c r="T109" s="599"/>
      <c r="U109" s="599"/>
      <c r="V109" s="603"/>
      <c r="W109" s="599"/>
      <c r="X109" s="596"/>
      <c r="Y109" s="596"/>
      <c r="Z109" s="596"/>
    </row>
    <row r="110" ht="21.0" customHeight="1">
      <c r="A110" s="507"/>
      <c r="B110" s="508"/>
      <c r="C110" s="508"/>
      <c r="D110" s="508"/>
      <c r="E110" s="508"/>
      <c r="F110" s="515"/>
      <c r="G110" s="515"/>
      <c r="H110" s="508"/>
      <c r="I110" s="600"/>
      <c r="J110" s="600"/>
      <c r="K110" s="599"/>
      <c r="L110" s="599"/>
      <c r="M110" s="599"/>
      <c r="N110" s="599"/>
      <c r="O110" s="596"/>
      <c r="P110" s="596"/>
      <c r="Q110" s="596"/>
      <c r="R110" s="599"/>
      <c r="S110" s="599"/>
      <c r="T110" s="599"/>
      <c r="U110" s="599"/>
      <c r="V110" s="603"/>
      <c r="W110" s="599"/>
      <c r="X110" s="596"/>
      <c r="Y110" s="596"/>
      <c r="Z110" s="596"/>
    </row>
    <row r="111" ht="21.0" customHeight="1">
      <c r="A111" s="507"/>
      <c r="B111" s="508"/>
      <c r="C111" s="508"/>
      <c r="D111" s="508"/>
      <c r="E111" s="508"/>
      <c r="F111" s="515"/>
      <c r="G111" s="515"/>
      <c r="H111" s="508"/>
      <c r="I111" s="600"/>
      <c r="J111" s="600"/>
      <c r="K111" s="599"/>
      <c r="L111" s="599"/>
      <c r="M111" s="599"/>
      <c r="N111" s="599"/>
      <c r="O111" s="596"/>
      <c r="P111" s="596"/>
      <c r="Q111" s="596"/>
      <c r="R111" s="599"/>
      <c r="S111" s="599"/>
      <c r="T111" s="599"/>
      <c r="U111" s="599"/>
      <c r="V111" s="603"/>
      <c r="W111" s="599"/>
      <c r="X111" s="596"/>
      <c r="Y111" s="596"/>
      <c r="Z111" s="596"/>
    </row>
    <row r="112" ht="21.0" customHeight="1">
      <c r="A112" s="507"/>
      <c r="B112" s="508"/>
      <c r="C112" s="508"/>
      <c r="D112" s="508"/>
      <c r="E112" s="508"/>
      <c r="F112" s="515"/>
      <c r="G112" s="515"/>
      <c r="H112" s="508"/>
      <c r="I112" s="600"/>
      <c r="J112" s="600"/>
      <c r="K112" s="599"/>
      <c r="L112" s="599"/>
      <c r="M112" s="599"/>
      <c r="N112" s="599"/>
      <c r="O112" s="596"/>
      <c r="P112" s="596"/>
      <c r="Q112" s="596"/>
      <c r="R112" s="599"/>
      <c r="S112" s="599"/>
      <c r="T112" s="599"/>
      <c r="U112" s="599"/>
      <c r="V112" s="603"/>
      <c r="W112" s="599"/>
      <c r="X112" s="596"/>
      <c r="Y112" s="596"/>
      <c r="Z112" s="596"/>
    </row>
    <row r="113" ht="21.0" customHeight="1">
      <c r="A113" s="507"/>
      <c r="B113" s="508"/>
      <c r="C113" s="508"/>
      <c r="D113" s="508"/>
      <c r="E113" s="508"/>
      <c r="F113" s="515"/>
      <c r="G113" s="515"/>
      <c r="H113" s="508"/>
      <c r="I113" s="600"/>
      <c r="J113" s="600"/>
      <c r="K113" s="599"/>
      <c r="L113" s="599"/>
      <c r="M113" s="599"/>
      <c r="N113" s="599"/>
      <c r="O113" s="596"/>
      <c r="P113" s="596"/>
      <c r="Q113" s="596"/>
      <c r="R113" s="599"/>
      <c r="S113" s="599"/>
      <c r="T113" s="599"/>
      <c r="U113" s="599"/>
      <c r="V113" s="603"/>
      <c r="W113" s="599"/>
      <c r="X113" s="596"/>
      <c r="Y113" s="596"/>
      <c r="Z113" s="596"/>
    </row>
    <row r="114" ht="21.0" customHeight="1">
      <c r="A114" s="507"/>
      <c r="B114" s="508"/>
      <c r="C114" s="508"/>
      <c r="D114" s="508"/>
      <c r="E114" s="508"/>
      <c r="F114" s="515"/>
      <c r="G114" s="515"/>
      <c r="H114" s="508"/>
      <c r="I114" s="600"/>
      <c r="J114" s="600"/>
      <c r="K114" s="599"/>
      <c r="L114" s="599"/>
      <c r="M114" s="599"/>
      <c r="N114" s="599"/>
      <c r="O114" s="596"/>
      <c r="P114" s="596"/>
      <c r="Q114" s="596"/>
      <c r="R114" s="599"/>
      <c r="S114" s="599"/>
      <c r="T114" s="599"/>
      <c r="U114" s="599"/>
      <c r="V114" s="603"/>
      <c r="W114" s="599"/>
      <c r="X114" s="596"/>
      <c r="Y114" s="596"/>
      <c r="Z114" s="596"/>
    </row>
    <row r="115" ht="21.0" customHeight="1">
      <c r="A115" s="507"/>
      <c r="B115" s="508"/>
      <c r="C115" s="508"/>
      <c r="D115" s="508"/>
      <c r="E115" s="508"/>
      <c r="F115" s="515"/>
      <c r="G115" s="515"/>
      <c r="H115" s="508"/>
      <c r="I115" s="600"/>
      <c r="J115" s="600"/>
      <c r="K115" s="599"/>
      <c r="L115" s="599"/>
      <c r="M115" s="599"/>
      <c r="N115" s="599"/>
      <c r="O115" s="596"/>
      <c r="P115" s="596"/>
      <c r="Q115" s="596"/>
      <c r="R115" s="599"/>
      <c r="S115" s="599"/>
      <c r="T115" s="599"/>
      <c r="U115" s="599"/>
      <c r="V115" s="603"/>
      <c r="W115" s="599"/>
      <c r="X115" s="596"/>
      <c r="Y115" s="596"/>
      <c r="Z115" s="596"/>
    </row>
    <row r="116" ht="21.0" customHeight="1">
      <c r="A116" s="507"/>
      <c r="B116" s="508"/>
      <c r="C116" s="508"/>
      <c r="D116" s="508"/>
      <c r="E116" s="508"/>
      <c r="F116" s="515"/>
      <c r="G116" s="515"/>
      <c r="H116" s="508"/>
      <c r="I116" s="600"/>
      <c r="J116" s="600"/>
      <c r="K116" s="599"/>
      <c r="L116" s="599"/>
      <c r="M116" s="599"/>
      <c r="N116" s="599"/>
      <c r="O116" s="596"/>
      <c r="P116" s="596"/>
      <c r="Q116" s="596"/>
      <c r="R116" s="599"/>
      <c r="S116" s="599"/>
      <c r="T116" s="599"/>
      <c r="U116" s="599"/>
      <c r="V116" s="603"/>
      <c r="W116" s="599"/>
      <c r="X116" s="596"/>
      <c r="Y116" s="596"/>
      <c r="Z116" s="596"/>
    </row>
    <row r="117" ht="21.0" customHeight="1">
      <c r="A117" s="507"/>
      <c r="B117" s="508"/>
      <c r="C117" s="508"/>
      <c r="D117" s="508"/>
      <c r="E117" s="508"/>
      <c r="F117" s="515"/>
      <c r="G117" s="515"/>
      <c r="H117" s="508"/>
      <c r="I117" s="600"/>
      <c r="J117" s="600"/>
      <c r="K117" s="599"/>
      <c r="L117" s="599"/>
      <c r="M117" s="599"/>
      <c r="N117" s="599"/>
      <c r="O117" s="596"/>
      <c r="P117" s="596"/>
      <c r="Q117" s="596"/>
      <c r="R117" s="599"/>
      <c r="S117" s="599"/>
      <c r="T117" s="599"/>
      <c r="U117" s="599"/>
      <c r="V117" s="603"/>
      <c r="W117" s="599"/>
      <c r="X117" s="596"/>
      <c r="Y117" s="596"/>
      <c r="Z117" s="596"/>
    </row>
    <row r="118" ht="21.0" customHeight="1">
      <c r="A118" s="507"/>
      <c r="B118" s="508"/>
      <c r="C118" s="508"/>
      <c r="D118" s="508"/>
      <c r="E118" s="508"/>
      <c r="F118" s="515"/>
      <c r="G118" s="515"/>
      <c r="H118" s="508"/>
      <c r="I118" s="600"/>
      <c r="J118" s="600"/>
      <c r="K118" s="599"/>
      <c r="L118" s="599"/>
      <c r="M118" s="599"/>
      <c r="N118" s="599"/>
      <c r="O118" s="596"/>
      <c r="P118" s="596"/>
      <c r="Q118" s="596"/>
      <c r="R118" s="599"/>
      <c r="S118" s="599"/>
      <c r="T118" s="599"/>
      <c r="U118" s="599"/>
      <c r="V118" s="603"/>
      <c r="W118" s="599"/>
      <c r="X118" s="596"/>
      <c r="Y118" s="596"/>
      <c r="Z118" s="596"/>
    </row>
    <row r="119" ht="21.0" customHeight="1">
      <c r="A119" s="507"/>
      <c r="B119" s="508"/>
      <c r="C119" s="508"/>
      <c r="D119" s="508"/>
      <c r="E119" s="508"/>
      <c r="F119" s="515"/>
      <c r="G119" s="515"/>
      <c r="H119" s="508"/>
      <c r="I119" s="600"/>
      <c r="J119" s="600"/>
      <c r="K119" s="599"/>
      <c r="L119" s="599"/>
      <c r="M119" s="599"/>
      <c r="N119" s="599"/>
      <c r="O119" s="596"/>
      <c r="P119" s="596"/>
      <c r="Q119" s="596"/>
      <c r="R119" s="599"/>
      <c r="S119" s="599"/>
      <c r="T119" s="599"/>
      <c r="U119" s="599"/>
      <c r="V119" s="603"/>
      <c r="W119" s="599"/>
      <c r="X119" s="596"/>
      <c r="Y119" s="596"/>
      <c r="Z119" s="596"/>
    </row>
    <row r="120" ht="21.0" customHeight="1">
      <c r="A120" s="507"/>
      <c r="B120" s="508"/>
      <c r="C120" s="508"/>
      <c r="D120" s="508"/>
      <c r="E120" s="508"/>
      <c r="F120" s="515"/>
      <c r="G120" s="515"/>
      <c r="H120" s="508"/>
      <c r="I120" s="600"/>
      <c r="J120" s="600"/>
      <c r="K120" s="599"/>
      <c r="L120" s="599"/>
      <c r="M120" s="599"/>
      <c r="N120" s="599"/>
      <c r="O120" s="596"/>
      <c r="P120" s="596"/>
      <c r="Q120" s="596"/>
      <c r="R120" s="599"/>
      <c r="S120" s="599"/>
      <c r="T120" s="599"/>
      <c r="U120" s="599"/>
      <c r="V120" s="603"/>
      <c r="W120" s="599"/>
      <c r="X120" s="596"/>
      <c r="Y120" s="596"/>
      <c r="Z120" s="596"/>
    </row>
    <row r="121" ht="21.0" customHeight="1">
      <c r="A121" s="596"/>
      <c r="B121" s="597"/>
      <c r="C121" s="597"/>
      <c r="D121" s="597"/>
      <c r="E121" s="597"/>
      <c r="F121" s="605"/>
      <c r="G121" s="605"/>
      <c r="H121" s="597"/>
      <c r="I121" s="600"/>
      <c r="J121" s="600"/>
      <c r="K121" s="599"/>
      <c r="L121" s="599"/>
      <c r="M121" s="599"/>
      <c r="N121" s="599"/>
      <c r="O121" s="596"/>
      <c r="P121" s="596"/>
      <c r="Q121" s="596"/>
      <c r="R121" s="599"/>
      <c r="S121" s="599"/>
      <c r="T121" s="599"/>
      <c r="U121" s="599"/>
      <c r="V121" s="603"/>
      <c r="W121" s="599"/>
      <c r="X121" s="596"/>
      <c r="Y121" s="596"/>
      <c r="Z121" s="596"/>
    </row>
    <row r="122" ht="21.0" customHeight="1">
      <c r="A122" s="596"/>
      <c r="B122" s="597"/>
      <c r="C122" s="597"/>
      <c r="D122" s="597"/>
      <c r="E122" s="597"/>
      <c r="F122" s="605"/>
      <c r="G122" s="605"/>
      <c r="H122" s="597"/>
      <c r="I122" s="600"/>
      <c r="J122" s="600"/>
      <c r="K122" s="599"/>
      <c r="L122" s="599"/>
      <c r="M122" s="599"/>
      <c r="N122" s="599"/>
      <c r="O122" s="596"/>
      <c r="P122" s="596"/>
      <c r="Q122" s="596"/>
      <c r="R122" s="599"/>
      <c r="S122" s="599"/>
      <c r="T122" s="599"/>
      <c r="U122" s="599"/>
      <c r="V122" s="603"/>
      <c r="W122" s="599"/>
      <c r="X122" s="596"/>
      <c r="Y122" s="596"/>
      <c r="Z122" s="596"/>
    </row>
    <row r="123" ht="21.0" customHeight="1">
      <c r="A123" s="596"/>
      <c r="B123" s="597"/>
      <c r="C123" s="597"/>
      <c r="D123" s="597"/>
      <c r="E123" s="597"/>
      <c r="F123" s="605"/>
      <c r="G123" s="605"/>
      <c r="H123" s="597"/>
      <c r="I123" s="600"/>
      <c r="J123" s="600"/>
      <c r="K123" s="599"/>
      <c r="L123" s="599"/>
      <c r="M123" s="599"/>
      <c r="N123" s="599"/>
      <c r="O123" s="596"/>
      <c r="P123" s="596"/>
      <c r="Q123" s="596"/>
      <c r="R123" s="599"/>
      <c r="S123" s="599"/>
      <c r="T123" s="599"/>
      <c r="U123" s="599"/>
      <c r="V123" s="603"/>
      <c r="W123" s="599"/>
      <c r="X123" s="596"/>
      <c r="Y123" s="596"/>
      <c r="Z123" s="596"/>
    </row>
    <row r="124" ht="21.0" customHeight="1">
      <c r="A124" s="596"/>
      <c r="B124" s="597"/>
      <c r="C124" s="597"/>
      <c r="D124" s="597"/>
      <c r="E124" s="597"/>
      <c r="F124" s="605"/>
      <c r="G124" s="605"/>
      <c r="H124" s="597"/>
      <c r="I124" s="600"/>
      <c r="J124" s="600"/>
      <c r="K124" s="599"/>
      <c r="L124" s="599"/>
      <c r="M124" s="599"/>
      <c r="N124" s="599"/>
      <c r="O124" s="596"/>
      <c r="P124" s="596"/>
      <c r="Q124" s="596"/>
      <c r="R124" s="599"/>
      <c r="S124" s="599"/>
      <c r="T124" s="599"/>
      <c r="U124" s="599"/>
      <c r="V124" s="603"/>
      <c r="W124" s="599"/>
      <c r="X124" s="596"/>
      <c r="Y124" s="596"/>
      <c r="Z124" s="596"/>
    </row>
    <row r="125" ht="21.0" customHeight="1">
      <c r="A125" s="596"/>
      <c r="B125" s="597"/>
      <c r="C125" s="597"/>
      <c r="D125" s="597"/>
      <c r="E125" s="597"/>
      <c r="F125" s="605"/>
      <c r="G125" s="605"/>
      <c r="H125" s="597"/>
      <c r="I125" s="600"/>
      <c r="J125" s="600"/>
      <c r="K125" s="599"/>
      <c r="L125" s="599"/>
      <c r="M125" s="599"/>
      <c r="N125" s="599"/>
      <c r="O125" s="596"/>
      <c r="P125" s="596"/>
      <c r="Q125" s="596"/>
      <c r="R125" s="599"/>
      <c r="S125" s="599"/>
      <c r="T125" s="599"/>
      <c r="U125" s="599"/>
      <c r="V125" s="603"/>
      <c r="W125" s="599"/>
      <c r="X125" s="596"/>
      <c r="Y125" s="596"/>
      <c r="Z125" s="596"/>
    </row>
    <row r="126" ht="21.0" customHeight="1">
      <c r="A126" s="596"/>
      <c r="B126" s="597"/>
      <c r="C126" s="597"/>
      <c r="D126" s="597"/>
      <c r="E126" s="597"/>
      <c r="F126" s="605"/>
      <c r="G126" s="605"/>
      <c r="H126" s="597"/>
      <c r="I126" s="600"/>
      <c r="J126" s="600"/>
      <c r="K126" s="599"/>
      <c r="L126" s="599"/>
      <c r="M126" s="599"/>
      <c r="N126" s="599"/>
      <c r="O126" s="596"/>
      <c r="P126" s="596"/>
      <c r="Q126" s="596"/>
      <c r="R126" s="599"/>
      <c r="S126" s="599"/>
      <c r="T126" s="599"/>
      <c r="U126" s="599"/>
      <c r="V126" s="603"/>
      <c r="W126" s="599"/>
      <c r="X126" s="596"/>
      <c r="Y126" s="596"/>
      <c r="Z126" s="596"/>
    </row>
    <row r="127" ht="21.0" customHeight="1">
      <c r="A127" s="596"/>
      <c r="B127" s="597"/>
      <c r="C127" s="597"/>
      <c r="D127" s="597"/>
      <c r="E127" s="597"/>
      <c r="F127" s="605"/>
      <c r="G127" s="605"/>
      <c r="H127" s="597"/>
      <c r="I127" s="600"/>
      <c r="J127" s="600"/>
      <c r="K127" s="599"/>
      <c r="L127" s="599"/>
      <c r="M127" s="599"/>
      <c r="N127" s="599"/>
      <c r="O127" s="596"/>
      <c r="P127" s="596"/>
      <c r="Q127" s="596"/>
      <c r="R127" s="599"/>
      <c r="S127" s="599"/>
      <c r="T127" s="599"/>
      <c r="U127" s="599"/>
      <c r="V127" s="603"/>
      <c r="W127" s="599"/>
      <c r="X127" s="596"/>
      <c r="Y127" s="596"/>
      <c r="Z127" s="596"/>
    </row>
    <row r="128" ht="21.0" customHeight="1">
      <c r="A128" s="596"/>
      <c r="B128" s="597"/>
      <c r="C128" s="597"/>
      <c r="D128" s="597"/>
      <c r="E128" s="597"/>
      <c r="F128" s="605"/>
      <c r="G128" s="605"/>
      <c r="H128" s="597"/>
      <c r="I128" s="600"/>
      <c r="J128" s="600"/>
      <c r="K128" s="599"/>
      <c r="L128" s="599"/>
      <c r="M128" s="599"/>
      <c r="N128" s="599"/>
      <c r="O128" s="596"/>
      <c r="P128" s="596"/>
      <c r="Q128" s="596"/>
      <c r="R128" s="599"/>
      <c r="S128" s="599"/>
      <c r="T128" s="599"/>
      <c r="U128" s="599"/>
      <c r="V128" s="603"/>
      <c r="W128" s="599"/>
      <c r="X128" s="596"/>
      <c r="Y128" s="596"/>
      <c r="Z128" s="596"/>
    </row>
    <row r="129" ht="21.0" customHeight="1">
      <c r="A129" s="596"/>
      <c r="B129" s="597"/>
      <c r="C129" s="597"/>
      <c r="D129" s="597"/>
      <c r="E129" s="597"/>
      <c r="F129" s="605"/>
      <c r="G129" s="605"/>
      <c r="H129" s="597"/>
      <c r="I129" s="600"/>
      <c r="J129" s="600"/>
      <c r="K129" s="599"/>
      <c r="L129" s="599"/>
      <c r="M129" s="599"/>
      <c r="N129" s="599"/>
      <c r="O129" s="596"/>
      <c r="P129" s="596"/>
      <c r="Q129" s="596"/>
      <c r="R129" s="599"/>
      <c r="S129" s="599"/>
      <c r="T129" s="599"/>
      <c r="U129" s="599"/>
      <c r="V129" s="603"/>
      <c r="W129" s="599"/>
      <c r="X129" s="596"/>
      <c r="Y129" s="596"/>
      <c r="Z129" s="596"/>
    </row>
    <row r="130" ht="21.0" customHeight="1">
      <c r="A130" s="596"/>
      <c r="B130" s="597"/>
      <c r="C130" s="597"/>
      <c r="D130" s="597"/>
      <c r="E130" s="597"/>
      <c r="F130" s="605"/>
      <c r="G130" s="605"/>
      <c r="H130" s="597"/>
      <c r="I130" s="600"/>
      <c r="J130" s="600"/>
      <c r="K130" s="599"/>
      <c r="L130" s="599"/>
      <c r="M130" s="599"/>
      <c r="N130" s="599"/>
      <c r="O130" s="596"/>
      <c r="P130" s="596"/>
      <c r="Q130" s="596"/>
      <c r="R130" s="599"/>
      <c r="S130" s="599"/>
      <c r="T130" s="599"/>
      <c r="U130" s="599"/>
      <c r="V130" s="603"/>
      <c r="W130" s="599"/>
      <c r="X130" s="596"/>
      <c r="Y130" s="596"/>
      <c r="Z130" s="596"/>
    </row>
    <row r="131" ht="21.0" customHeight="1">
      <c r="A131" s="596"/>
      <c r="B131" s="597"/>
      <c r="C131" s="597"/>
      <c r="D131" s="597"/>
      <c r="E131" s="597"/>
      <c r="F131" s="605"/>
      <c r="G131" s="605"/>
      <c r="H131" s="597"/>
      <c r="I131" s="600"/>
      <c r="J131" s="600"/>
      <c r="K131" s="599"/>
      <c r="L131" s="599"/>
      <c r="M131" s="599"/>
      <c r="N131" s="599"/>
      <c r="O131" s="596"/>
      <c r="P131" s="596"/>
      <c r="Q131" s="596"/>
      <c r="R131" s="599"/>
      <c r="S131" s="599"/>
      <c r="T131" s="599"/>
      <c r="U131" s="599"/>
      <c r="V131" s="603"/>
      <c r="W131" s="599"/>
      <c r="X131" s="596"/>
      <c r="Y131" s="596"/>
      <c r="Z131" s="596"/>
    </row>
    <row r="132" ht="21.0" customHeight="1">
      <c r="A132" s="596"/>
      <c r="B132" s="597"/>
      <c r="C132" s="597"/>
      <c r="D132" s="597"/>
      <c r="E132" s="597"/>
      <c r="F132" s="605"/>
      <c r="G132" s="605"/>
      <c r="H132" s="597"/>
      <c r="I132" s="600"/>
      <c r="J132" s="600"/>
      <c r="K132" s="599"/>
      <c r="L132" s="599"/>
      <c r="M132" s="599"/>
      <c r="N132" s="599"/>
      <c r="O132" s="596"/>
      <c r="P132" s="596"/>
      <c r="Q132" s="596"/>
      <c r="R132" s="599"/>
      <c r="S132" s="599"/>
      <c r="T132" s="599"/>
      <c r="U132" s="599"/>
      <c r="V132" s="603"/>
      <c r="W132" s="599"/>
      <c r="X132" s="596"/>
      <c r="Y132" s="596"/>
      <c r="Z132" s="596"/>
    </row>
    <row r="133" ht="21.0" customHeight="1">
      <c r="A133" s="596"/>
      <c r="B133" s="597"/>
      <c r="C133" s="597"/>
      <c r="D133" s="597"/>
      <c r="E133" s="597"/>
      <c r="F133" s="605"/>
      <c r="G133" s="605"/>
      <c r="H133" s="597"/>
      <c r="I133" s="600"/>
      <c r="J133" s="600"/>
      <c r="K133" s="599"/>
      <c r="L133" s="599"/>
      <c r="M133" s="599"/>
      <c r="N133" s="599"/>
      <c r="O133" s="596"/>
      <c r="P133" s="596"/>
      <c r="Q133" s="596"/>
      <c r="R133" s="599"/>
      <c r="S133" s="599"/>
      <c r="T133" s="599"/>
      <c r="U133" s="599"/>
      <c r="V133" s="603"/>
      <c r="W133" s="599"/>
      <c r="X133" s="596"/>
      <c r="Y133" s="596"/>
      <c r="Z133" s="596"/>
    </row>
    <row r="134" ht="21.0" customHeight="1">
      <c r="A134" s="596"/>
      <c r="B134" s="597"/>
      <c r="C134" s="597"/>
      <c r="D134" s="597"/>
      <c r="E134" s="597"/>
      <c r="F134" s="605"/>
      <c r="G134" s="605"/>
      <c r="H134" s="597"/>
      <c r="I134" s="600"/>
      <c r="J134" s="600"/>
      <c r="K134" s="599"/>
      <c r="L134" s="599"/>
      <c r="M134" s="599"/>
      <c r="N134" s="599"/>
      <c r="O134" s="596"/>
      <c r="P134" s="596"/>
      <c r="Q134" s="596"/>
      <c r="R134" s="599"/>
      <c r="S134" s="599"/>
      <c r="T134" s="599"/>
      <c r="U134" s="599"/>
      <c r="V134" s="603"/>
      <c r="W134" s="599"/>
      <c r="X134" s="596"/>
      <c r="Y134" s="596"/>
      <c r="Z134" s="596"/>
    </row>
    <row r="135" ht="21.0" customHeight="1">
      <c r="A135" s="596"/>
      <c r="B135" s="597"/>
      <c r="C135" s="597"/>
      <c r="D135" s="597"/>
      <c r="E135" s="597"/>
      <c r="F135" s="605"/>
      <c r="G135" s="605"/>
      <c r="H135" s="597"/>
      <c r="I135" s="600"/>
      <c r="J135" s="600"/>
      <c r="K135" s="599"/>
      <c r="L135" s="599"/>
      <c r="M135" s="599"/>
      <c r="N135" s="599"/>
      <c r="O135" s="596"/>
      <c r="P135" s="596"/>
      <c r="Q135" s="596"/>
      <c r="R135" s="599"/>
      <c r="S135" s="599"/>
      <c r="T135" s="599"/>
      <c r="U135" s="599"/>
      <c r="V135" s="603"/>
      <c r="W135" s="599"/>
      <c r="X135" s="596"/>
      <c r="Y135" s="596"/>
      <c r="Z135" s="596"/>
    </row>
    <row r="136" ht="21.0" customHeight="1">
      <c r="A136" s="596"/>
      <c r="B136" s="597"/>
      <c r="C136" s="597"/>
      <c r="D136" s="597"/>
      <c r="E136" s="597"/>
      <c r="F136" s="605"/>
      <c r="G136" s="605"/>
      <c r="H136" s="597"/>
      <c r="I136" s="600"/>
      <c r="J136" s="600"/>
      <c r="K136" s="599"/>
      <c r="L136" s="599"/>
      <c r="M136" s="599"/>
      <c r="N136" s="599"/>
      <c r="O136" s="596"/>
      <c r="P136" s="596"/>
      <c r="Q136" s="596"/>
      <c r="R136" s="599"/>
      <c r="S136" s="599"/>
      <c r="T136" s="599"/>
      <c r="U136" s="599"/>
      <c r="V136" s="603"/>
      <c r="W136" s="599"/>
      <c r="X136" s="596"/>
      <c r="Y136" s="596"/>
      <c r="Z136" s="596"/>
    </row>
    <row r="137" ht="21.0" customHeight="1">
      <c r="A137" s="596"/>
      <c r="B137" s="597"/>
      <c r="C137" s="597"/>
      <c r="D137" s="597"/>
      <c r="E137" s="597"/>
      <c r="F137" s="605"/>
      <c r="G137" s="605"/>
      <c r="H137" s="597"/>
      <c r="I137" s="600"/>
      <c r="J137" s="600"/>
      <c r="K137" s="599"/>
      <c r="L137" s="599"/>
      <c r="M137" s="599"/>
      <c r="N137" s="599"/>
      <c r="O137" s="596"/>
      <c r="P137" s="596"/>
      <c r="Q137" s="596"/>
      <c r="R137" s="599"/>
      <c r="S137" s="599"/>
      <c r="T137" s="599"/>
      <c r="U137" s="599"/>
      <c r="V137" s="603"/>
      <c r="W137" s="599"/>
      <c r="X137" s="596"/>
      <c r="Y137" s="596"/>
      <c r="Z137" s="596"/>
    </row>
    <row r="138" ht="21.0" customHeight="1">
      <c r="A138" s="596"/>
      <c r="B138" s="597"/>
      <c r="C138" s="597"/>
      <c r="D138" s="597"/>
      <c r="E138" s="597"/>
      <c r="F138" s="605"/>
      <c r="G138" s="605"/>
      <c r="H138" s="597"/>
      <c r="I138" s="600"/>
      <c r="J138" s="600"/>
      <c r="K138" s="599"/>
      <c r="L138" s="599"/>
      <c r="M138" s="599"/>
      <c r="N138" s="599"/>
      <c r="O138" s="596"/>
      <c r="P138" s="596"/>
      <c r="Q138" s="596"/>
      <c r="R138" s="599"/>
      <c r="S138" s="599"/>
      <c r="T138" s="599"/>
      <c r="U138" s="599"/>
      <c r="V138" s="603"/>
      <c r="W138" s="599"/>
      <c r="X138" s="596"/>
      <c r="Y138" s="596"/>
      <c r="Z138" s="596"/>
    </row>
    <row r="139" ht="21.0" customHeight="1">
      <c r="A139" s="596"/>
      <c r="B139" s="597"/>
      <c r="C139" s="597"/>
      <c r="D139" s="597"/>
      <c r="E139" s="597"/>
      <c r="F139" s="605"/>
      <c r="G139" s="605"/>
      <c r="H139" s="597"/>
      <c r="I139" s="600"/>
      <c r="J139" s="600"/>
      <c r="K139" s="599"/>
      <c r="L139" s="599"/>
      <c r="M139" s="599"/>
      <c r="N139" s="599"/>
      <c r="O139" s="596"/>
      <c r="P139" s="596"/>
      <c r="Q139" s="596"/>
      <c r="R139" s="599"/>
      <c r="S139" s="599"/>
      <c r="T139" s="599"/>
      <c r="U139" s="599"/>
      <c r="V139" s="603"/>
      <c r="W139" s="599"/>
      <c r="X139" s="596"/>
      <c r="Y139" s="596"/>
      <c r="Z139" s="596"/>
    </row>
    <row r="140" ht="21.0" customHeight="1">
      <c r="A140" s="596"/>
      <c r="B140" s="597"/>
      <c r="C140" s="597"/>
      <c r="D140" s="597"/>
      <c r="E140" s="597"/>
      <c r="F140" s="605"/>
      <c r="G140" s="605"/>
      <c r="H140" s="597"/>
      <c r="I140" s="600"/>
      <c r="J140" s="600"/>
      <c r="K140" s="599"/>
      <c r="L140" s="599"/>
      <c r="M140" s="599"/>
      <c r="N140" s="599"/>
      <c r="O140" s="596"/>
      <c r="P140" s="596"/>
      <c r="Q140" s="596"/>
      <c r="R140" s="599"/>
      <c r="S140" s="599"/>
      <c r="T140" s="599"/>
      <c r="U140" s="599"/>
      <c r="V140" s="603"/>
      <c r="W140" s="599"/>
      <c r="X140" s="596"/>
      <c r="Y140" s="596"/>
      <c r="Z140" s="596"/>
    </row>
    <row r="141" ht="21.0" customHeight="1">
      <c r="A141" s="596"/>
      <c r="B141" s="597"/>
      <c r="C141" s="597"/>
      <c r="D141" s="597"/>
      <c r="E141" s="597"/>
      <c r="F141" s="605"/>
      <c r="G141" s="605"/>
      <c r="H141" s="597"/>
      <c r="I141" s="600"/>
      <c r="J141" s="600"/>
      <c r="K141" s="599"/>
      <c r="L141" s="599"/>
      <c r="M141" s="599"/>
      <c r="N141" s="599"/>
      <c r="O141" s="596"/>
      <c r="P141" s="596"/>
      <c r="Q141" s="596"/>
      <c r="R141" s="599"/>
      <c r="S141" s="599"/>
      <c r="T141" s="599"/>
      <c r="U141" s="599"/>
      <c r="V141" s="603"/>
      <c r="W141" s="599"/>
      <c r="X141" s="596"/>
      <c r="Y141" s="596"/>
      <c r="Z141" s="596"/>
    </row>
    <row r="142" ht="21.0" customHeight="1">
      <c r="A142" s="596"/>
      <c r="B142" s="597"/>
      <c r="C142" s="597"/>
      <c r="D142" s="597"/>
      <c r="E142" s="597"/>
      <c r="F142" s="605"/>
      <c r="G142" s="605"/>
      <c r="H142" s="597"/>
      <c r="I142" s="600"/>
      <c r="J142" s="600"/>
      <c r="K142" s="599"/>
      <c r="L142" s="599"/>
      <c r="M142" s="599"/>
      <c r="N142" s="599"/>
      <c r="O142" s="596"/>
      <c r="P142" s="596"/>
      <c r="Q142" s="596"/>
      <c r="R142" s="599"/>
      <c r="S142" s="599"/>
      <c r="T142" s="599"/>
      <c r="U142" s="599"/>
      <c r="V142" s="603"/>
      <c r="W142" s="599"/>
      <c r="X142" s="596"/>
      <c r="Y142" s="596"/>
      <c r="Z142" s="596"/>
    </row>
    <row r="143" ht="21.0" customHeight="1">
      <c r="A143" s="596"/>
      <c r="B143" s="597"/>
      <c r="C143" s="597"/>
      <c r="D143" s="597"/>
      <c r="E143" s="597"/>
      <c r="F143" s="605"/>
      <c r="G143" s="605"/>
      <c r="H143" s="597"/>
      <c r="I143" s="600"/>
      <c r="J143" s="600"/>
      <c r="K143" s="599"/>
      <c r="L143" s="599"/>
      <c r="M143" s="599"/>
      <c r="N143" s="599"/>
      <c r="O143" s="596"/>
      <c r="P143" s="596"/>
      <c r="Q143" s="596"/>
      <c r="R143" s="599"/>
      <c r="S143" s="599"/>
      <c r="T143" s="599"/>
      <c r="U143" s="599"/>
      <c r="V143" s="603"/>
      <c r="W143" s="599"/>
      <c r="X143" s="596"/>
      <c r="Y143" s="596"/>
      <c r="Z143" s="596"/>
    </row>
    <row r="144" ht="21.0" customHeight="1">
      <c r="A144" s="596"/>
      <c r="B144" s="597"/>
      <c r="C144" s="597"/>
      <c r="D144" s="597"/>
      <c r="E144" s="597"/>
      <c r="F144" s="605"/>
      <c r="G144" s="605"/>
      <c r="H144" s="597"/>
      <c r="I144" s="600"/>
      <c r="J144" s="600"/>
      <c r="K144" s="599"/>
      <c r="L144" s="599"/>
      <c r="M144" s="599"/>
      <c r="N144" s="599"/>
      <c r="O144" s="596"/>
      <c r="P144" s="596"/>
      <c r="Q144" s="596"/>
      <c r="R144" s="599"/>
      <c r="S144" s="599"/>
      <c r="T144" s="599"/>
      <c r="U144" s="599"/>
      <c r="V144" s="603"/>
      <c r="W144" s="599"/>
      <c r="X144" s="596"/>
      <c r="Y144" s="596"/>
      <c r="Z144" s="596"/>
    </row>
    <row r="145" ht="21.0" customHeight="1">
      <c r="A145" s="596"/>
      <c r="B145" s="597"/>
      <c r="C145" s="597"/>
      <c r="D145" s="597"/>
      <c r="E145" s="597"/>
      <c r="F145" s="605"/>
      <c r="G145" s="605"/>
      <c r="H145" s="597"/>
      <c r="I145" s="600"/>
      <c r="J145" s="600"/>
      <c r="K145" s="599"/>
      <c r="L145" s="599"/>
      <c r="M145" s="599"/>
      <c r="N145" s="599"/>
      <c r="O145" s="596"/>
      <c r="P145" s="596"/>
      <c r="Q145" s="596"/>
      <c r="R145" s="599"/>
      <c r="S145" s="599"/>
      <c r="T145" s="599"/>
      <c r="U145" s="599"/>
      <c r="V145" s="603"/>
      <c r="W145" s="599"/>
      <c r="X145" s="596"/>
      <c r="Y145" s="596"/>
      <c r="Z145" s="596"/>
    </row>
    <row r="146" ht="21.0" customHeight="1">
      <c r="A146" s="596"/>
      <c r="B146" s="597"/>
      <c r="C146" s="597"/>
      <c r="D146" s="597"/>
      <c r="E146" s="597"/>
      <c r="F146" s="605"/>
      <c r="G146" s="605"/>
      <c r="H146" s="597"/>
      <c r="I146" s="600"/>
      <c r="J146" s="600"/>
      <c r="K146" s="599"/>
      <c r="L146" s="599"/>
      <c r="M146" s="599"/>
      <c r="N146" s="599"/>
      <c r="O146" s="596"/>
      <c r="P146" s="596"/>
      <c r="Q146" s="596"/>
      <c r="R146" s="599"/>
      <c r="S146" s="599"/>
      <c r="T146" s="599"/>
      <c r="U146" s="599"/>
      <c r="V146" s="603"/>
      <c r="W146" s="599"/>
      <c r="X146" s="596"/>
      <c r="Y146" s="596"/>
      <c r="Z146" s="596"/>
    </row>
    <row r="147" ht="21.0" customHeight="1">
      <c r="A147" s="596"/>
      <c r="B147" s="597"/>
      <c r="C147" s="597"/>
      <c r="D147" s="597"/>
      <c r="E147" s="597"/>
      <c r="F147" s="605"/>
      <c r="G147" s="605"/>
      <c r="H147" s="597"/>
      <c r="I147" s="600"/>
      <c r="J147" s="600"/>
      <c r="K147" s="599"/>
      <c r="L147" s="599"/>
      <c r="M147" s="599"/>
      <c r="N147" s="599"/>
      <c r="O147" s="596"/>
      <c r="P147" s="596"/>
      <c r="Q147" s="596"/>
      <c r="R147" s="599"/>
      <c r="S147" s="599"/>
      <c r="T147" s="599"/>
      <c r="U147" s="599"/>
      <c r="V147" s="603"/>
      <c r="W147" s="599"/>
      <c r="X147" s="596"/>
      <c r="Y147" s="596"/>
      <c r="Z147" s="596"/>
    </row>
    <row r="148" ht="21.0" customHeight="1">
      <c r="A148" s="596"/>
      <c r="B148" s="597"/>
      <c r="C148" s="597"/>
      <c r="D148" s="597"/>
      <c r="E148" s="597"/>
      <c r="F148" s="605"/>
      <c r="G148" s="605"/>
      <c r="H148" s="597"/>
      <c r="I148" s="600"/>
      <c r="J148" s="600"/>
      <c r="K148" s="599"/>
      <c r="L148" s="599"/>
      <c r="M148" s="599"/>
      <c r="N148" s="599"/>
      <c r="O148" s="596"/>
      <c r="P148" s="596"/>
      <c r="Q148" s="596"/>
      <c r="R148" s="599"/>
      <c r="S148" s="599"/>
      <c r="T148" s="599"/>
      <c r="U148" s="599"/>
      <c r="V148" s="603"/>
      <c r="W148" s="599"/>
      <c r="X148" s="596"/>
      <c r="Y148" s="596"/>
      <c r="Z148" s="596"/>
    </row>
    <row r="149" ht="21.0" customHeight="1">
      <c r="A149" s="596"/>
      <c r="B149" s="597"/>
      <c r="C149" s="597"/>
      <c r="D149" s="597"/>
      <c r="E149" s="597"/>
      <c r="F149" s="605"/>
      <c r="G149" s="605"/>
      <c r="H149" s="597"/>
      <c r="I149" s="600"/>
      <c r="J149" s="600"/>
      <c r="K149" s="599"/>
      <c r="L149" s="599"/>
      <c r="M149" s="599"/>
      <c r="N149" s="599"/>
      <c r="O149" s="596"/>
      <c r="P149" s="596"/>
      <c r="Q149" s="596"/>
      <c r="R149" s="599"/>
      <c r="S149" s="599"/>
      <c r="T149" s="599"/>
      <c r="U149" s="599"/>
      <c r="V149" s="603"/>
      <c r="W149" s="599"/>
      <c r="X149" s="596"/>
      <c r="Y149" s="596"/>
      <c r="Z149" s="596"/>
    </row>
    <row r="150" ht="21.0" customHeight="1">
      <c r="A150" s="596"/>
      <c r="B150" s="597"/>
      <c r="C150" s="597"/>
      <c r="D150" s="597"/>
      <c r="E150" s="597"/>
      <c r="F150" s="605"/>
      <c r="G150" s="605"/>
      <c r="H150" s="597"/>
      <c r="I150" s="600"/>
      <c r="J150" s="600"/>
      <c r="K150" s="599"/>
      <c r="L150" s="599"/>
      <c r="M150" s="599"/>
      <c r="N150" s="599"/>
      <c r="O150" s="596"/>
      <c r="P150" s="596"/>
      <c r="Q150" s="596"/>
      <c r="R150" s="599"/>
      <c r="S150" s="599"/>
      <c r="T150" s="599"/>
      <c r="U150" s="599"/>
      <c r="V150" s="603"/>
      <c r="W150" s="599"/>
      <c r="X150" s="596"/>
      <c r="Y150" s="596"/>
      <c r="Z150" s="596"/>
    </row>
    <row r="151" ht="21.0" customHeight="1">
      <c r="A151" s="596"/>
      <c r="B151" s="597"/>
      <c r="C151" s="597"/>
      <c r="D151" s="597"/>
      <c r="E151" s="597"/>
      <c r="F151" s="605"/>
      <c r="G151" s="605"/>
      <c r="H151" s="597"/>
      <c r="I151" s="600"/>
      <c r="J151" s="600"/>
      <c r="K151" s="599"/>
      <c r="L151" s="599"/>
      <c r="M151" s="599"/>
      <c r="N151" s="599"/>
      <c r="O151" s="596"/>
      <c r="P151" s="596"/>
      <c r="Q151" s="596"/>
      <c r="R151" s="599"/>
      <c r="S151" s="599"/>
      <c r="T151" s="599"/>
      <c r="U151" s="599"/>
      <c r="V151" s="603"/>
      <c r="W151" s="599"/>
      <c r="X151" s="596"/>
      <c r="Y151" s="596"/>
      <c r="Z151" s="596"/>
    </row>
    <row r="152" ht="21.0" customHeight="1">
      <c r="A152" s="596"/>
      <c r="B152" s="597"/>
      <c r="C152" s="597"/>
      <c r="D152" s="597"/>
      <c r="E152" s="597"/>
      <c r="F152" s="605"/>
      <c r="G152" s="605"/>
      <c r="H152" s="597"/>
      <c r="I152" s="600"/>
      <c r="J152" s="600"/>
      <c r="K152" s="599"/>
      <c r="L152" s="599"/>
      <c r="M152" s="599"/>
      <c r="N152" s="599"/>
      <c r="O152" s="596"/>
      <c r="P152" s="596"/>
      <c r="Q152" s="596"/>
      <c r="R152" s="599"/>
      <c r="S152" s="599"/>
      <c r="T152" s="599"/>
      <c r="U152" s="599"/>
      <c r="V152" s="603"/>
      <c r="W152" s="599"/>
      <c r="X152" s="596"/>
      <c r="Y152" s="596"/>
      <c r="Z152" s="596"/>
    </row>
    <row r="153" ht="21.0" customHeight="1">
      <c r="A153" s="596"/>
      <c r="B153" s="597"/>
      <c r="C153" s="597"/>
      <c r="D153" s="597"/>
      <c r="E153" s="597"/>
      <c r="F153" s="605"/>
      <c r="G153" s="605"/>
      <c r="H153" s="597"/>
      <c r="I153" s="600"/>
      <c r="J153" s="600"/>
      <c r="K153" s="599"/>
      <c r="L153" s="599"/>
      <c r="M153" s="599"/>
      <c r="N153" s="599"/>
      <c r="O153" s="596"/>
      <c r="P153" s="596"/>
      <c r="Q153" s="596"/>
      <c r="R153" s="599"/>
      <c r="S153" s="599"/>
      <c r="T153" s="599"/>
      <c r="U153" s="599"/>
      <c r="V153" s="603"/>
      <c r="W153" s="599"/>
      <c r="X153" s="596"/>
      <c r="Y153" s="596"/>
      <c r="Z153" s="596"/>
    </row>
    <row r="154" ht="21.0" customHeight="1">
      <c r="A154" s="596"/>
      <c r="B154" s="597"/>
      <c r="C154" s="597"/>
      <c r="D154" s="597"/>
      <c r="E154" s="597"/>
      <c r="F154" s="605"/>
      <c r="G154" s="605"/>
      <c r="H154" s="597"/>
      <c r="I154" s="600"/>
      <c r="J154" s="600"/>
      <c r="K154" s="599"/>
      <c r="L154" s="599"/>
      <c r="M154" s="599"/>
      <c r="N154" s="599"/>
      <c r="O154" s="596"/>
      <c r="P154" s="596"/>
      <c r="Q154" s="596"/>
      <c r="R154" s="599"/>
      <c r="S154" s="599"/>
      <c r="T154" s="599"/>
      <c r="U154" s="599"/>
      <c r="V154" s="603"/>
      <c r="W154" s="599"/>
      <c r="X154" s="596"/>
      <c r="Y154" s="596"/>
      <c r="Z154" s="596"/>
    </row>
    <row r="155" ht="21.0" customHeight="1">
      <c r="A155" s="596"/>
      <c r="B155" s="597"/>
      <c r="C155" s="597"/>
      <c r="D155" s="597"/>
      <c r="E155" s="597"/>
      <c r="F155" s="605"/>
      <c r="G155" s="605"/>
      <c r="H155" s="597"/>
      <c r="I155" s="600"/>
      <c r="J155" s="600"/>
      <c r="K155" s="599"/>
      <c r="L155" s="599"/>
      <c r="M155" s="599"/>
      <c r="N155" s="599"/>
      <c r="O155" s="596"/>
      <c r="P155" s="596"/>
      <c r="Q155" s="596"/>
      <c r="R155" s="599"/>
      <c r="S155" s="599"/>
      <c r="T155" s="599"/>
      <c r="U155" s="599"/>
      <c r="V155" s="603"/>
      <c r="W155" s="599"/>
      <c r="X155" s="596"/>
      <c r="Y155" s="596"/>
      <c r="Z155" s="596"/>
    </row>
    <row r="156" ht="21.0" customHeight="1">
      <c r="A156" s="596"/>
      <c r="B156" s="597"/>
      <c r="C156" s="597"/>
      <c r="D156" s="597"/>
      <c r="E156" s="597"/>
      <c r="F156" s="605"/>
      <c r="G156" s="605"/>
      <c r="H156" s="597"/>
      <c r="I156" s="600"/>
      <c r="J156" s="600"/>
      <c r="K156" s="599"/>
      <c r="L156" s="599"/>
      <c r="M156" s="599"/>
      <c r="N156" s="599"/>
      <c r="O156" s="596"/>
      <c r="P156" s="596"/>
      <c r="Q156" s="596"/>
      <c r="R156" s="599"/>
      <c r="S156" s="599"/>
      <c r="T156" s="599"/>
      <c r="U156" s="599"/>
      <c r="V156" s="603"/>
      <c r="W156" s="599"/>
      <c r="X156" s="596"/>
      <c r="Y156" s="596"/>
      <c r="Z156" s="596"/>
    </row>
    <row r="157" ht="21.0" customHeight="1">
      <c r="A157" s="596"/>
      <c r="B157" s="597"/>
      <c r="C157" s="597"/>
      <c r="D157" s="597"/>
      <c r="E157" s="597"/>
      <c r="F157" s="605"/>
      <c r="G157" s="605"/>
      <c r="H157" s="597"/>
      <c r="I157" s="600"/>
      <c r="J157" s="600"/>
      <c r="K157" s="599"/>
      <c r="L157" s="599"/>
      <c r="M157" s="599"/>
      <c r="N157" s="599"/>
      <c r="O157" s="596"/>
      <c r="P157" s="596"/>
      <c r="Q157" s="596"/>
      <c r="R157" s="599"/>
      <c r="S157" s="599"/>
      <c r="T157" s="599"/>
      <c r="U157" s="599"/>
      <c r="V157" s="603"/>
      <c r="W157" s="599"/>
      <c r="X157" s="596"/>
      <c r="Y157" s="596"/>
      <c r="Z157" s="596"/>
    </row>
    <row r="158" ht="21.0" customHeight="1">
      <c r="A158" s="596"/>
      <c r="B158" s="597"/>
      <c r="C158" s="597"/>
      <c r="D158" s="597"/>
      <c r="E158" s="597"/>
      <c r="F158" s="605"/>
      <c r="G158" s="605"/>
      <c r="H158" s="597"/>
      <c r="I158" s="600"/>
      <c r="J158" s="600"/>
      <c r="K158" s="599"/>
      <c r="L158" s="599"/>
      <c r="M158" s="599"/>
      <c r="N158" s="599"/>
      <c r="O158" s="596"/>
      <c r="P158" s="596"/>
      <c r="Q158" s="596"/>
      <c r="R158" s="599"/>
      <c r="S158" s="599"/>
      <c r="T158" s="599"/>
      <c r="U158" s="599"/>
      <c r="V158" s="603"/>
      <c r="W158" s="599"/>
      <c r="X158" s="596"/>
      <c r="Y158" s="596"/>
      <c r="Z158" s="596"/>
    </row>
    <row r="159" ht="21.0" customHeight="1">
      <c r="A159" s="596"/>
      <c r="B159" s="597"/>
      <c r="C159" s="597"/>
      <c r="D159" s="597"/>
      <c r="E159" s="597"/>
      <c r="F159" s="605"/>
      <c r="G159" s="605"/>
      <c r="H159" s="597"/>
      <c r="I159" s="600"/>
      <c r="J159" s="600"/>
      <c r="K159" s="599"/>
      <c r="L159" s="599"/>
      <c r="M159" s="599"/>
      <c r="N159" s="599"/>
      <c r="O159" s="596"/>
      <c r="P159" s="596"/>
      <c r="Q159" s="596"/>
      <c r="R159" s="599"/>
      <c r="S159" s="599"/>
      <c r="T159" s="599"/>
      <c r="U159" s="599"/>
      <c r="V159" s="603"/>
      <c r="W159" s="599"/>
      <c r="X159" s="596"/>
      <c r="Y159" s="596"/>
      <c r="Z159" s="596"/>
    </row>
    <row r="160" ht="21.0" customHeight="1">
      <c r="A160" s="596"/>
      <c r="B160" s="597"/>
      <c r="C160" s="597"/>
      <c r="D160" s="597"/>
      <c r="E160" s="597"/>
      <c r="F160" s="605"/>
      <c r="G160" s="605"/>
      <c r="H160" s="597"/>
      <c r="I160" s="600"/>
      <c r="J160" s="600"/>
      <c r="K160" s="599"/>
      <c r="L160" s="599"/>
      <c r="M160" s="599"/>
      <c r="N160" s="599"/>
      <c r="O160" s="596"/>
      <c r="P160" s="596"/>
      <c r="Q160" s="596"/>
      <c r="R160" s="599"/>
      <c r="S160" s="599"/>
      <c r="T160" s="599"/>
      <c r="U160" s="599"/>
      <c r="V160" s="603"/>
      <c r="W160" s="599"/>
      <c r="X160" s="596"/>
      <c r="Y160" s="596"/>
      <c r="Z160" s="596"/>
    </row>
    <row r="161" ht="21.0" customHeight="1">
      <c r="A161" s="596"/>
      <c r="B161" s="597"/>
      <c r="C161" s="597"/>
      <c r="D161" s="597"/>
      <c r="E161" s="597"/>
      <c r="F161" s="605"/>
      <c r="G161" s="605"/>
      <c r="H161" s="597"/>
      <c r="I161" s="600"/>
      <c r="J161" s="600"/>
      <c r="K161" s="599"/>
      <c r="L161" s="599"/>
      <c r="M161" s="599"/>
      <c r="N161" s="599"/>
      <c r="O161" s="596"/>
      <c r="P161" s="596"/>
      <c r="Q161" s="596"/>
      <c r="R161" s="599"/>
      <c r="S161" s="599"/>
      <c r="T161" s="599"/>
      <c r="U161" s="599"/>
      <c r="V161" s="603"/>
      <c r="W161" s="599"/>
      <c r="X161" s="596"/>
      <c r="Y161" s="596"/>
      <c r="Z161" s="596"/>
    </row>
    <row r="162" ht="21.0" customHeight="1">
      <c r="A162" s="596"/>
      <c r="B162" s="597"/>
      <c r="C162" s="597"/>
      <c r="D162" s="597"/>
      <c r="E162" s="597"/>
      <c r="F162" s="605"/>
      <c r="G162" s="605"/>
      <c r="H162" s="597"/>
      <c r="I162" s="600"/>
      <c r="J162" s="600"/>
      <c r="K162" s="599"/>
      <c r="L162" s="599"/>
      <c r="M162" s="599"/>
      <c r="N162" s="599"/>
      <c r="O162" s="596"/>
      <c r="P162" s="596"/>
      <c r="Q162" s="596"/>
      <c r="R162" s="599"/>
      <c r="S162" s="599"/>
      <c r="T162" s="599"/>
      <c r="U162" s="599"/>
      <c r="V162" s="603"/>
      <c r="W162" s="599"/>
      <c r="X162" s="596"/>
      <c r="Y162" s="596"/>
      <c r="Z162" s="596"/>
    </row>
    <row r="163" ht="21.0" customHeight="1">
      <c r="A163" s="596"/>
      <c r="B163" s="597"/>
      <c r="C163" s="597"/>
      <c r="D163" s="597"/>
      <c r="E163" s="597"/>
      <c r="F163" s="605"/>
      <c r="G163" s="605"/>
      <c r="H163" s="597"/>
      <c r="I163" s="600"/>
      <c r="J163" s="600"/>
      <c r="K163" s="599"/>
      <c r="L163" s="599"/>
      <c r="M163" s="599"/>
      <c r="N163" s="599"/>
      <c r="O163" s="596"/>
      <c r="P163" s="596"/>
      <c r="Q163" s="596"/>
      <c r="R163" s="599"/>
      <c r="S163" s="599"/>
      <c r="T163" s="599"/>
      <c r="U163" s="599"/>
      <c r="V163" s="603"/>
      <c r="W163" s="599"/>
      <c r="X163" s="596"/>
      <c r="Y163" s="596"/>
      <c r="Z163" s="596"/>
    </row>
    <row r="164" ht="21.0" customHeight="1">
      <c r="A164" s="596"/>
      <c r="B164" s="597"/>
      <c r="C164" s="597"/>
      <c r="D164" s="597"/>
      <c r="E164" s="597"/>
      <c r="F164" s="605"/>
      <c r="G164" s="605"/>
      <c r="H164" s="597"/>
      <c r="I164" s="600"/>
      <c r="J164" s="600"/>
      <c r="K164" s="599"/>
      <c r="L164" s="599"/>
      <c r="M164" s="599"/>
      <c r="N164" s="599"/>
      <c r="O164" s="596"/>
      <c r="P164" s="596"/>
      <c r="Q164" s="596"/>
      <c r="R164" s="599"/>
      <c r="S164" s="599"/>
      <c r="T164" s="599"/>
      <c r="U164" s="599"/>
      <c r="V164" s="603"/>
      <c r="W164" s="599"/>
      <c r="X164" s="596"/>
      <c r="Y164" s="596"/>
      <c r="Z164" s="596"/>
    </row>
    <row r="165" ht="21.0" customHeight="1">
      <c r="A165" s="596"/>
      <c r="B165" s="597"/>
      <c r="C165" s="597"/>
      <c r="D165" s="597"/>
      <c r="E165" s="597"/>
      <c r="F165" s="605"/>
      <c r="G165" s="605"/>
      <c r="H165" s="597"/>
      <c r="I165" s="600"/>
      <c r="J165" s="600"/>
      <c r="K165" s="599"/>
      <c r="L165" s="599"/>
      <c r="M165" s="599"/>
      <c r="N165" s="599"/>
      <c r="O165" s="596"/>
      <c r="P165" s="596"/>
      <c r="Q165" s="596"/>
      <c r="R165" s="599"/>
      <c r="S165" s="599"/>
      <c r="T165" s="599"/>
      <c r="U165" s="599"/>
      <c r="V165" s="603"/>
      <c r="W165" s="599"/>
      <c r="X165" s="596"/>
      <c r="Y165" s="596"/>
      <c r="Z165" s="596"/>
    </row>
    <row r="166" ht="21.0" customHeight="1">
      <c r="A166" s="596"/>
      <c r="B166" s="597"/>
      <c r="C166" s="597"/>
      <c r="D166" s="597"/>
      <c r="E166" s="597"/>
      <c r="F166" s="605"/>
      <c r="G166" s="605"/>
      <c r="H166" s="597"/>
      <c r="I166" s="600"/>
      <c r="J166" s="600"/>
      <c r="K166" s="599"/>
      <c r="L166" s="599"/>
      <c r="M166" s="599"/>
      <c r="N166" s="599"/>
      <c r="O166" s="596"/>
      <c r="P166" s="596"/>
      <c r="Q166" s="596"/>
      <c r="R166" s="599"/>
      <c r="S166" s="599"/>
      <c r="T166" s="599"/>
      <c r="U166" s="599"/>
      <c r="V166" s="603"/>
      <c r="W166" s="599"/>
      <c r="X166" s="596"/>
      <c r="Y166" s="596"/>
      <c r="Z166" s="596"/>
    </row>
    <row r="167" ht="21.0" customHeight="1">
      <c r="A167" s="596"/>
      <c r="B167" s="597"/>
      <c r="C167" s="597"/>
      <c r="D167" s="597"/>
      <c r="E167" s="597"/>
      <c r="F167" s="605"/>
      <c r="G167" s="605"/>
      <c r="H167" s="597"/>
      <c r="I167" s="600"/>
      <c r="J167" s="600"/>
      <c r="K167" s="599"/>
      <c r="L167" s="599"/>
      <c r="M167" s="599"/>
      <c r="N167" s="599"/>
      <c r="O167" s="596"/>
      <c r="P167" s="596"/>
      <c r="Q167" s="596"/>
      <c r="R167" s="599"/>
      <c r="S167" s="599"/>
      <c r="T167" s="599"/>
      <c r="U167" s="599"/>
      <c r="V167" s="603"/>
      <c r="W167" s="599"/>
      <c r="X167" s="596"/>
      <c r="Y167" s="596"/>
      <c r="Z167" s="596"/>
    </row>
    <row r="168" ht="21.0" customHeight="1">
      <c r="A168" s="596"/>
      <c r="B168" s="597"/>
      <c r="C168" s="597"/>
      <c r="D168" s="597"/>
      <c r="E168" s="597"/>
      <c r="F168" s="605"/>
      <c r="G168" s="605"/>
      <c r="H168" s="597"/>
      <c r="I168" s="600"/>
      <c r="J168" s="600"/>
      <c r="K168" s="599"/>
      <c r="L168" s="599"/>
      <c r="M168" s="599"/>
      <c r="N168" s="599"/>
      <c r="O168" s="596"/>
      <c r="P168" s="596"/>
      <c r="Q168" s="596"/>
      <c r="R168" s="599"/>
      <c r="S168" s="599"/>
      <c r="T168" s="599"/>
      <c r="U168" s="599"/>
      <c r="V168" s="603"/>
      <c r="W168" s="599"/>
      <c r="X168" s="596"/>
      <c r="Y168" s="596"/>
      <c r="Z168" s="596"/>
    </row>
    <row r="169" ht="21.0" customHeight="1">
      <c r="A169" s="596"/>
      <c r="B169" s="597"/>
      <c r="C169" s="597"/>
      <c r="D169" s="597"/>
      <c r="E169" s="597"/>
      <c r="F169" s="605"/>
      <c r="G169" s="605"/>
      <c r="H169" s="597"/>
      <c r="I169" s="600"/>
      <c r="J169" s="600"/>
      <c r="K169" s="599"/>
      <c r="L169" s="599"/>
      <c r="M169" s="599"/>
      <c r="N169" s="599"/>
      <c r="O169" s="596"/>
      <c r="P169" s="596"/>
      <c r="Q169" s="596"/>
      <c r="R169" s="599"/>
      <c r="S169" s="599"/>
      <c r="T169" s="599"/>
      <c r="U169" s="599"/>
      <c r="V169" s="603"/>
      <c r="W169" s="599"/>
      <c r="X169" s="596"/>
      <c r="Y169" s="596"/>
      <c r="Z169" s="596"/>
    </row>
    <row r="170" ht="21.0" customHeight="1">
      <c r="A170" s="596"/>
      <c r="B170" s="597"/>
      <c r="C170" s="597"/>
      <c r="D170" s="597"/>
      <c r="E170" s="597"/>
      <c r="F170" s="605"/>
      <c r="G170" s="605"/>
      <c r="H170" s="597"/>
      <c r="I170" s="600"/>
      <c r="J170" s="600"/>
      <c r="K170" s="599"/>
      <c r="L170" s="599"/>
      <c r="M170" s="599"/>
      <c r="N170" s="599"/>
      <c r="O170" s="596"/>
      <c r="P170" s="596"/>
      <c r="Q170" s="596"/>
      <c r="R170" s="599"/>
      <c r="S170" s="599"/>
      <c r="T170" s="599"/>
      <c r="U170" s="599"/>
      <c r="V170" s="603"/>
      <c r="W170" s="599"/>
      <c r="X170" s="596"/>
      <c r="Y170" s="596"/>
      <c r="Z170" s="596"/>
    </row>
    <row r="171" ht="21.0" customHeight="1">
      <c r="A171" s="596"/>
      <c r="B171" s="597"/>
      <c r="C171" s="597"/>
      <c r="D171" s="597"/>
      <c r="E171" s="597"/>
      <c r="F171" s="605"/>
      <c r="G171" s="605"/>
      <c r="H171" s="597"/>
      <c r="I171" s="600"/>
      <c r="J171" s="600"/>
      <c r="K171" s="599"/>
      <c r="L171" s="599"/>
      <c r="M171" s="599"/>
      <c r="N171" s="599"/>
      <c r="O171" s="596"/>
      <c r="P171" s="596"/>
      <c r="Q171" s="596"/>
      <c r="R171" s="599"/>
      <c r="S171" s="599"/>
      <c r="T171" s="599"/>
      <c r="U171" s="599"/>
      <c r="V171" s="603"/>
      <c r="W171" s="599"/>
      <c r="X171" s="596"/>
      <c r="Y171" s="596"/>
      <c r="Z171" s="596"/>
    </row>
    <row r="172" ht="21.0" customHeight="1">
      <c r="A172" s="596"/>
      <c r="B172" s="597"/>
      <c r="C172" s="597"/>
      <c r="D172" s="597"/>
      <c r="E172" s="597"/>
      <c r="F172" s="605"/>
      <c r="G172" s="605"/>
      <c r="H172" s="597"/>
      <c r="I172" s="600"/>
      <c r="J172" s="600"/>
      <c r="K172" s="599"/>
      <c r="L172" s="599"/>
      <c r="M172" s="599"/>
      <c r="N172" s="599"/>
      <c r="O172" s="596"/>
      <c r="P172" s="596"/>
      <c r="Q172" s="596"/>
      <c r="R172" s="599"/>
      <c r="S172" s="599"/>
      <c r="T172" s="599"/>
      <c r="U172" s="599"/>
      <c r="V172" s="603"/>
      <c r="W172" s="599"/>
      <c r="X172" s="596"/>
      <c r="Y172" s="596"/>
      <c r="Z172" s="596"/>
    </row>
    <row r="173" ht="21.0" customHeight="1">
      <c r="A173" s="596"/>
      <c r="B173" s="597"/>
      <c r="C173" s="597"/>
      <c r="D173" s="597"/>
      <c r="E173" s="597"/>
      <c r="F173" s="605"/>
      <c r="G173" s="605"/>
      <c r="H173" s="597"/>
      <c r="I173" s="600"/>
      <c r="J173" s="600"/>
      <c r="K173" s="599"/>
      <c r="L173" s="599"/>
      <c r="M173" s="599"/>
      <c r="N173" s="599"/>
      <c r="O173" s="596"/>
      <c r="P173" s="596"/>
      <c r="Q173" s="596"/>
      <c r="R173" s="599"/>
      <c r="S173" s="599"/>
      <c r="T173" s="599"/>
      <c r="U173" s="599"/>
      <c r="V173" s="603"/>
      <c r="W173" s="599"/>
      <c r="X173" s="596"/>
      <c r="Y173" s="596"/>
      <c r="Z173" s="596"/>
    </row>
    <row r="174" ht="21.0" customHeight="1">
      <c r="A174" s="596"/>
      <c r="B174" s="597"/>
      <c r="C174" s="597"/>
      <c r="D174" s="597"/>
      <c r="E174" s="597"/>
      <c r="F174" s="605"/>
      <c r="G174" s="605"/>
      <c r="H174" s="597"/>
      <c r="I174" s="600"/>
      <c r="J174" s="600"/>
      <c r="K174" s="599"/>
      <c r="L174" s="599"/>
      <c r="M174" s="599"/>
      <c r="N174" s="599"/>
      <c r="O174" s="596"/>
      <c r="P174" s="596"/>
      <c r="Q174" s="596"/>
      <c r="R174" s="599"/>
      <c r="S174" s="599"/>
      <c r="T174" s="599"/>
      <c r="U174" s="599"/>
      <c r="V174" s="603"/>
      <c r="W174" s="599"/>
      <c r="X174" s="596"/>
      <c r="Y174" s="596"/>
      <c r="Z174" s="596"/>
    </row>
    <row r="175" ht="21.0" customHeight="1">
      <c r="A175" s="596"/>
      <c r="B175" s="597"/>
      <c r="C175" s="597"/>
      <c r="D175" s="597"/>
      <c r="E175" s="597"/>
      <c r="F175" s="605"/>
      <c r="G175" s="605"/>
      <c r="H175" s="597"/>
      <c r="I175" s="600"/>
      <c r="J175" s="600"/>
      <c r="K175" s="599"/>
      <c r="L175" s="599"/>
      <c r="M175" s="599"/>
      <c r="N175" s="599"/>
      <c r="O175" s="596"/>
      <c r="P175" s="596"/>
      <c r="Q175" s="596"/>
      <c r="R175" s="599"/>
      <c r="S175" s="599"/>
      <c r="T175" s="599"/>
      <c r="U175" s="599"/>
      <c r="V175" s="603"/>
      <c r="W175" s="599"/>
      <c r="X175" s="596"/>
      <c r="Y175" s="596"/>
      <c r="Z175" s="596"/>
    </row>
    <row r="176" ht="21.0" customHeight="1">
      <c r="A176" s="596"/>
      <c r="B176" s="597"/>
      <c r="C176" s="597"/>
      <c r="D176" s="597"/>
      <c r="E176" s="597"/>
      <c r="F176" s="605"/>
      <c r="G176" s="605"/>
      <c r="H176" s="597"/>
      <c r="I176" s="600"/>
      <c r="J176" s="600"/>
      <c r="K176" s="599"/>
      <c r="L176" s="599"/>
      <c r="M176" s="599"/>
      <c r="N176" s="599"/>
      <c r="O176" s="596"/>
      <c r="P176" s="596"/>
      <c r="Q176" s="596"/>
      <c r="R176" s="599"/>
      <c r="S176" s="599"/>
      <c r="T176" s="599"/>
      <c r="U176" s="599"/>
      <c r="V176" s="603"/>
      <c r="W176" s="599"/>
      <c r="X176" s="596"/>
      <c r="Y176" s="596"/>
      <c r="Z176" s="596"/>
    </row>
    <row r="177" ht="21.0" customHeight="1">
      <c r="A177" s="596"/>
      <c r="B177" s="597"/>
      <c r="C177" s="597"/>
      <c r="D177" s="597"/>
      <c r="E177" s="597"/>
      <c r="F177" s="605"/>
      <c r="G177" s="605"/>
      <c r="H177" s="597"/>
      <c r="I177" s="600"/>
      <c r="J177" s="600"/>
      <c r="K177" s="599"/>
      <c r="L177" s="599"/>
      <c r="M177" s="599"/>
      <c r="N177" s="599"/>
      <c r="O177" s="596"/>
      <c r="P177" s="596"/>
      <c r="Q177" s="596"/>
      <c r="R177" s="599"/>
      <c r="S177" s="599"/>
      <c r="T177" s="599"/>
      <c r="U177" s="599"/>
      <c r="V177" s="603"/>
      <c r="W177" s="599"/>
      <c r="X177" s="596"/>
      <c r="Y177" s="596"/>
      <c r="Z177" s="596"/>
    </row>
    <row r="178" ht="21.0" customHeight="1">
      <c r="A178" s="596"/>
      <c r="B178" s="597"/>
      <c r="C178" s="597"/>
      <c r="D178" s="597"/>
      <c r="E178" s="597"/>
      <c r="F178" s="605"/>
      <c r="G178" s="605"/>
      <c r="H178" s="597"/>
      <c r="I178" s="600"/>
      <c r="J178" s="600"/>
      <c r="K178" s="599"/>
      <c r="L178" s="599"/>
      <c r="M178" s="599"/>
      <c r="N178" s="599"/>
      <c r="O178" s="596"/>
      <c r="P178" s="596"/>
      <c r="Q178" s="596"/>
      <c r="R178" s="599"/>
      <c r="S178" s="599"/>
      <c r="T178" s="599"/>
      <c r="U178" s="599"/>
      <c r="V178" s="603"/>
      <c r="W178" s="599"/>
      <c r="X178" s="596"/>
      <c r="Y178" s="596"/>
      <c r="Z178" s="596"/>
    </row>
    <row r="179" ht="21.0" customHeight="1">
      <c r="A179" s="596"/>
      <c r="B179" s="597"/>
      <c r="C179" s="597"/>
      <c r="D179" s="597"/>
      <c r="E179" s="597"/>
      <c r="F179" s="605"/>
      <c r="G179" s="605"/>
      <c r="H179" s="597"/>
      <c r="I179" s="600"/>
      <c r="J179" s="600"/>
      <c r="K179" s="599"/>
      <c r="L179" s="599"/>
      <c r="M179" s="599"/>
      <c r="N179" s="599"/>
      <c r="O179" s="596"/>
      <c r="P179" s="596"/>
      <c r="Q179" s="596"/>
      <c r="R179" s="599"/>
      <c r="S179" s="599"/>
      <c r="T179" s="599"/>
      <c r="U179" s="599"/>
      <c r="V179" s="603"/>
      <c r="W179" s="599"/>
      <c r="X179" s="596"/>
      <c r="Y179" s="596"/>
      <c r="Z179" s="596"/>
    </row>
    <row r="180" ht="21.0" customHeight="1">
      <c r="A180" s="596"/>
      <c r="B180" s="597"/>
      <c r="C180" s="597"/>
      <c r="D180" s="597"/>
      <c r="E180" s="597"/>
      <c r="F180" s="605"/>
      <c r="G180" s="605"/>
      <c r="H180" s="597"/>
      <c r="I180" s="600"/>
      <c r="J180" s="600"/>
      <c r="K180" s="599"/>
      <c r="L180" s="599"/>
      <c r="M180" s="599"/>
      <c r="N180" s="599"/>
      <c r="O180" s="596"/>
      <c r="P180" s="596"/>
      <c r="Q180" s="596"/>
      <c r="R180" s="599"/>
      <c r="S180" s="599"/>
      <c r="T180" s="599"/>
      <c r="U180" s="599"/>
      <c r="V180" s="603"/>
      <c r="W180" s="599"/>
      <c r="X180" s="596"/>
      <c r="Y180" s="596"/>
      <c r="Z180" s="596"/>
    </row>
    <row r="181" ht="21.0" customHeight="1">
      <c r="A181" s="596"/>
      <c r="B181" s="597"/>
      <c r="C181" s="597"/>
      <c r="D181" s="597"/>
      <c r="E181" s="597"/>
      <c r="F181" s="605"/>
      <c r="G181" s="605"/>
      <c r="H181" s="597"/>
      <c r="I181" s="600"/>
      <c r="J181" s="600"/>
      <c r="K181" s="599"/>
      <c r="L181" s="599"/>
      <c r="M181" s="599"/>
      <c r="N181" s="599"/>
      <c r="O181" s="596"/>
      <c r="P181" s="596"/>
      <c r="Q181" s="596"/>
      <c r="R181" s="599"/>
      <c r="S181" s="599"/>
      <c r="T181" s="599"/>
      <c r="U181" s="599"/>
      <c r="V181" s="603"/>
      <c r="W181" s="599"/>
      <c r="X181" s="596"/>
      <c r="Y181" s="596"/>
      <c r="Z181" s="596"/>
    </row>
    <row r="182" ht="21.0" customHeight="1">
      <c r="A182" s="596"/>
      <c r="B182" s="597"/>
      <c r="C182" s="597"/>
      <c r="D182" s="597"/>
      <c r="E182" s="597"/>
      <c r="F182" s="605"/>
      <c r="G182" s="605"/>
      <c r="H182" s="597"/>
      <c r="I182" s="600"/>
      <c r="J182" s="600"/>
      <c r="K182" s="599"/>
      <c r="L182" s="599"/>
      <c r="M182" s="599"/>
      <c r="N182" s="599"/>
      <c r="O182" s="596"/>
      <c r="P182" s="596"/>
      <c r="Q182" s="596"/>
      <c r="R182" s="599"/>
      <c r="S182" s="599"/>
      <c r="T182" s="599"/>
      <c r="U182" s="599"/>
      <c r="V182" s="603"/>
      <c r="W182" s="599"/>
      <c r="X182" s="596"/>
      <c r="Y182" s="596"/>
      <c r="Z182" s="596"/>
    </row>
    <row r="183" ht="21.0" customHeight="1">
      <c r="A183" s="596"/>
      <c r="B183" s="597"/>
      <c r="C183" s="597"/>
      <c r="D183" s="597"/>
      <c r="E183" s="597"/>
      <c r="F183" s="605"/>
      <c r="G183" s="605"/>
      <c r="H183" s="597"/>
      <c r="I183" s="600"/>
      <c r="J183" s="600"/>
      <c r="K183" s="599"/>
      <c r="L183" s="599"/>
      <c r="M183" s="599"/>
      <c r="N183" s="599"/>
      <c r="O183" s="596"/>
      <c r="P183" s="596"/>
      <c r="Q183" s="596"/>
      <c r="R183" s="599"/>
      <c r="S183" s="599"/>
      <c r="T183" s="599"/>
      <c r="U183" s="599"/>
      <c r="V183" s="603"/>
      <c r="W183" s="599"/>
      <c r="X183" s="596"/>
      <c r="Y183" s="596"/>
      <c r="Z183" s="596"/>
    </row>
    <row r="184" ht="21.0" customHeight="1">
      <c r="A184" s="596"/>
      <c r="B184" s="597"/>
      <c r="C184" s="597"/>
      <c r="D184" s="597"/>
      <c r="E184" s="597"/>
      <c r="F184" s="605"/>
      <c r="G184" s="605"/>
      <c r="H184" s="597"/>
      <c r="I184" s="600"/>
      <c r="J184" s="600"/>
      <c r="K184" s="599"/>
      <c r="L184" s="599"/>
      <c r="M184" s="599"/>
      <c r="N184" s="599"/>
      <c r="O184" s="596"/>
      <c r="P184" s="596"/>
      <c r="Q184" s="596"/>
      <c r="R184" s="599"/>
      <c r="S184" s="599"/>
      <c r="T184" s="599"/>
      <c r="U184" s="599"/>
      <c r="V184" s="603"/>
      <c r="W184" s="599"/>
      <c r="X184" s="596"/>
      <c r="Y184" s="596"/>
      <c r="Z184" s="596"/>
    </row>
    <row r="185" ht="21.0" customHeight="1">
      <c r="A185" s="596"/>
      <c r="B185" s="597"/>
      <c r="C185" s="597"/>
      <c r="D185" s="597"/>
      <c r="E185" s="597"/>
      <c r="F185" s="605"/>
      <c r="G185" s="605"/>
      <c r="H185" s="597"/>
      <c r="I185" s="600"/>
      <c r="J185" s="600"/>
      <c r="K185" s="599"/>
      <c r="L185" s="599"/>
      <c r="M185" s="599"/>
      <c r="N185" s="599"/>
      <c r="O185" s="596"/>
      <c r="P185" s="596"/>
      <c r="Q185" s="596"/>
      <c r="R185" s="599"/>
      <c r="S185" s="599"/>
      <c r="T185" s="599"/>
      <c r="U185" s="599"/>
      <c r="V185" s="603"/>
      <c r="W185" s="599"/>
      <c r="X185" s="596"/>
      <c r="Y185" s="596"/>
      <c r="Z185" s="596"/>
    </row>
    <row r="186" ht="21.0" customHeight="1">
      <c r="A186" s="596"/>
      <c r="B186" s="597"/>
      <c r="C186" s="597"/>
      <c r="D186" s="597"/>
      <c r="E186" s="597"/>
      <c r="F186" s="605"/>
      <c r="G186" s="605"/>
      <c r="H186" s="597"/>
      <c r="I186" s="600"/>
      <c r="J186" s="600"/>
      <c r="K186" s="599"/>
      <c r="L186" s="599"/>
      <c r="M186" s="599"/>
      <c r="N186" s="599"/>
      <c r="O186" s="596"/>
      <c r="P186" s="596"/>
      <c r="Q186" s="596"/>
      <c r="R186" s="599"/>
      <c r="S186" s="599"/>
      <c r="T186" s="599"/>
      <c r="U186" s="599"/>
      <c r="V186" s="603"/>
      <c r="W186" s="599"/>
      <c r="X186" s="596"/>
      <c r="Y186" s="596"/>
      <c r="Z186" s="596"/>
    </row>
    <row r="187" ht="21.0" customHeight="1">
      <c r="A187" s="596"/>
      <c r="B187" s="597"/>
      <c r="C187" s="597"/>
      <c r="D187" s="597"/>
      <c r="E187" s="597"/>
      <c r="F187" s="605"/>
      <c r="G187" s="605"/>
      <c r="H187" s="597"/>
      <c r="I187" s="600"/>
      <c r="J187" s="600"/>
      <c r="K187" s="599"/>
      <c r="L187" s="599"/>
      <c r="M187" s="599"/>
      <c r="N187" s="599"/>
      <c r="O187" s="596"/>
      <c r="P187" s="596"/>
      <c r="Q187" s="596"/>
      <c r="R187" s="599"/>
      <c r="S187" s="599"/>
      <c r="T187" s="599"/>
      <c r="U187" s="599"/>
      <c r="V187" s="603"/>
      <c r="W187" s="599"/>
      <c r="X187" s="596"/>
      <c r="Y187" s="596"/>
      <c r="Z187" s="596"/>
    </row>
    <row r="188" ht="21.0" customHeight="1">
      <c r="A188" s="596"/>
      <c r="B188" s="597"/>
      <c r="C188" s="597"/>
      <c r="D188" s="597"/>
      <c r="E188" s="597"/>
      <c r="F188" s="605"/>
      <c r="G188" s="605"/>
      <c r="H188" s="597"/>
      <c r="I188" s="600"/>
      <c r="J188" s="600"/>
      <c r="K188" s="599"/>
      <c r="L188" s="599"/>
      <c r="M188" s="599"/>
      <c r="N188" s="599"/>
      <c r="O188" s="596"/>
      <c r="P188" s="596"/>
      <c r="Q188" s="596"/>
      <c r="R188" s="599"/>
      <c r="S188" s="599"/>
      <c r="T188" s="599"/>
      <c r="U188" s="599"/>
      <c r="V188" s="603"/>
      <c r="W188" s="599"/>
      <c r="X188" s="596"/>
      <c r="Y188" s="596"/>
      <c r="Z188" s="596"/>
    </row>
    <row r="189" ht="21.0" customHeight="1">
      <c r="A189" s="596"/>
      <c r="B189" s="597"/>
      <c r="C189" s="597"/>
      <c r="D189" s="597"/>
      <c r="E189" s="597"/>
      <c r="F189" s="605"/>
      <c r="G189" s="605"/>
      <c r="H189" s="597"/>
      <c r="I189" s="600"/>
      <c r="J189" s="600"/>
      <c r="K189" s="599"/>
      <c r="L189" s="599"/>
      <c r="M189" s="599"/>
      <c r="N189" s="599"/>
      <c r="O189" s="596"/>
      <c r="P189" s="596"/>
      <c r="Q189" s="596"/>
      <c r="R189" s="599"/>
      <c r="S189" s="599"/>
      <c r="T189" s="599"/>
      <c r="U189" s="599"/>
      <c r="V189" s="603"/>
      <c r="W189" s="599"/>
      <c r="X189" s="596"/>
      <c r="Y189" s="596"/>
      <c r="Z189" s="596"/>
    </row>
    <row r="190" ht="21.0" customHeight="1">
      <c r="A190" s="596"/>
      <c r="B190" s="597"/>
      <c r="C190" s="597"/>
      <c r="D190" s="597"/>
      <c r="E190" s="597"/>
      <c r="F190" s="605"/>
      <c r="G190" s="605"/>
      <c r="H190" s="597"/>
      <c r="I190" s="600"/>
      <c r="J190" s="600"/>
      <c r="K190" s="599"/>
      <c r="L190" s="599"/>
      <c r="M190" s="599"/>
      <c r="N190" s="599"/>
      <c r="O190" s="596"/>
      <c r="P190" s="596"/>
      <c r="Q190" s="596"/>
      <c r="R190" s="599"/>
      <c r="S190" s="599"/>
      <c r="T190" s="599"/>
      <c r="U190" s="599"/>
      <c r="V190" s="603"/>
      <c r="W190" s="599"/>
      <c r="X190" s="596"/>
      <c r="Y190" s="596"/>
      <c r="Z190" s="596"/>
    </row>
    <row r="191" ht="21.0" customHeight="1">
      <c r="A191" s="596"/>
      <c r="B191" s="597"/>
      <c r="C191" s="597"/>
      <c r="D191" s="597"/>
      <c r="E191" s="597"/>
      <c r="F191" s="605"/>
      <c r="G191" s="605"/>
      <c r="H191" s="597"/>
      <c r="I191" s="600"/>
      <c r="J191" s="600"/>
      <c r="K191" s="599"/>
      <c r="L191" s="599"/>
      <c r="M191" s="599"/>
      <c r="N191" s="599"/>
      <c r="O191" s="596"/>
      <c r="P191" s="596"/>
      <c r="Q191" s="596"/>
      <c r="R191" s="599"/>
      <c r="S191" s="599"/>
      <c r="T191" s="599"/>
      <c r="U191" s="599"/>
      <c r="V191" s="603"/>
      <c r="W191" s="599"/>
      <c r="X191" s="596"/>
      <c r="Y191" s="596"/>
      <c r="Z191" s="596"/>
    </row>
    <row r="192" ht="21.0" customHeight="1">
      <c r="A192" s="596"/>
      <c r="B192" s="597"/>
      <c r="C192" s="597"/>
      <c r="D192" s="597"/>
      <c r="E192" s="597"/>
      <c r="F192" s="605"/>
      <c r="G192" s="605"/>
      <c r="H192" s="597"/>
      <c r="I192" s="600"/>
      <c r="J192" s="600"/>
      <c r="K192" s="599"/>
      <c r="L192" s="599"/>
      <c r="M192" s="599"/>
      <c r="N192" s="599"/>
      <c r="O192" s="596"/>
      <c r="P192" s="596"/>
      <c r="Q192" s="596"/>
      <c r="R192" s="599"/>
      <c r="S192" s="599"/>
      <c r="T192" s="599"/>
      <c r="U192" s="599"/>
      <c r="V192" s="603"/>
      <c r="W192" s="599"/>
      <c r="X192" s="596"/>
      <c r="Y192" s="596"/>
      <c r="Z192" s="596"/>
    </row>
    <row r="193" ht="21.0" customHeight="1">
      <c r="A193" s="596"/>
      <c r="B193" s="597"/>
      <c r="C193" s="597"/>
      <c r="D193" s="597"/>
      <c r="E193" s="597"/>
      <c r="F193" s="605"/>
      <c r="G193" s="605"/>
      <c r="H193" s="597"/>
      <c r="I193" s="600"/>
      <c r="J193" s="600"/>
      <c r="K193" s="599"/>
      <c r="L193" s="599"/>
      <c r="M193" s="599"/>
      <c r="N193" s="599"/>
      <c r="O193" s="596"/>
      <c r="P193" s="596"/>
      <c r="Q193" s="596"/>
      <c r="R193" s="599"/>
      <c r="S193" s="599"/>
      <c r="T193" s="599"/>
      <c r="U193" s="599"/>
      <c r="V193" s="603"/>
      <c r="W193" s="599"/>
      <c r="X193" s="596"/>
      <c r="Y193" s="596"/>
      <c r="Z193" s="596"/>
    </row>
    <row r="194" ht="21.0" customHeight="1">
      <c r="A194" s="596"/>
      <c r="B194" s="597"/>
      <c r="C194" s="597"/>
      <c r="D194" s="597"/>
      <c r="E194" s="597"/>
      <c r="F194" s="605"/>
      <c r="G194" s="605"/>
      <c r="H194" s="597"/>
      <c r="I194" s="600"/>
      <c r="J194" s="600"/>
      <c r="K194" s="599"/>
      <c r="L194" s="599"/>
      <c r="M194" s="599"/>
      <c r="N194" s="599"/>
      <c r="O194" s="596"/>
      <c r="P194" s="596"/>
      <c r="Q194" s="596"/>
      <c r="R194" s="599"/>
      <c r="S194" s="599"/>
      <c r="T194" s="599"/>
      <c r="U194" s="599"/>
      <c r="V194" s="603"/>
      <c r="W194" s="599"/>
      <c r="X194" s="596"/>
      <c r="Y194" s="596"/>
      <c r="Z194" s="596"/>
    </row>
    <row r="195" ht="21.0" customHeight="1">
      <c r="A195" s="596"/>
      <c r="B195" s="597"/>
      <c r="C195" s="597"/>
      <c r="D195" s="597"/>
      <c r="E195" s="597"/>
      <c r="F195" s="605"/>
      <c r="G195" s="605"/>
      <c r="H195" s="597"/>
      <c r="I195" s="600"/>
      <c r="J195" s="600"/>
      <c r="K195" s="599"/>
      <c r="L195" s="599"/>
      <c r="M195" s="599"/>
      <c r="N195" s="599"/>
      <c r="O195" s="596"/>
      <c r="P195" s="596"/>
      <c r="Q195" s="596"/>
      <c r="R195" s="599"/>
      <c r="S195" s="599"/>
      <c r="T195" s="599"/>
      <c r="U195" s="599"/>
      <c r="V195" s="603"/>
      <c r="W195" s="599"/>
      <c r="X195" s="596"/>
      <c r="Y195" s="596"/>
      <c r="Z195" s="596"/>
    </row>
    <row r="196" ht="21.0" customHeight="1">
      <c r="A196" s="596"/>
      <c r="B196" s="597"/>
      <c r="C196" s="597"/>
      <c r="D196" s="597"/>
      <c r="E196" s="597"/>
      <c r="F196" s="605"/>
      <c r="G196" s="605"/>
      <c r="H196" s="597"/>
      <c r="I196" s="600"/>
      <c r="J196" s="600"/>
      <c r="K196" s="599"/>
      <c r="L196" s="599"/>
      <c r="M196" s="599"/>
      <c r="N196" s="599"/>
      <c r="O196" s="596"/>
      <c r="P196" s="596"/>
      <c r="Q196" s="596"/>
      <c r="R196" s="599"/>
      <c r="S196" s="599"/>
      <c r="T196" s="599"/>
      <c r="U196" s="599"/>
      <c r="V196" s="603"/>
      <c r="W196" s="599"/>
      <c r="X196" s="596"/>
      <c r="Y196" s="596"/>
      <c r="Z196" s="596"/>
    </row>
    <row r="197" ht="21.0" customHeight="1">
      <c r="A197" s="596"/>
      <c r="B197" s="597"/>
      <c r="C197" s="597"/>
      <c r="D197" s="597"/>
      <c r="E197" s="597"/>
      <c r="F197" s="605"/>
      <c r="G197" s="605"/>
      <c r="H197" s="597"/>
      <c r="I197" s="600"/>
      <c r="J197" s="600"/>
      <c r="K197" s="599"/>
      <c r="L197" s="599"/>
      <c r="M197" s="599"/>
      <c r="N197" s="599"/>
      <c r="O197" s="596"/>
      <c r="P197" s="596"/>
      <c r="Q197" s="596"/>
      <c r="R197" s="599"/>
      <c r="S197" s="599"/>
      <c r="T197" s="599"/>
      <c r="U197" s="599"/>
      <c r="V197" s="603"/>
      <c r="W197" s="599"/>
      <c r="X197" s="596"/>
      <c r="Y197" s="596"/>
      <c r="Z197" s="596"/>
    </row>
    <row r="198" ht="21.0" customHeight="1">
      <c r="A198" s="596"/>
      <c r="B198" s="597"/>
      <c r="C198" s="597"/>
      <c r="D198" s="597"/>
      <c r="E198" s="597"/>
      <c r="F198" s="605"/>
      <c r="G198" s="605"/>
      <c r="H198" s="597"/>
      <c r="I198" s="600"/>
      <c r="J198" s="600"/>
      <c r="K198" s="599"/>
      <c r="L198" s="599"/>
      <c r="M198" s="599"/>
      <c r="N198" s="599"/>
      <c r="O198" s="596"/>
      <c r="P198" s="596"/>
      <c r="Q198" s="596"/>
      <c r="R198" s="599"/>
      <c r="S198" s="599"/>
      <c r="T198" s="599"/>
      <c r="U198" s="599"/>
      <c r="V198" s="603"/>
      <c r="W198" s="599"/>
      <c r="X198" s="596"/>
      <c r="Y198" s="596"/>
      <c r="Z198" s="596"/>
    </row>
    <row r="199" ht="21.0" customHeight="1">
      <c r="A199" s="596"/>
      <c r="B199" s="597"/>
      <c r="C199" s="597"/>
      <c r="D199" s="597"/>
      <c r="E199" s="597"/>
      <c r="F199" s="605"/>
      <c r="G199" s="605"/>
      <c r="H199" s="597"/>
      <c r="I199" s="600"/>
      <c r="J199" s="600"/>
      <c r="K199" s="599"/>
      <c r="L199" s="599"/>
      <c r="M199" s="599"/>
      <c r="N199" s="599"/>
      <c r="O199" s="596"/>
      <c r="P199" s="596"/>
      <c r="Q199" s="596"/>
      <c r="R199" s="599"/>
      <c r="S199" s="599"/>
      <c r="T199" s="599"/>
      <c r="U199" s="599"/>
      <c r="V199" s="603"/>
      <c r="W199" s="599"/>
      <c r="X199" s="596"/>
      <c r="Y199" s="596"/>
      <c r="Z199" s="596"/>
    </row>
    <row r="200" ht="21.0" customHeight="1">
      <c r="A200" s="596"/>
      <c r="B200" s="597"/>
      <c r="C200" s="597"/>
      <c r="D200" s="597"/>
      <c r="E200" s="597"/>
      <c r="F200" s="605"/>
      <c r="G200" s="605"/>
      <c r="H200" s="597"/>
      <c r="I200" s="600"/>
      <c r="J200" s="600"/>
      <c r="K200" s="599"/>
      <c r="L200" s="599"/>
      <c r="M200" s="599"/>
      <c r="N200" s="599"/>
      <c r="O200" s="596"/>
      <c r="P200" s="596"/>
      <c r="Q200" s="596"/>
      <c r="R200" s="599"/>
      <c r="S200" s="599"/>
      <c r="T200" s="599"/>
      <c r="U200" s="599"/>
      <c r="V200" s="603"/>
      <c r="W200" s="599"/>
      <c r="X200" s="596"/>
      <c r="Y200" s="596"/>
      <c r="Z200" s="596"/>
    </row>
    <row r="201" ht="21.0" customHeight="1">
      <c r="A201" s="596"/>
      <c r="B201" s="597"/>
      <c r="C201" s="597"/>
      <c r="D201" s="597"/>
      <c r="E201" s="597"/>
      <c r="F201" s="605"/>
      <c r="G201" s="605"/>
      <c r="H201" s="597"/>
      <c r="I201" s="600"/>
      <c r="J201" s="600"/>
      <c r="K201" s="599"/>
      <c r="L201" s="599"/>
      <c r="M201" s="599"/>
      <c r="N201" s="599"/>
      <c r="O201" s="596"/>
      <c r="P201" s="596"/>
      <c r="Q201" s="596"/>
      <c r="R201" s="599"/>
      <c r="S201" s="599"/>
      <c r="T201" s="599"/>
      <c r="U201" s="599"/>
      <c r="V201" s="603"/>
      <c r="W201" s="599"/>
      <c r="X201" s="596"/>
      <c r="Y201" s="596"/>
      <c r="Z201" s="596"/>
    </row>
    <row r="202" ht="21.0" customHeight="1">
      <c r="A202" s="596"/>
      <c r="B202" s="597"/>
      <c r="C202" s="597"/>
      <c r="D202" s="597"/>
      <c r="E202" s="597"/>
      <c r="F202" s="605"/>
      <c r="G202" s="605"/>
      <c r="H202" s="597"/>
      <c r="I202" s="600"/>
      <c r="J202" s="600"/>
      <c r="K202" s="599"/>
      <c r="L202" s="599"/>
      <c r="M202" s="599"/>
      <c r="N202" s="599"/>
      <c r="O202" s="596"/>
      <c r="P202" s="596"/>
      <c r="Q202" s="596"/>
      <c r="R202" s="599"/>
      <c r="S202" s="599"/>
      <c r="T202" s="599"/>
      <c r="U202" s="599"/>
      <c r="V202" s="603"/>
      <c r="W202" s="599"/>
      <c r="X202" s="596"/>
      <c r="Y202" s="596"/>
      <c r="Z202" s="596"/>
    </row>
    <row r="203" ht="21.0" customHeight="1">
      <c r="A203" s="596"/>
      <c r="B203" s="597"/>
      <c r="C203" s="597"/>
      <c r="D203" s="597"/>
      <c r="E203" s="597"/>
      <c r="F203" s="605"/>
      <c r="G203" s="605"/>
      <c r="H203" s="597"/>
      <c r="I203" s="600"/>
      <c r="J203" s="600"/>
      <c r="K203" s="599"/>
      <c r="L203" s="599"/>
      <c r="M203" s="599"/>
      <c r="N203" s="599"/>
      <c r="O203" s="596"/>
      <c r="P203" s="596"/>
      <c r="Q203" s="596"/>
      <c r="R203" s="599"/>
      <c r="S203" s="599"/>
      <c r="T203" s="599"/>
      <c r="U203" s="599"/>
      <c r="V203" s="603"/>
      <c r="W203" s="599"/>
      <c r="X203" s="596"/>
      <c r="Y203" s="596"/>
      <c r="Z203" s="596"/>
    </row>
    <row r="204" ht="21.0" customHeight="1">
      <c r="A204" s="596"/>
      <c r="B204" s="597"/>
      <c r="C204" s="597"/>
      <c r="D204" s="597"/>
      <c r="E204" s="597"/>
      <c r="F204" s="605"/>
      <c r="G204" s="605"/>
      <c r="H204" s="597"/>
      <c r="I204" s="600"/>
      <c r="J204" s="600"/>
      <c r="K204" s="599"/>
      <c r="L204" s="599"/>
      <c r="M204" s="599"/>
      <c r="N204" s="599"/>
      <c r="O204" s="596"/>
      <c r="P204" s="596"/>
      <c r="Q204" s="596"/>
      <c r="R204" s="599"/>
      <c r="S204" s="599"/>
      <c r="T204" s="599"/>
      <c r="U204" s="599"/>
      <c r="V204" s="603"/>
      <c r="W204" s="599"/>
      <c r="X204" s="596"/>
      <c r="Y204" s="596"/>
      <c r="Z204" s="596"/>
    </row>
    <row r="205" ht="21.0" customHeight="1">
      <c r="A205" s="596"/>
      <c r="B205" s="597"/>
      <c r="C205" s="597"/>
      <c r="D205" s="597"/>
      <c r="E205" s="597"/>
      <c r="F205" s="605"/>
      <c r="G205" s="605"/>
      <c r="H205" s="597"/>
      <c r="I205" s="600"/>
      <c r="J205" s="600"/>
      <c r="K205" s="599"/>
      <c r="L205" s="599"/>
      <c r="M205" s="599"/>
      <c r="N205" s="599"/>
      <c r="O205" s="596"/>
      <c r="P205" s="596"/>
      <c r="Q205" s="596"/>
      <c r="R205" s="599"/>
      <c r="S205" s="599"/>
      <c r="T205" s="599"/>
      <c r="U205" s="599"/>
      <c r="V205" s="603"/>
      <c r="W205" s="599"/>
      <c r="X205" s="596"/>
      <c r="Y205" s="596"/>
      <c r="Z205" s="596"/>
    </row>
    <row r="206" ht="21.0" customHeight="1">
      <c r="A206" s="596"/>
      <c r="B206" s="597"/>
      <c r="C206" s="597"/>
      <c r="D206" s="597"/>
      <c r="E206" s="597"/>
      <c r="F206" s="605"/>
      <c r="G206" s="605"/>
      <c r="H206" s="597"/>
      <c r="I206" s="600"/>
      <c r="J206" s="600"/>
      <c r="K206" s="599"/>
      <c r="L206" s="599"/>
      <c r="M206" s="599"/>
      <c r="N206" s="599"/>
      <c r="O206" s="596"/>
      <c r="P206" s="596"/>
      <c r="Q206" s="596"/>
      <c r="R206" s="599"/>
      <c r="S206" s="599"/>
      <c r="T206" s="599"/>
      <c r="U206" s="599"/>
      <c r="V206" s="603"/>
      <c r="W206" s="599"/>
      <c r="X206" s="596"/>
      <c r="Y206" s="596"/>
      <c r="Z206" s="596"/>
    </row>
    <row r="207" ht="21.0" customHeight="1">
      <c r="A207" s="596"/>
      <c r="B207" s="597"/>
      <c r="C207" s="597"/>
      <c r="D207" s="597"/>
      <c r="E207" s="597"/>
      <c r="F207" s="605"/>
      <c r="G207" s="605"/>
      <c r="H207" s="597"/>
      <c r="I207" s="600"/>
      <c r="J207" s="600"/>
      <c r="K207" s="599"/>
      <c r="L207" s="599"/>
      <c r="M207" s="599"/>
      <c r="N207" s="599"/>
      <c r="O207" s="596"/>
      <c r="P207" s="596"/>
      <c r="Q207" s="596"/>
      <c r="R207" s="599"/>
      <c r="S207" s="599"/>
      <c r="T207" s="599"/>
      <c r="U207" s="599"/>
      <c r="V207" s="603"/>
      <c r="W207" s="599"/>
      <c r="X207" s="596"/>
      <c r="Y207" s="596"/>
      <c r="Z207" s="596"/>
    </row>
    <row r="208" ht="21.0" customHeight="1">
      <c r="A208" s="596"/>
      <c r="B208" s="597"/>
      <c r="C208" s="597"/>
      <c r="D208" s="597"/>
      <c r="E208" s="597"/>
      <c r="F208" s="605"/>
      <c r="G208" s="605"/>
      <c r="H208" s="597"/>
      <c r="I208" s="600"/>
      <c r="J208" s="600"/>
      <c r="K208" s="599"/>
      <c r="L208" s="599"/>
      <c r="M208" s="599"/>
      <c r="N208" s="599"/>
      <c r="O208" s="596"/>
      <c r="P208" s="596"/>
      <c r="Q208" s="596"/>
      <c r="R208" s="599"/>
      <c r="S208" s="599"/>
      <c r="T208" s="599"/>
      <c r="U208" s="599"/>
      <c r="V208" s="603"/>
      <c r="W208" s="599"/>
      <c r="X208" s="596"/>
      <c r="Y208" s="596"/>
      <c r="Z208" s="596"/>
    </row>
    <row r="209" ht="21.0" customHeight="1">
      <c r="A209" s="596"/>
      <c r="B209" s="597"/>
      <c r="C209" s="597"/>
      <c r="D209" s="597"/>
      <c r="E209" s="597"/>
      <c r="F209" s="605"/>
      <c r="G209" s="605"/>
      <c r="H209" s="597"/>
      <c r="I209" s="600"/>
      <c r="J209" s="600"/>
      <c r="K209" s="599"/>
      <c r="L209" s="599"/>
      <c r="M209" s="599"/>
      <c r="N209" s="599"/>
      <c r="O209" s="596"/>
      <c r="P209" s="596"/>
      <c r="Q209" s="596"/>
      <c r="R209" s="599"/>
      <c r="S209" s="599"/>
      <c r="T209" s="599"/>
      <c r="U209" s="599"/>
      <c r="V209" s="603"/>
      <c r="W209" s="599"/>
      <c r="X209" s="596"/>
      <c r="Y209" s="596"/>
      <c r="Z209" s="596"/>
    </row>
    <row r="210" ht="21.0" customHeight="1">
      <c r="A210" s="596"/>
      <c r="B210" s="597"/>
      <c r="C210" s="597"/>
      <c r="D210" s="597"/>
      <c r="E210" s="597"/>
      <c r="F210" s="605"/>
      <c r="G210" s="605"/>
      <c r="H210" s="597"/>
      <c r="I210" s="600"/>
      <c r="J210" s="600"/>
      <c r="K210" s="599"/>
      <c r="L210" s="599"/>
      <c r="M210" s="599"/>
      <c r="N210" s="599"/>
      <c r="O210" s="596"/>
      <c r="P210" s="596"/>
      <c r="Q210" s="596"/>
      <c r="R210" s="599"/>
      <c r="S210" s="599"/>
      <c r="T210" s="599"/>
      <c r="U210" s="599"/>
      <c r="V210" s="603"/>
      <c r="W210" s="599"/>
      <c r="X210" s="596"/>
      <c r="Y210" s="596"/>
      <c r="Z210" s="596"/>
    </row>
    <row r="211" ht="21.0" customHeight="1">
      <c r="A211" s="596"/>
      <c r="B211" s="597"/>
      <c r="C211" s="597"/>
      <c r="D211" s="597"/>
      <c r="E211" s="597"/>
      <c r="F211" s="605"/>
      <c r="G211" s="605"/>
      <c r="H211" s="597"/>
      <c r="I211" s="600"/>
      <c r="J211" s="600"/>
      <c r="K211" s="599"/>
      <c r="L211" s="599"/>
      <c r="M211" s="599"/>
      <c r="N211" s="599"/>
      <c r="O211" s="596"/>
      <c r="P211" s="596"/>
      <c r="Q211" s="596"/>
      <c r="R211" s="599"/>
      <c r="S211" s="599"/>
      <c r="T211" s="599"/>
      <c r="U211" s="599"/>
      <c r="V211" s="603"/>
      <c r="W211" s="599"/>
      <c r="X211" s="596"/>
      <c r="Y211" s="596"/>
      <c r="Z211" s="596"/>
    </row>
    <row r="212" ht="21.0" customHeight="1">
      <c r="A212" s="596"/>
      <c r="B212" s="597"/>
      <c r="C212" s="597"/>
      <c r="D212" s="597"/>
      <c r="E212" s="597"/>
      <c r="F212" s="605"/>
      <c r="G212" s="605"/>
      <c r="H212" s="597"/>
      <c r="I212" s="600"/>
      <c r="J212" s="600"/>
      <c r="K212" s="599"/>
      <c r="L212" s="599"/>
      <c r="M212" s="599"/>
      <c r="N212" s="599"/>
      <c r="O212" s="596"/>
      <c r="P212" s="596"/>
      <c r="Q212" s="596"/>
      <c r="R212" s="599"/>
      <c r="S212" s="599"/>
      <c r="T212" s="599"/>
      <c r="U212" s="599"/>
      <c r="V212" s="603"/>
      <c r="W212" s="599"/>
      <c r="X212" s="596"/>
      <c r="Y212" s="596"/>
      <c r="Z212" s="596"/>
    </row>
    <row r="213" ht="21.0" customHeight="1">
      <c r="A213" s="596"/>
      <c r="B213" s="597"/>
      <c r="C213" s="597"/>
      <c r="D213" s="597"/>
      <c r="E213" s="597"/>
      <c r="F213" s="605"/>
      <c r="G213" s="605"/>
      <c r="H213" s="597"/>
      <c r="I213" s="600"/>
      <c r="J213" s="600"/>
      <c r="K213" s="599"/>
      <c r="L213" s="599"/>
      <c r="M213" s="599"/>
      <c r="N213" s="599"/>
      <c r="O213" s="596"/>
      <c r="P213" s="596"/>
      <c r="Q213" s="596"/>
      <c r="R213" s="599"/>
      <c r="S213" s="599"/>
      <c r="T213" s="599"/>
      <c r="U213" s="599"/>
      <c r="V213" s="603"/>
      <c r="W213" s="599"/>
      <c r="X213" s="596"/>
      <c r="Y213" s="596"/>
      <c r="Z213" s="596"/>
    </row>
    <row r="214" ht="21.0" customHeight="1">
      <c r="A214" s="596"/>
      <c r="B214" s="597"/>
      <c r="C214" s="597"/>
      <c r="D214" s="597"/>
      <c r="E214" s="597"/>
      <c r="F214" s="605"/>
      <c r="G214" s="605"/>
      <c r="H214" s="597"/>
      <c r="I214" s="600"/>
      <c r="J214" s="600"/>
      <c r="K214" s="599"/>
      <c r="L214" s="599"/>
      <c r="M214" s="599"/>
      <c r="N214" s="599"/>
      <c r="O214" s="596"/>
      <c r="P214" s="596"/>
      <c r="Q214" s="596"/>
      <c r="R214" s="599"/>
      <c r="S214" s="599"/>
      <c r="T214" s="599"/>
      <c r="U214" s="599"/>
      <c r="V214" s="603"/>
      <c r="W214" s="599"/>
      <c r="X214" s="596"/>
      <c r="Y214" s="596"/>
      <c r="Z214" s="596"/>
    </row>
    <row r="215" ht="21.0" customHeight="1">
      <c r="A215" s="596"/>
      <c r="B215" s="597"/>
      <c r="C215" s="597"/>
      <c r="D215" s="597"/>
      <c r="E215" s="597"/>
      <c r="F215" s="605"/>
      <c r="G215" s="605"/>
      <c r="H215" s="597"/>
      <c r="I215" s="600"/>
      <c r="J215" s="600"/>
      <c r="K215" s="599"/>
      <c r="L215" s="599"/>
      <c r="M215" s="599"/>
      <c r="N215" s="599"/>
      <c r="O215" s="596"/>
      <c r="P215" s="596"/>
      <c r="Q215" s="596"/>
      <c r="R215" s="599"/>
      <c r="S215" s="599"/>
      <c r="T215" s="599"/>
      <c r="U215" s="599"/>
      <c r="V215" s="603"/>
      <c r="W215" s="599"/>
      <c r="X215" s="596"/>
      <c r="Y215" s="596"/>
      <c r="Z215" s="596"/>
    </row>
    <row r="216" ht="21.0" customHeight="1">
      <c r="A216" s="596"/>
      <c r="B216" s="597"/>
      <c r="C216" s="597"/>
      <c r="D216" s="597"/>
      <c r="E216" s="597"/>
      <c r="F216" s="605"/>
      <c r="G216" s="605"/>
      <c r="H216" s="597"/>
      <c r="I216" s="600"/>
      <c r="J216" s="600"/>
      <c r="K216" s="599"/>
      <c r="L216" s="599"/>
      <c r="M216" s="599"/>
      <c r="N216" s="599"/>
      <c r="O216" s="596"/>
      <c r="P216" s="596"/>
      <c r="Q216" s="596"/>
      <c r="R216" s="599"/>
      <c r="S216" s="599"/>
      <c r="T216" s="599"/>
      <c r="U216" s="599"/>
      <c r="V216" s="603"/>
      <c r="W216" s="599"/>
      <c r="X216" s="596"/>
      <c r="Y216" s="596"/>
      <c r="Z216" s="596"/>
    </row>
    <row r="217" ht="21.0" customHeight="1">
      <c r="A217" s="596"/>
      <c r="B217" s="597"/>
      <c r="C217" s="597"/>
      <c r="D217" s="597"/>
      <c r="E217" s="597"/>
      <c r="F217" s="605"/>
      <c r="G217" s="605"/>
      <c r="H217" s="597"/>
      <c r="I217" s="600"/>
      <c r="J217" s="600"/>
      <c r="K217" s="599"/>
      <c r="L217" s="599"/>
      <c r="M217" s="599"/>
      <c r="N217" s="599"/>
      <c r="O217" s="596"/>
      <c r="P217" s="596"/>
      <c r="Q217" s="596"/>
      <c r="R217" s="599"/>
      <c r="S217" s="599"/>
      <c r="T217" s="599"/>
      <c r="U217" s="599"/>
      <c r="V217" s="603"/>
      <c r="W217" s="599"/>
      <c r="X217" s="596"/>
      <c r="Y217" s="596"/>
      <c r="Z217" s="596"/>
    </row>
    <row r="218" ht="21.0" customHeight="1">
      <c r="A218" s="596"/>
      <c r="B218" s="597"/>
      <c r="C218" s="597"/>
      <c r="D218" s="597"/>
      <c r="E218" s="597"/>
      <c r="F218" s="605"/>
      <c r="G218" s="605"/>
      <c r="H218" s="597"/>
      <c r="I218" s="600"/>
      <c r="J218" s="600"/>
      <c r="K218" s="599"/>
      <c r="L218" s="599"/>
      <c r="M218" s="599"/>
      <c r="N218" s="599"/>
      <c r="O218" s="596"/>
      <c r="P218" s="596"/>
      <c r="Q218" s="596"/>
      <c r="R218" s="599"/>
      <c r="S218" s="599"/>
      <c r="T218" s="599"/>
      <c r="U218" s="599"/>
      <c r="V218" s="603"/>
      <c r="W218" s="599"/>
      <c r="X218" s="596"/>
      <c r="Y218" s="596"/>
      <c r="Z218" s="596"/>
    </row>
    <row r="219" ht="21.0" customHeight="1">
      <c r="A219" s="596"/>
      <c r="B219" s="597"/>
      <c r="C219" s="597"/>
      <c r="D219" s="597"/>
      <c r="E219" s="597"/>
      <c r="F219" s="605"/>
      <c r="G219" s="605"/>
      <c r="H219" s="597"/>
      <c r="I219" s="600"/>
      <c r="J219" s="600"/>
      <c r="K219" s="599"/>
      <c r="L219" s="599"/>
      <c r="M219" s="599"/>
      <c r="N219" s="599"/>
      <c r="O219" s="596"/>
      <c r="P219" s="596"/>
      <c r="Q219" s="596"/>
      <c r="R219" s="599"/>
      <c r="S219" s="599"/>
      <c r="T219" s="599"/>
      <c r="U219" s="599"/>
      <c r="V219" s="603"/>
      <c r="W219" s="599"/>
      <c r="X219" s="596"/>
      <c r="Y219" s="596"/>
      <c r="Z219" s="596"/>
    </row>
    <row r="220" ht="21.0" customHeight="1">
      <c r="A220" s="596"/>
      <c r="B220" s="597"/>
      <c r="C220" s="597"/>
      <c r="D220" s="597"/>
      <c r="E220" s="597"/>
      <c r="F220" s="605"/>
      <c r="G220" s="605"/>
      <c r="H220" s="597"/>
      <c r="I220" s="600"/>
      <c r="J220" s="600"/>
      <c r="K220" s="599"/>
      <c r="L220" s="599"/>
      <c r="M220" s="599"/>
      <c r="N220" s="599"/>
      <c r="O220" s="596"/>
      <c r="P220" s="596"/>
      <c r="Q220" s="596"/>
      <c r="R220" s="599"/>
      <c r="S220" s="599"/>
      <c r="T220" s="599"/>
      <c r="U220" s="599"/>
      <c r="V220" s="603"/>
      <c r="W220" s="599"/>
      <c r="X220" s="596"/>
      <c r="Y220" s="596"/>
      <c r="Z220" s="596"/>
    </row>
    <row r="221" ht="21.0" customHeight="1">
      <c r="A221" s="596"/>
      <c r="B221" s="597"/>
      <c r="C221" s="597"/>
      <c r="D221" s="597"/>
      <c r="E221" s="597"/>
      <c r="F221" s="605"/>
      <c r="G221" s="605"/>
      <c r="H221" s="597"/>
      <c r="I221" s="600"/>
      <c r="J221" s="600"/>
      <c r="K221" s="599"/>
      <c r="L221" s="599"/>
      <c r="M221" s="599"/>
      <c r="N221" s="599"/>
      <c r="O221" s="596"/>
      <c r="P221" s="596"/>
      <c r="Q221" s="596"/>
      <c r="R221" s="599"/>
      <c r="S221" s="599"/>
      <c r="T221" s="599"/>
      <c r="U221" s="599"/>
      <c r="V221" s="603"/>
      <c r="W221" s="599"/>
      <c r="X221" s="596"/>
      <c r="Y221" s="596"/>
      <c r="Z221" s="596"/>
    </row>
    <row r="222" ht="21.0" customHeight="1">
      <c r="A222" s="596"/>
      <c r="B222" s="597"/>
      <c r="C222" s="597"/>
      <c r="D222" s="597"/>
      <c r="E222" s="597"/>
      <c r="F222" s="605"/>
      <c r="G222" s="605"/>
      <c r="H222" s="597"/>
      <c r="I222" s="600"/>
      <c r="J222" s="600"/>
      <c r="K222" s="599"/>
      <c r="L222" s="599"/>
      <c r="M222" s="599"/>
      <c r="N222" s="599"/>
      <c r="O222" s="596"/>
      <c r="P222" s="596"/>
      <c r="Q222" s="596"/>
      <c r="R222" s="599"/>
      <c r="S222" s="599"/>
      <c r="T222" s="599"/>
      <c r="U222" s="599"/>
      <c r="V222" s="603"/>
      <c r="W222" s="599"/>
      <c r="X222" s="596"/>
      <c r="Y222" s="596"/>
      <c r="Z222" s="596"/>
    </row>
    <row r="223" ht="21.0" customHeight="1">
      <c r="A223" s="596"/>
      <c r="B223" s="597"/>
      <c r="C223" s="597"/>
      <c r="D223" s="597"/>
      <c r="E223" s="597"/>
      <c r="F223" s="605"/>
      <c r="G223" s="605"/>
      <c r="H223" s="597"/>
      <c r="I223" s="600"/>
      <c r="J223" s="600"/>
      <c r="K223" s="599"/>
      <c r="L223" s="599"/>
      <c r="M223" s="599"/>
      <c r="N223" s="599"/>
      <c r="O223" s="596"/>
      <c r="P223" s="596"/>
      <c r="Q223" s="596"/>
      <c r="R223" s="599"/>
      <c r="S223" s="599"/>
      <c r="T223" s="599"/>
      <c r="U223" s="599"/>
      <c r="V223" s="603"/>
      <c r="W223" s="599"/>
      <c r="X223" s="596"/>
      <c r="Y223" s="596"/>
      <c r="Z223" s="596"/>
    </row>
    <row r="224" ht="21.0" customHeight="1">
      <c r="A224" s="596"/>
      <c r="B224" s="597"/>
      <c r="C224" s="597"/>
      <c r="D224" s="597"/>
      <c r="E224" s="597"/>
      <c r="F224" s="605"/>
      <c r="G224" s="605"/>
      <c r="H224" s="597"/>
      <c r="I224" s="600"/>
      <c r="J224" s="600"/>
      <c r="K224" s="599"/>
      <c r="L224" s="599"/>
      <c r="M224" s="599"/>
      <c r="N224" s="599"/>
      <c r="O224" s="596"/>
      <c r="P224" s="596"/>
      <c r="Q224" s="596"/>
      <c r="R224" s="599"/>
      <c r="S224" s="599"/>
      <c r="T224" s="599"/>
      <c r="U224" s="599"/>
      <c r="V224" s="603"/>
      <c r="W224" s="599"/>
      <c r="X224" s="596"/>
      <c r="Y224" s="596"/>
      <c r="Z224" s="596"/>
    </row>
    <row r="225" ht="21.0" customHeight="1">
      <c r="A225" s="596"/>
      <c r="B225" s="597"/>
      <c r="C225" s="597"/>
      <c r="D225" s="597"/>
      <c r="E225" s="597"/>
      <c r="F225" s="605"/>
      <c r="G225" s="605"/>
      <c r="H225" s="597"/>
      <c r="I225" s="600"/>
      <c r="J225" s="600"/>
      <c r="K225" s="599"/>
      <c r="L225" s="599"/>
      <c r="M225" s="599"/>
      <c r="N225" s="599"/>
      <c r="O225" s="596"/>
      <c r="P225" s="596"/>
      <c r="Q225" s="596"/>
      <c r="R225" s="599"/>
      <c r="S225" s="599"/>
      <c r="T225" s="599"/>
      <c r="U225" s="599"/>
      <c r="V225" s="603"/>
      <c r="W225" s="599"/>
      <c r="X225" s="596"/>
      <c r="Y225" s="596"/>
      <c r="Z225" s="596"/>
    </row>
    <row r="226" ht="21.0" customHeight="1">
      <c r="A226" s="596"/>
      <c r="B226" s="597"/>
      <c r="C226" s="597"/>
      <c r="D226" s="597"/>
      <c r="E226" s="597"/>
      <c r="F226" s="605"/>
      <c r="G226" s="605"/>
      <c r="H226" s="597"/>
      <c r="I226" s="600"/>
      <c r="J226" s="600"/>
      <c r="K226" s="599"/>
      <c r="L226" s="599"/>
      <c r="M226" s="599"/>
      <c r="N226" s="599"/>
      <c r="O226" s="596"/>
      <c r="P226" s="596"/>
      <c r="Q226" s="596"/>
      <c r="R226" s="599"/>
      <c r="S226" s="599"/>
      <c r="T226" s="599"/>
      <c r="U226" s="599"/>
      <c r="V226" s="603"/>
      <c r="W226" s="599"/>
      <c r="X226" s="596"/>
      <c r="Y226" s="596"/>
      <c r="Z226" s="596"/>
    </row>
    <row r="227" ht="21.0" customHeight="1">
      <c r="A227" s="596"/>
      <c r="B227" s="597"/>
      <c r="C227" s="597"/>
      <c r="D227" s="597"/>
      <c r="E227" s="597"/>
      <c r="F227" s="605"/>
      <c r="G227" s="605"/>
      <c r="H227" s="597"/>
      <c r="I227" s="600"/>
      <c r="J227" s="600"/>
      <c r="K227" s="599"/>
      <c r="L227" s="599"/>
      <c r="M227" s="599"/>
      <c r="N227" s="599"/>
      <c r="O227" s="596"/>
      <c r="P227" s="596"/>
      <c r="Q227" s="596"/>
      <c r="R227" s="599"/>
      <c r="S227" s="599"/>
      <c r="T227" s="599"/>
      <c r="U227" s="599"/>
      <c r="V227" s="603"/>
      <c r="W227" s="599"/>
      <c r="X227" s="596"/>
      <c r="Y227" s="596"/>
      <c r="Z227" s="596"/>
    </row>
    <row r="228" ht="21.0" customHeight="1">
      <c r="A228" s="596"/>
      <c r="B228" s="597"/>
      <c r="C228" s="597"/>
      <c r="D228" s="597"/>
      <c r="E228" s="597"/>
      <c r="F228" s="605"/>
      <c r="G228" s="605"/>
      <c r="H228" s="597"/>
      <c r="I228" s="600"/>
      <c r="J228" s="600"/>
      <c r="K228" s="599"/>
      <c r="L228" s="599"/>
      <c r="M228" s="599"/>
      <c r="N228" s="599"/>
      <c r="O228" s="596"/>
      <c r="P228" s="596"/>
      <c r="Q228" s="596"/>
      <c r="R228" s="599"/>
      <c r="S228" s="599"/>
      <c r="T228" s="599"/>
      <c r="U228" s="599"/>
      <c r="V228" s="603"/>
      <c r="W228" s="599"/>
      <c r="X228" s="596"/>
      <c r="Y228" s="596"/>
      <c r="Z228" s="596"/>
    </row>
    <row r="229" ht="21.0" customHeight="1">
      <c r="A229" s="596"/>
      <c r="B229" s="597"/>
      <c r="C229" s="597"/>
      <c r="D229" s="597"/>
      <c r="E229" s="597"/>
      <c r="F229" s="605"/>
      <c r="G229" s="605"/>
      <c r="H229" s="597"/>
      <c r="I229" s="600"/>
      <c r="J229" s="600"/>
      <c r="K229" s="599"/>
      <c r="L229" s="599"/>
      <c r="M229" s="599"/>
      <c r="N229" s="599"/>
      <c r="O229" s="596"/>
      <c r="P229" s="596"/>
      <c r="Q229" s="596"/>
      <c r="R229" s="599"/>
      <c r="S229" s="599"/>
      <c r="T229" s="599"/>
      <c r="U229" s="599"/>
      <c r="V229" s="603"/>
      <c r="W229" s="599"/>
      <c r="X229" s="596"/>
      <c r="Y229" s="596"/>
      <c r="Z229" s="596"/>
    </row>
    <row r="230" ht="21.0" customHeight="1">
      <c r="A230" s="596"/>
      <c r="B230" s="597"/>
      <c r="C230" s="597"/>
      <c r="D230" s="597"/>
      <c r="E230" s="597"/>
      <c r="F230" s="605"/>
      <c r="G230" s="605"/>
      <c r="H230" s="597"/>
      <c r="I230" s="600"/>
      <c r="J230" s="600"/>
      <c r="K230" s="599"/>
      <c r="L230" s="599"/>
      <c r="M230" s="599"/>
      <c r="N230" s="599"/>
      <c r="O230" s="596"/>
      <c r="P230" s="596"/>
      <c r="Q230" s="596"/>
      <c r="R230" s="599"/>
      <c r="S230" s="599"/>
      <c r="T230" s="599"/>
      <c r="U230" s="599"/>
      <c r="V230" s="603"/>
      <c r="W230" s="599"/>
      <c r="X230" s="596"/>
      <c r="Y230" s="596"/>
      <c r="Z230" s="596"/>
    </row>
    <row r="231" ht="21.0" customHeight="1">
      <c r="A231" s="596"/>
      <c r="B231" s="597"/>
      <c r="C231" s="597"/>
      <c r="D231" s="597"/>
      <c r="E231" s="597"/>
      <c r="F231" s="605"/>
      <c r="G231" s="605"/>
      <c r="H231" s="597"/>
      <c r="I231" s="600"/>
      <c r="J231" s="600"/>
      <c r="K231" s="599"/>
      <c r="L231" s="599"/>
      <c r="M231" s="599"/>
      <c r="N231" s="599"/>
      <c r="O231" s="596"/>
      <c r="P231" s="596"/>
      <c r="Q231" s="596"/>
      <c r="R231" s="599"/>
      <c r="S231" s="599"/>
      <c r="T231" s="599"/>
      <c r="U231" s="599"/>
      <c r="V231" s="603"/>
      <c r="W231" s="599"/>
      <c r="X231" s="596"/>
      <c r="Y231" s="596"/>
      <c r="Z231" s="596"/>
    </row>
    <row r="232" ht="21.0" customHeight="1">
      <c r="A232" s="596"/>
      <c r="B232" s="597"/>
      <c r="C232" s="597"/>
      <c r="D232" s="597"/>
      <c r="E232" s="597"/>
      <c r="F232" s="605"/>
      <c r="G232" s="605"/>
      <c r="H232" s="597"/>
      <c r="I232" s="600"/>
      <c r="J232" s="600"/>
      <c r="K232" s="599"/>
      <c r="L232" s="599"/>
      <c r="M232" s="599"/>
      <c r="N232" s="599"/>
      <c r="O232" s="596"/>
      <c r="P232" s="596"/>
      <c r="Q232" s="596"/>
      <c r="R232" s="599"/>
      <c r="S232" s="599"/>
      <c r="T232" s="599"/>
      <c r="U232" s="599"/>
      <c r="V232" s="603"/>
      <c r="W232" s="599"/>
      <c r="X232" s="596"/>
      <c r="Y232" s="596"/>
      <c r="Z232" s="596"/>
    </row>
    <row r="233" ht="21.0" customHeight="1">
      <c r="A233" s="596"/>
      <c r="B233" s="597"/>
      <c r="C233" s="597"/>
      <c r="D233" s="597"/>
      <c r="E233" s="597"/>
      <c r="F233" s="605"/>
      <c r="G233" s="605"/>
      <c r="H233" s="597"/>
      <c r="I233" s="600"/>
      <c r="J233" s="600"/>
      <c r="K233" s="599"/>
      <c r="L233" s="599"/>
      <c r="M233" s="599"/>
      <c r="N233" s="599"/>
      <c r="O233" s="596"/>
      <c r="P233" s="596"/>
      <c r="Q233" s="596"/>
      <c r="R233" s="599"/>
      <c r="S233" s="599"/>
      <c r="T233" s="599"/>
      <c r="U233" s="599"/>
      <c r="V233" s="603"/>
      <c r="W233" s="599"/>
      <c r="X233" s="596"/>
      <c r="Y233" s="596"/>
      <c r="Z233" s="596"/>
    </row>
    <row r="234" ht="21.0" customHeight="1">
      <c r="A234" s="596"/>
      <c r="B234" s="597"/>
      <c r="C234" s="622"/>
      <c r="D234" s="597"/>
      <c r="E234" s="622"/>
      <c r="F234" s="623"/>
      <c r="G234" s="623"/>
      <c r="H234" s="622"/>
      <c r="I234" s="600"/>
      <c r="J234" s="600"/>
      <c r="K234" s="599"/>
      <c r="L234" s="599"/>
      <c r="M234" s="599"/>
      <c r="N234" s="599"/>
      <c r="O234" s="596"/>
      <c r="P234" s="596"/>
      <c r="Q234" s="596"/>
      <c r="R234" s="599"/>
      <c r="S234" s="599"/>
      <c r="T234" s="599"/>
      <c r="U234" s="599"/>
      <c r="V234" s="603"/>
      <c r="W234" s="599"/>
      <c r="X234" s="596"/>
      <c r="Y234" s="596"/>
      <c r="Z234" s="596"/>
    </row>
    <row r="235" ht="21.0" customHeight="1">
      <c r="A235" s="596"/>
      <c r="B235" s="622"/>
      <c r="C235" s="622"/>
      <c r="D235" s="622"/>
      <c r="E235" s="622"/>
      <c r="F235" s="623"/>
      <c r="G235" s="623"/>
      <c r="H235" s="622"/>
      <c r="I235" s="600"/>
      <c r="J235" s="600"/>
      <c r="K235" s="599"/>
      <c r="L235" s="599"/>
      <c r="M235" s="599"/>
      <c r="N235" s="599"/>
      <c r="O235" s="596"/>
      <c r="P235" s="596"/>
      <c r="Q235" s="596"/>
      <c r="R235" s="599"/>
      <c r="S235" s="599"/>
      <c r="T235" s="599"/>
      <c r="U235" s="599"/>
      <c r="V235" s="603"/>
      <c r="W235" s="599"/>
      <c r="X235" s="596"/>
      <c r="Y235" s="596"/>
      <c r="Z235" s="596"/>
    </row>
    <row r="236" ht="21.0" customHeight="1">
      <c r="A236" s="596"/>
      <c r="B236" s="622"/>
      <c r="C236" s="622"/>
      <c r="D236" s="622"/>
      <c r="E236" s="622"/>
      <c r="F236" s="623"/>
      <c r="G236" s="623"/>
      <c r="H236" s="622"/>
      <c r="I236" s="600"/>
      <c r="J236" s="600"/>
      <c r="K236" s="599"/>
      <c r="L236" s="599"/>
      <c r="M236" s="599"/>
      <c r="N236" s="599"/>
      <c r="O236" s="596"/>
      <c r="P236" s="596"/>
      <c r="Q236" s="596"/>
      <c r="R236" s="599"/>
      <c r="S236" s="599"/>
      <c r="T236" s="599"/>
      <c r="U236" s="599"/>
      <c r="V236" s="603"/>
      <c r="W236" s="599"/>
      <c r="X236" s="596"/>
      <c r="Y236" s="596"/>
      <c r="Z236" s="596"/>
    </row>
    <row r="237" ht="21.0" customHeight="1">
      <c r="A237" s="596"/>
      <c r="B237" s="622"/>
      <c r="C237" s="622"/>
      <c r="D237" s="622"/>
      <c r="E237" s="622"/>
      <c r="F237" s="623"/>
      <c r="G237" s="623"/>
      <c r="H237" s="622"/>
      <c r="I237" s="600"/>
      <c r="J237" s="600"/>
      <c r="K237" s="599"/>
      <c r="L237" s="599"/>
      <c r="M237" s="599"/>
      <c r="N237" s="599"/>
      <c r="O237" s="596"/>
      <c r="P237" s="596"/>
      <c r="Q237" s="596"/>
      <c r="R237" s="599"/>
      <c r="S237" s="599"/>
      <c r="T237" s="599"/>
      <c r="U237" s="599"/>
      <c r="V237" s="603"/>
      <c r="W237" s="599"/>
      <c r="X237" s="596"/>
      <c r="Y237" s="596"/>
      <c r="Z237" s="596"/>
    </row>
    <row r="238" ht="21.0" customHeight="1">
      <c r="A238" s="596"/>
      <c r="B238" s="622"/>
      <c r="C238" s="622"/>
      <c r="D238" s="622"/>
      <c r="E238" s="622"/>
      <c r="F238" s="623"/>
      <c r="G238" s="623"/>
      <c r="H238" s="622"/>
      <c r="I238" s="600"/>
      <c r="J238" s="600"/>
      <c r="K238" s="599"/>
      <c r="L238" s="599"/>
      <c r="M238" s="599"/>
      <c r="N238" s="599"/>
      <c r="O238" s="596"/>
      <c r="P238" s="596"/>
      <c r="Q238" s="596"/>
      <c r="R238" s="599"/>
      <c r="S238" s="599"/>
      <c r="T238" s="599"/>
      <c r="U238" s="599"/>
      <c r="V238" s="603"/>
      <c r="W238" s="599"/>
      <c r="X238" s="596"/>
      <c r="Y238" s="596"/>
      <c r="Z238" s="596"/>
    </row>
    <row r="239" ht="21.0" customHeight="1">
      <c r="A239" s="596"/>
      <c r="B239" s="622"/>
      <c r="C239" s="622"/>
      <c r="D239" s="622"/>
      <c r="E239" s="622"/>
      <c r="F239" s="623"/>
      <c r="G239" s="623"/>
      <c r="H239" s="622"/>
      <c r="I239" s="600"/>
      <c r="J239" s="600"/>
      <c r="K239" s="599"/>
      <c r="L239" s="599"/>
      <c r="M239" s="599"/>
      <c r="N239" s="599"/>
      <c r="O239" s="596"/>
      <c r="P239" s="596"/>
      <c r="Q239" s="596"/>
      <c r="R239" s="599"/>
      <c r="S239" s="599"/>
      <c r="T239" s="599"/>
      <c r="U239" s="599"/>
      <c r="V239" s="603"/>
      <c r="W239" s="599"/>
      <c r="X239" s="596"/>
      <c r="Y239" s="596"/>
      <c r="Z239" s="596"/>
    </row>
    <row r="240" ht="21.0" customHeight="1">
      <c r="A240" s="596"/>
      <c r="B240" s="622"/>
      <c r="C240" s="622"/>
      <c r="D240" s="622"/>
      <c r="E240" s="622"/>
      <c r="F240" s="623"/>
      <c r="G240" s="623"/>
      <c r="H240" s="622"/>
      <c r="I240" s="600"/>
      <c r="J240" s="600"/>
      <c r="K240" s="599"/>
      <c r="L240" s="599"/>
      <c r="M240" s="599"/>
      <c r="N240" s="599"/>
      <c r="O240" s="596"/>
      <c r="P240" s="596"/>
      <c r="Q240" s="596"/>
      <c r="R240" s="599"/>
      <c r="S240" s="599"/>
      <c r="T240" s="599"/>
      <c r="U240" s="599"/>
      <c r="V240" s="603"/>
      <c r="W240" s="599"/>
      <c r="X240" s="596"/>
      <c r="Y240" s="596"/>
      <c r="Z240" s="596"/>
    </row>
    <row r="241" ht="21.0" customHeight="1">
      <c r="A241" s="596"/>
      <c r="B241" s="622"/>
      <c r="C241" s="622"/>
      <c r="D241" s="622"/>
      <c r="E241" s="622"/>
      <c r="F241" s="623"/>
      <c r="G241" s="623"/>
      <c r="H241" s="622"/>
      <c r="I241" s="600"/>
      <c r="J241" s="600"/>
      <c r="K241" s="599"/>
      <c r="L241" s="599"/>
      <c r="M241" s="599"/>
      <c r="N241" s="599"/>
      <c r="O241" s="596"/>
      <c r="P241" s="596"/>
      <c r="Q241" s="596"/>
      <c r="R241" s="599"/>
      <c r="S241" s="599"/>
      <c r="T241" s="599"/>
      <c r="U241" s="599"/>
      <c r="V241" s="603"/>
      <c r="W241" s="599"/>
      <c r="X241" s="596"/>
      <c r="Y241" s="596"/>
      <c r="Z241" s="596"/>
    </row>
    <row r="242" ht="21.0" customHeight="1">
      <c r="A242" s="596"/>
      <c r="B242" s="622"/>
      <c r="C242" s="622"/>
      <c r="D242" s="622"/>
      <c r="E242" s="622"/>
      <c r="F242" s="623"/>
      <c r="G242" s="623"/>
      <c r="H242" s="622"/>
      <c r="I242" s="600"/>
      <c r="J242" s="600"/>
      <c r="K242" s="599"/>
      <c r="L242" s="599"/>
      <c r="M242" s="599"/>
      <c r="N242" s="599"/>
      <c r="O242" s="596"/>
      <c r="P242" s="596"/>
      <c r="Q242" s="596"/>
      <c r="R242" s="599"/>
      <c r="S242" s="599"/>
      <c r="T242" s="599"/>
      <c r="U242" s="599"/>
      <c r="V242" s="603"/>
      <c r="W242" s="599"/>
      <c r="X242" s="596"/>
      <c r="Y242" s="596"/>
      <c r="Z242" s="596"/>
    </row>
    <row r="243" ht="21.0" customHeight="1">
      <c r="A243" s="596"/>
      <c r="B243" s="622"/>
      <c r="C243" s="622"/>
      <c r="D243" s="622"/>
      <c r="E243" s="622"/>
      <c r="F243" s="623"/>
      <c r="G243" s="623"/>
      <c r="H243" s="622"/>
      <c r="I243" s="600"/>
      <c r="J243" s="600"/>
      <c r="K243" s="599"/>
      <c r="L243" s="599"/>
      <c r="M243" s="599"/>
      <c r="N243" s="599"/>
      <c r="O243" s="596"/>
      <c r="P243" s="596"/>
      <c r="Q243" s="596"/>
      <c r="R243" s="599"/>
      <c r="S243" s="599"/>
      <c r="T243" s="599"/>
      <c r="U243" s="599"/>
      <c r="V243" s="603"/>
      <c r="W243" s="599"/>
      <c r="X243" s="596"/>
      <c r="Y243" s="596"/>
      <c r="Z243" s="596"/>
    </row>
    <row r="244" ht="21.0" customHeight="1">
      <c r="A244" s="596"/>
      <c r="B244" s="622"/>
      <c r="C244" s="622"/>
      <c r="D244" s="622"/>
      <c r="E244" s="622"/>
      <c r="F244" s="623"/>
      <c r="G244" s="623"/>
      <c r="H244" s="622"/>
      <c r="I244" s="600"/>
      <c r="J244" s="600"/>
      <c r="K244" s="599"/>
      <c r="L244" s="599"/>
      <c r="M244" s="599"/>
      <c r="N244" s="599"/>
      <c r="O244" s="596"/>
      <c r="P244" s="596"/>
      <c r="Q244" s="596"/>
      <c r="R244" s="599"/>
      <c r="S244" s="599"/>
      <c r="T244" s="599"/>
      <c r="U244" s="599"/>
      <c r="V244" s="603"/>
      <c r="W244" s="599"/>
      <c r="X244" s="596"/>
      <c r="Y244" s="596"/>
      <c r="Z244" s="596"/>
    </row>
    <row r="245" ht="21.0" customHeight="1">
      <c r="A245" s="596"/>
      <c r="B245" s="622"/>
      <c r="C245" s="622"/>
      <c r="D245" s="622"/>
      <c r="E245" s="622"/>
      <c r="F245" s="623"/>
      <c r="G245" s="623"/>
      <c r="H245" s="622"/>
      <c r="I245" s="600"/>
      <c r="J245" s="600"/>
      <c r="K245" s="599"/>
      <c r="L245" s="599"/>
      <c r="M245" s="599"/>
      <c r="N245" s="599"/>
      <c r="O245" s="596"/>
      <c r="P245" s="596"/>
      <c r="Q245" s="596"/>
      <c r="R245" s="599"/>
      <c r="S245" s="599"/>
      <c r="T245" s="599"/>
      <c r="U245" s="599"/>
      <c r="V245" s="603"/>
      <c r="W245" s="599"/>
      <c r="X245" s="596"/>
      <c r="Y245" s="596"/>
      <c r="Z245" s="596"/>
    </row>
    <row r="246" ht="21.0" customHeight="1">
      <c r="A246" s="596"/>
      <c r="B246" s="622"/>
      <c r="C246" s="622"/>
      <c r="D246" s="622"/>
      <c r="E246" s="622"/>
      <c r="F246" s="623"/>
      <c r="G246" s="623"/>
      <c r="H246" s="622"/>
      <c r="I246" s="600"/>
      <c r="J246" s="600"/>
      <c r="K246" s="599"/>
      <c r="L246" s="599"/>
      <c r="M246" s="599"/>
      <c r="N246" s="599"/>
      <c r="O246" s="596"/>
      <c r="P246" s="596"/>
      <c r="Q246" s="596"/>
      <c r="R246" s="599"/>
      <c r="S246" s="599"/>
      <c r="T246" s="599"/>
      <c r="U246" s="599"/>
      <c r="V246" s="603"/>
      <c r="W246" s="599"/>
      <c r="X246" s="596"/>
      <c r="Y246" s="596"/>
      <c r="Z246" s="596"/>
    </row>
    <row r="247" ht="21.0" customHeight="1">
      <c r="A247" s="596"/>
      <c r="B247" s="622"/>
      <c r="C247" s="622"/>
      <c r="D247" s="622"/>
      <c r="E247" s="622"/>
      <c r="F247" s="623"/>
      <c r="G247" s="623"/>
      <c r="H247" s="622"/>
      <c r="I247" s="600"/>
      <c r="J247" s="600"/>
      <c r="K247" s="599"/>
      <c r="L247" s="599"/>
      <c r="M247" s="599"/>
      <c r="N247" s="599"/>
      <c r="O247" s="596"/>
      <c r="P247" s="596"/>
      <c r="Q247" s="596"/>
      <c r="R247" s="599"/>
      <c r="S247" s="599"/>
      <c r="T247" s="599"/>
      <c r="U247" s="599"/>
      <c r="V247" s="603"/>
      <c r="W247" s="599"/>
      <c r="X247" s="596"/>
      <c r="Y247" s="596"/>
      <c r="Z247" s="596"/>
    </row>
    <row r="248" ht="21.0" customHeight="1">
      <c r="A248" s="596"/>
      <c r="B248" s="622"/>
      <c r="C248" s="622"/>
      <c r="D248" s="622"/>
      <c r="E248" s="622"/>
      <c r="F248" s="623"/>
      <c r="G248" s="623"/>
      <c r="H248" s="622"/>
      <c r="I248" s="600"/>
      <c r="J248" s="600"/>
      <c r="K248" s="599"/>
      <c r="L248" s="599"/>
      <c r="M248" s="599"/>
      <c r="N248" s="599"/>
      <c r="O248" s="596"/>
      <c r="P248" s="596"/>
      <c r="Q248" s="596"/>
      <c r="R248" s="599"/>
      <c r="S248" s="599"/>
      <c r="T248" s="599"/>
      <c r="U248" s="599"/>
      <c r="V248" s="603"/>
      <c r="W248" s="599"/>
      <c r="X248" s="596"/>
      <c r="Y248" s="596"/>
      <c r="Z248" s="596"/>
    </row>
    <row r="249" ht="21.0" customHeight="1">
      <c r="A249" s="596"/>
      <c r="B249" s="622"/>
      <c r="C249" s="622"/>
      <c r="D249" s="622"/>
      <c r="E249" s="622"/>
      <c r="F249" s="623"/>
      <c r="G249" s="623"/>
      <c r="H249" s="622"/>
      <c r="I249" s="600"/>
      <c r="J249" s="600"/>
      <c r="K249" s="599"/>
      <c r="L249" s="599"/>
      <c r="M249" s="599"/>
      <c r="N249" s="599"/>
      <c r="O249" s="596"/>
      <c r="P249" s="596"/>
      <c r="Q249" s="596"/>
      <c r="R249" s="599"/>
      <c r="S249" s="599"/>
      <c r="T249" s="599"/>
      <c r="U249" s="599"/>
      <c r="V249" s="603"/>
      <c r="W249" s="599"/>
      <c r="X249" s="596"/>
      <c r="Y249" s="596"/>
      <c r="Z249" s="596"/>
    </row>
    <row r="250" ht="21.0" customHeight="1">
      <c r="A250" s="596"/>
      <c r="B250" s="622"/>
      <c r="C250" s="622"/>
      <c r="D250" s="622"/>
      <c r="E250" s="622"/>
      <c r="F250" s="623"/>
      <c r="G250" s="623"/>
      <c r="H250" s="622"/>
      <c r="I250" s="600"/>
      <c r="J250" s="600"/>
      <c r="K250" s="599"/>
      <c r="L250" s="599"/>
      <c r="M250" s="599"/>
      <c r="N250" s="599"/>
      <c r="O250" s="596"/>
      <c r="P250" s="596"/>
      <c r="Q250" s="596"/>
      <c r="R250" s="599"/>
      <c r="S250" s="599"/>
      <c r="T250" s="599"/>
      <c r="U250" s="599"/>
      <c r="V250" s="603"/>
      <c r="W250" s="599"/>
      <c r="X250" s="596"/>
      <c r="Y250" s="596"/>
      <c r="Z250" s="596"/>
    </row>
    <row r="251" ht="21.0" customHeight="1">
      <c r="A251" s="596"/>
      <c r="B251" s="622"/>
      <c r="C251" s="622"/>
      <c r="D251" s="622"/>
      <c r="E251" s="622"/>
      <c r="F251" s="623"/>
      <c r="G251" s="623"/>
      <c r="H251" s="622"/>
      <c r="I251" s="600"/>
      <c r="J251" s="600"/>
      <c r="K251" s="599"/>
      <c r="L251" s="599"/>
      <c r="M251" s="599"/>
      <c r="N251" s="599"/>
      <c r="O251" s="596"/>
      <c r="P251" s="596"/>
      <c r="Q251" s="596"/>
      <c r="R251" s="599"/>
      <c r="S251" s="599"/>
      <c r="T251" s="599"/>
      <c r="U251" s="599"/>
      <c r="V251" s="603"/>
      <c r="W251" s="599"/>
      <c r="X251" s="596"/>
      <c r="Y251" s="596"/>
      <c r="Z251" s="596"/>
    </row>
    <row r="252" ht="21.0" customHeight="1">
      <c r="A252" s="596"/>
      <c r="B252" s="622"/>
      <c r="C252" s="622"/>
      <c r="D252" s="622"/>
      <c r="E252" s="622"/>
      <c r="F252" s="623"/>
      <c r="G252" s="623"/>
      <c r="H252" s="622"/>
      <c r="I252" s="600"/>
      <c r="J252" s="600"/>
      <c r="K252" s="599"/>
      <c r="L252" s="599"/>
      <c r="M252" s="599"/>
      <c r="N252" s="599"/>
      <c r="O252" s="596"/>
      <c r="P252" s="596"/>
      <c r="Q252" s="596"/>
      <c r="R252" s="599"/>
      <c r="S252" s="599"/>
      <c r="T252" s="599"/>
      <c r="U252" s="599"/>
      <c r="V252" s="603"/>
      <c r="W252" s="599"/>
      <c r="X252" s="596"/>
      <c r="Y252" s="596"/>
      <c r="Z252" s="596"/>
    </row>
    <row r="253" ht="21.0" customHeight="1">
      <c r="A253" s="596"/>
      <c r="B253" s="624"/>
      <c r="C253" s="624"/>
      <c r="D253" s="624"/>
      <c r="E253" s="624"/>
      <c r="F253" s="625"/>
      <c r="G253" s="625"/>
      <c r="H253" s="624"/>
      <c r="I253" s="626"/>
      <c r="J253" s="626"/>
      <c r="K253" s="599"/>
      <c r="L253" s="599"/>
      <c r="M253" s="599"/>
      <c r="N253" s="599"/>
      <c r="O253" s="596"/>
      <c r="P253" s="596"/>
      <c r="Q253" s="596"/>
      <c r="R253" s="599"/>
      <c r="S253" s="599"/>
      <c r="T253" s="599"/>
      <c r="U253" s="599"/>
      <c r="V253" s="603"/>
      <c r="W253" s="599"/>
      <c r="X253" s="596"/>
      <c r="Y253" s="596"/>
      <c r="Z253" s="596"/>
    </row>
    <row r="254" ht="21.0" customHeight="1">
      <c r="A254" s="596"/>
      <c r="B254" s="624"/>
      <c r="C254" s="624"/>
      <c r="D254" s="624"/>
      <c r="E254" s="624"/>
      <c r="F254" s="625"/>
      <c r="G254" s="625"/>
      <c r="H254" s="624"/>
      <c r="I254" s="626"/>
      <c r="J254" s="626"/>
      <c r="K254" s="599"/>
      <c r="L254" s="599"/>
      <c r="M254" s="599"/>
      <c r="N254" s="599"/>
      <c r="O254" s="596"/>
      <c r="P254" s="596"/>
      <c r="Q254" s="596"/>
      <c r="R254" s="599"/>
      <c r="S254" s="599"/>
      <c r="T254" s="599"/>
      <c r="U254" s="599"/>
      <c r="V254" s="599"/>
      <c r="W254" s="599"/>
      <c r="X254" s="596"/>
      <c r="Y254" s="596"/>
      <c r="Z254" s="596"/>
    </row>
    <row r="255" ht="21.0" customHeight="1">
      <c r="A255" s="596"/>
      <c r="B255" s="624"/>
      <c r="C255" s="624"/>
      <c r="D255" s="624"/>
      <c r="E255" s="624"/>
      <c r="F255" s="625"/>
      <c r="G255" s="625"/>
      <c r="H255" s="624"/>
      <c r="I255" s="626"/>
      <c r="J255" s="626"/>
      <c r="K255" s="599"/>
      <c r="L255" s="599"/>
      <c r="M255" s="599"/>
      <c r="N255" s="599"/>
      <c r="O255" s="596"/>
      <c r="P255" s="596"/>
      <c r="Q255" s="596"/>
      <c r="R255" s="599"/>
      <c r="S255" s="599"/>
      <c r="T255" s="599"/>
      <c r="U255" s="599"/>
      <c r="V255" s="599"/>
      <c r="W255" s="599"/>
      <c r="X255" s="596"/>
      <c r="Y255" s="596"/>
      <c r="Z255" s="596"/>
    </row>
    <row r="256" ht="21.0" customHeight="1">
      <c r="A256" s="596"/>
      <c r="B256" s="624"/>
      <c r="C256" s="624"/>
      <c r="D256" s="624"/>
      <c r="E256" s="624"/>
      <c r="F256" s="625"/>
      <c r="G256" s="625"/>
      <c r="H256" s="624"/>
      <c r="I256" s="626"/>
      <c r="J256" s="626"/>
      <c r="K256" s="599"/>
      <c r="L256" s="599"/>
      <c r="M256" s="599"/>
      <c r="N256" s="599"/>
      <c r="O256" s="596"/>
      <c r="P256" s="596"/>
      <c r="Q256" s="596"/>
      <c r="R256" s="599"/>
      <c r="S256" s="599"/>
      <c r="T256" s="599"/>
      <c r="U256" s="599"/>
      <c r="V256" s="599"/>
      <c r="W256" s="599"/>
      <c r="X256" s="596"/>
      <c r="Y256" s="596"/>
      <c r="Z256" s="596"/>
    </row>
    <row r="257" ht="21.0" customHeight="1">
      <c r="A257" s="596"/>
      <c r="B257" s="624"/>
      <c r="C257" s="624"/>
      <c r="D257" s="624"/>
      <c r="E257" s="624"/>
      <c r="F257" s="625"/>
      <c r="G257" s="625"/>
      <c r="H257" s="624"/>
      <c r="I257" s="626"/>
      <c r="J257" s="626"/>
      <c r="K257" s="599"/>
      <c r="L257" s="599"/>
      <c r="M257" s="599"/>
      <c r="N257" s="599"/>
      <c r="O257" s="596"/>
      <c r="P257" s="596"/>
      <c r="Q257" s="596"/>
      <c r="R257" s="599"/>
      <c r="S257" s="599"/>
      <c r="T257" s="599"/>
      <c r="U257" s="599"/>
      <c r="V257" s="599"/>
      <c r="W257" s="599"/>
      <c r="X257" s="596"/>
      <c r="Y257" s="596"/>
      <c r="Z257" s="596"/>
    </row>
    <row r="258" ht="21.0" customHeight="1">
      <c r="A258" s="596"/>
      <c r="B258" s="627"/>
      <c r="C258" s="627"/>
      <c r="D258" s="627"/>
      <c r="E258" s="627"/>
      <c r="F258" s="628"/>
      <c r="G258" s="628"/>
      <c r="H258" s="627"/>
      <c r="I258" s="629"/>
      <c r="J258" s="629"/>
      <c r="K258" s="599"/>
      <c r="L258" s="599"/>
      <c r="M258" s="599"/>
      <c r="N258" s="599"/>
      <c r="O258" s="596"/>
      <c r="P258" s="596"/>
      <c r="Q258" s="596"/>
      <c r="R258" s="599"/>
      <c r="S258" s="599"/>
      <c r="T258" s="599"/>
      <c r="U258" s="599"/>
      <c r="V258" s="599"/>
      <c r="W258" s="599"/>
      <c r="X258" s="596"/>
      <c r="Y258" s="596"/>
      <c r="Z258" s="596"/>
    </row>
    <row r="259" ht="21.0" customHeight="1">
      <c r="A259" s="596"/>
      <c r="B259" s="627"/>
      <c r="C259" s="627"/>
      <c r="D259" s="627"/>
      <c r="E259" s="627"/>
      <c r="F259" s="628"/>
      <c r="G259" s="628"/>
      <c r="H259" s="627"/>
      <c r="I259" s="629"/>
      <c r="J259" s="629"/>
      <c r="K259" s="599"/>
      <c r="L259" s="599"/>
      <c r="M259" s="599"/>
      <c r="N259" s="599"/>
      <c r="O259" s="596"/>
      <c r="P259" s="596"/>
      <c r="Q259" s="596"/>
      <c r="R259" s="599"/>
      <c r="S259" s="599"/>
      <c r="T259" s="599"/>
      <c r="U259" s="599"/>
      <c r="V259" s="599"/>
      <c r="W259" s="599"/>
      <c r="X259" s="596"/>
      <c r="Y259" s="596"/>
      <c r="Z259" s="596"/>
    </row>
    <row r="260" ht="21.0" customHeight="1">
      <c r="A260" s="596"/>
      <c r="B260" s="627"/>
      <c r="C260" s="627"/>
      <c r="D260" s="627"/>
      <c r="E260" s="627"/>
      <c r="F260" s="628"/>
      <c r="G260" s="628"/>
      <c r="H260" s="627"/>
      <c r="I260" s="629"/>
      <c r="J260" s="629"/>
      <c r="K260" s="599"/>
      <c r="L260" s="599"/>
      <c r="M260" s="599"/>
      <c r="N260" s="599"/>
      <c r="O260" s="596"/>
      <c r="P260" s="596"/>
      <c r="Q260" s="596"/>
      <c r="R260" s="599"/>
      <c r="S260" s="599"/>
      <c r="T260" s="599"/>
      <c r="U260" s="599"/>
      <c r="V260" s="599"/>
      <c r="W260" s="599"/>
      <c r="X260" s="596"/>
      <c r="Y260" s="596"/>
      <c r="Z260" s="596"/>
    </row>
    <row r="261" ht="21.0" customHeight="1">
      <c r="A261" s="596"/>
      <c r="B261" s="627"/>
      <c r="C261" s="627"/>
      <c r="D261" s="627"/>
      <c r="E261" s="627"/>
      <c r="F261" s="628"/>
      <c r="G261" s="628"/>
      <c r="H261" s="627"/>
      <c r="I261" s="629"/>
      <c r="J261" s="629"/>
      <c r="K261" s="599"/>
      <c r="L261" s="599"/>
      <c r="M261" s="599"/>
      <c r="N261" s="599"/>
      <c r="O261" s="596"/>
      <c r="P261" s="596"/>
      <c r="Q261" s="596"/>
      <c r="R261" s="599"/>
      <c r="S261" s="599"/>
      <c r="T261" s="599"/>
      <c r="U261" s="599"/>
      <c r="V261" s="599"/>
      <c r="W261" s="599"/>
      <c r="X261" s="596"/>
      <c r="Y261" s="596"/>
      <c r="Z261" s="596"/>
    </row>
    <row r="262" ht="21.0" customHeight="1">
      <c r="A262" s="596"/>
      <c r="B262" s="627"/>
      <c r="C262" s="627"/>
      <c r="D262" s="627"/>
      <c r="E262" s="627"/>
      <c r="F262" s="628"/>
      <c r="G262" s="628"/>
      <c r="H262" s="627"/>
      <c r="I262" s="629"/>
      <c r="J262" s="629"/>
      <c r="K262" s="599"/>
      <c r="L262" s="599"/>
      <c r="M262" s="599"/>
      <c r="N262" s="599"/>
      <c r="O262" s="596"/>
      <c r="P262" s="596"/>
      <c r="Q262" s="596"/>
      <c r="R262" s="599"/>
      <c r="S262" s="599"/>
      <c r="T262" s="599"/>
      <c r="U262" s="599"/>
      <c r="V262" s="599"/>
      <c r="W262" s="599"/>
      <c r="X262" s="596"/>
      <c r="Y262" s="596"/>
      <c r="Z262" s="596"/>
    </row>
    <row r="263" ht="21.0" customHeight="1">
      <c r="A263" s="596"/>
      <c r="B263" s="627"/>
      <c r="C263" s="627"/>
      <c r="D263" s="627"/>
      <c r="E263" s="627"/>
      <c r="F263" s="628"/>
      <c r="G263" s="628"/>
      <c r="H263" s="627"/>
      <c r="I263" s="629"/>
      <c r="J263" s="629"/>
      <c r="K263" s="599"/>
      <c r="L263" s="599"/>
      <c r="M263" s="599"/>
      <c r="N263" s="599"/>
      <c r="O263" s="596"/>
      <c r="P263" s="596"/>
      <c r="Q263" s="596"/>
      <c r="R263" s="599"/>
      <c r="S263" s="599"/>
      <c r="T263" s="599"/>
      <c r="U263" s="599"/>
      <c r="V263" s="599"/>
      <c r="W263" s="599"/>
      <c r="X263" s="596"/>
      <c r="Y263" s="596"/>
      <c r="Z263" s="596"/>
    </row>
    <row r="264" ht="21.0" customHeight="1">
      <c r="A264" s="596"/>
      <c r="B264" s="627"/>
      <c r="C264" s="627"/>
      <c r="D264" s="627"/>
      <c r="E264" s="627"/>
      <c r="F264" s="628"/>
      <c r="G264" s="628"/>
      <c r="H264" s="627"/>
      <c r="I264" s="629"/>
      <c r="J264" s="629"/>
      <c r="K264" s="599"/>
      <c r="L264" s="599"/>
      <c r="M264" s="599"/>
      <c r="N264" s="599"/>
      <c r="O264" s="596"/>
      <c r="P264" s="596"/>
      <c r="Q264" s="596"/>
      <c r="R264" s="599"/>
      <c r="S264" s="599"/>
      <c r="T264" s="599"/>
      <c r="U264" s="599"/>
      <c r="V264" s="599"/>
      <c r="W264" s="599"/>
      <c r="X264" s="596"/>
      <c r="Y264" s="596"/>
      <c r="Z264" s="596"/>
    </row>
    <row r="265" ht="21.0" customHeight="1">
      <c r="A265" s="596"/>
      <c r="B265" s="627"/>
      <c r="C265" s="627"/>
      <c r="D265" s="627"/>
      <c r="E265" s="627"/>
      <c r="F265" s="628"/>
      <c r="G265" s="628"/>
      <c r="H265" s="627"/>
      <c r="I265" s="629"/>
      <c r="J265" s="629"/>
      <c r="K265" s="599"/>
      <c r="L265" s="599"/>
      <c r="M265" s="599"/>
      <c r="N265" s="599"/>
      <c r="O265" s="596"/>
      <c r="P265" s="596"/>
      <c r="Q265" s="596"/>
      <c r="R265" s="599"/>
      <c r="S265" s="599"/>
      <c r="T265" s="599"/>
      <c r="U265" s="599"/>
      <c r="V265" s="599"/>
      <c r="W265" s="599"/>
      <c r="X265" s="596"/>
      <c r="Y265" s="596"/>
      <c r="Z265" s="596"/>
    </row>
    <row r="266" ht="21.0" customHeight="1">
      <c r="A266" s="596"/>
      <c r="B266" s="627"/>
      <c r="C266" s="627"/>
      <c r="D266" s="627"/>
      <c r="E266" s="627"/>
      <c r="F266" s="628"/>
      <c r="G266" s="628"/>
      <c r="H266" s="627"/>
      <c r="I266" s="629"/>
      <c r="J266" s="629"/>
      <c r="K266" s="599"/>
      <c r="L266" s="599"/>
      <c r="M266" s="599"/>
      <c r="N266" s="599"/>
      <c r="O266" s="596"/>
      <c r="P266" s="596"/>
      <c r="Q266" s="596"/>
      <c r="R266" s="599"/>
      <c r="S266" s="599"/>
      <c r="T266" s="599"/>
      <c r="U266" s="599"/>
      <c r="V266" s="599"/>
      <c r="W266" s="599"/>
      <c r="X266" s="596"/>
      <c r="Y266" s="596"/>
      <c r="Z266" s="596"/>
    </row>
    <row r="267" ht="21.0" customHeight="1">
      <c r="A267" s="596"/>
      <c r="B267" s="627"/>
      <c r="C267" s="627"/>
      <c r="D267" s="627"/>
      <c r="E267" s="627"/>
      <c r="F267" s="628"/>
      <c r="G267" s="628"/>
      <c r="H267" s="627"/>
      <c r="I267" s="629"/>
      <c r="J267" s="629"/>
      <c r="K267" s="599"/>
      <c r="L267" s="599"/>
      <c r="M267" s="599"/>
      <c r="N267" s="599"/>
      <c r="O267" s="596"/>
      <c r="P267" s="596"/>
      <c r="Q267" s="596"/>
      <c r="R267" s="599"/>
      <c r="S267" s="599"/>
      <c r="T267" s="599"/>
      <c r="U267" s="599"/>
      <c r="V267" s="599"/>
      <c r="W267" s="599"/>
      <c r="X267" s="596"/>
      <c r="Y267" s="596"/>
      <c r="Z267" s="596"/>
    </row>
    <row r="268" ht="21.0" customHeight="1">
      <c r="A268" s="596"/>
      <c r="B268" s="627"/>
      <c r="C268" s="627"/>
      <c r="D268" s="627"/>
      <c r="E268" s="627"/>
      <c r="F268" s="628"/>
      <c r="G268" s="628"/>
      <c r="H268" s="627"/>
      <c r="I268" s="629"/>
      <c r="J268" s="629"/>
      <c r="K268" s="599"/>
      <c r="L268" s="599"/>
      <c r="M268" s="599"/>
      <c r="N268" s="599"/>
      <c r="O268" s="596"/>
      <c r="P268" s="596"/>
      <c r="Q268" s="596"/>
      <c r="R268" s="599"/>
      <c r="S268" s="599"/>
      <c r="T268" s="599"/>
      <c r="U268" s="599"/>
      <c r="V268" s="599"/>
      <c r="W268" s="599"/>
      <c r="X268" s="596"/>
      <c r="Y268" s="596"/>
      <c r="Z268" s="596"/>
    </row>
    <row r="269" ht="21.0" customHeight="1">
      <c r="A269" s="596"/>
      <c r="B269" s="627"/>
      <c r="C269" s="627"/>
      <c r="D269" s="627"/>
      <c r="E269" s="627"/>
      <c r="F269" s="628"/>
      <c r="G269" s="628"/>
      <c r="H269" s="627"/>
      <c r="I269" s="629"/>
      <c r="J269" s="629"/>
      <c r="K269" s="599"/>
      <c r="L269" s="599"/>
      <c r="M269" s="599"/>
      <c r="N269" s="599"/>
      <c r="O269" s="596"/>
      <c r="P269" s="596"/>
      <c r="Q269" s="596"/>
      <c r="R269" s="599"/>
      <c r="S269" s="599"/>
      <c r="T269" s="599"/>
      <c r="U269" s="599"/>
      <c r="V269" s="599"/>
      <c r="W269" s="599"/>
      <c r="X269" s="596"/>
      <c r="Y269" s="596"/>
      <c r="Z269" s="596"/>
    </row>
    <row r="270" ht="21.0" customHeight="1">
      <c r="A270" s="596"/>
      <c r="B270" s="627"/>
      <c r="C270" s="627"/>
      <c r="D270" s="627"/>
      <c r="E270" s="627"/>
      <c r="F270" s="628"/>
      <c r="G270" s="628"/>
      <c r="H270" s="627"/>
      <c r="I270" s="629"/>
      <c r="J270" s="629"/>
      <c r="K270" s="599"/>
      <c r="L270" s="599"/>
      <c r="M270" s="599"/>
      <c r="N270" s="599"/>
      <c r="O270" s="596"/>
      <c r="P270" s="596"/>
      <c r="Q270" s="596"/>
      <c r="R270" s="599"/>
      <c r="S270" s="599"/>
      <c r="T270" s="599"/>
      <c r="U270" s="599"/>
      <c r="V270" s="599"/>
      <c r="W270" s="599"/>
      <c r="X270" s="596"/>
      <c r="Y270" s="596"/>
      <c r="Z270" s="596"/>
    </row>
    <row r="271" ht="21.0" customHeight="1">
      <c r="A271" s="596"/>
      <c r="B271" s="627"/>
      <c r="C271" s="627"/>
      <c r="D271" s="627"/>
      <c r="E271" s="627"/>
      <c r="F271" s="628"/>
      <c r="G271" s="628"/>
      <c r="H271" s="627"/>
      <c r="I271" s="629"/>
      <c r="J271" s="629"/>
      <c r="K271" s="599"/>
      <c r="L271" s="599"/>
      <c r="M271" s="599"/>
      <c r="N271" s="599"/>
      <c r="O271" s="596"/>
      <c r="P271" s="596"/>
      <c r="Q271" s="596"/>
      <c r="R271" s="599"/>
      <c r="S271" s="599"/>
      <c r="T271" s="599"/>
      <c r="U271" s="599"/>
      <c r="V271" s="599"/>
      <c r="W271" s="599"/>
      <c r="X271" s="596"/>
      <c r="Y271" s="596"/>
      <c r="Z271" s="596"/>
    </row>
    <row r="272" ht="21.0" customHeight="1">
      <c r="A272" s="596"/>
      <c r="B272" s="627"/>
      <c r="C272" s="627"/>
      <c r="D272" s="627"/>
      <c r="E272" s="627"/>
      <c r="F272" s="628"/>
      <c r="G272" s="628"/>
      <c r="H272" s="627"/>
      <c r="I272" s="629"/>
      <c r="J272" s="629"/>
      <c r="K272" s="599"/>
      <c r="L272" s="599"/>
      <c r="M272" s="599"/>
      <c r="N272" s="599"/>
      <c r="O272" s="596"/>
      <c r="P272" s="596"/>
      <c r="Q272" s="596"/>
      <c r="R272" s="599"/>
      <c r="S272" s="599"/>
      <c r="T272" s="599"/>
      <c r="U272" s="599"/>
      <c r="V272" s="599"/>
      <c r="W272" s="599"/>
      <c r="X272" s="596"/>
      <c r="Y272" s="596"/>
      <c r="Z272" s="596"/>
    </row>
    <row r="273" ht="21.0" customHeight="1">
      <c r="A273" s="596"/>
      <c r="B273" s="627"/>
      <c r="C273" s="627"/>
      <c r="D273" s="627"/>
      <c r="E273" s="627"/>
      <c r="F273" s="628"/>
      <c r="G273" s="628"/>
      <c r="H273" s="627"/>
      <c r="I273" s="629"/>
      <c r="J273" s="629"/>
      <c r="K273" s="599"/>
      <c r="L273" s="599"/>
      <c r="M273" s="599"/>
      <c r="N273" s="599"/>
      <c r="O273" s="596"/>
      <c r="P273" s="596"/>
      <c r="Q273" s="596"/>
      <c r="R273" s="599"/>
      <c r="S273" s="599"/>
      <c r="T273" s="599"/>
      <c r="U273" s="599"/>
      <c r="V273" s="599"/>
      <c r="W273" s="599"/>
      <c r="X273" s="596"/>
      <c r="Y273" s="596"/>
      <c r="Z273" s="596"/>
    </row>
    <row r="274" ht="21.0" customHeight="1">
      <c r="A274" s="596"/>
      <c r="B274" s="627"/>
      <c r="C274" s="627"/>
      <c r="D274" s="627"/>
      <c r="E274" s="627"/>
      <c r="F274" s="628"/>
      <c r="G274" s="628"/>
      <c r="H274" s="627"/>
      <c r="I274" s="629"/>
      <c r="J274" s="629"/>
      <c r="K274" s="599"/>
      <c r="L274" s="599"/>
      <c r="M274" s="599"/>
      <c r="N274" s="599"/>
      <c r="O274" s="596"/>
      <c r="P274" s="596"/>
      <c r="Q274" s="596"/>
      <c r="R274" s="599"/>
      <c r="S274" s="599"/>
      <c r="T274" s="599"/>
      <c r="U274" s="599"/>
      <c r="V274" s="599"/>
      <c r="W274" s="599"/>
      <c r="X274" s="596"/>
      <c r="Y274" s="596"/>
      <c r="Z274" s="596"/>
    </row>
    <row r="275" ht="21.0" customHeight="1">
      <c r="A275" s="596"/>
      <c r="B275" s="627"/>
      <c r="C275" s="627"/>
      <c r="D275" s="627"/>
      <c r="E275" s="627"/>
      <c r="F275" s="628"/>
      <c r="G275" s="628"/>
      <c r="H275" s="627"/>
      <c r="I275" s="629"/>
      <c r="J275" s="629"/>
      <c r="K275" s="599"/>
      <c r="L275" s="599"/>
      <c r="M275" s="599"/>
      <c r="N275" s="599"/>
      <c r="O275" s="596"/>
      <c r="P275" s="596"/>
      <c r="Q275" s="596"/>
      <c r="R275" s="599"/>
      <c r="S275" s="599"/>
      <c r="T275" s="599"/>
      <c r="U275" s="599"/>
      <c r="V275" s="599"/>
      <c r="W275" s="599"/>
      <c r="X275" s="596"/>
      <c r="Y275" s="596"/>
      <c r="Z275" s="596"/>
    </row>
    <row r="276" ht="21.0" customHeight="1">
      <c r="A276" s="596"/>
      <c r="B276" s="627"/>
      <c r="C276" s="627"/>
      <c r="D276" s="627"/>
      <c r="E276" s="627"/>
      <c r="F276" s="628"/>
      <c r="G276" s="628"/>
      <c r="H276" s="627"/>
      <c r="I276" s="629"/>
      <c r="J276" s="629"/>
      <c r="K276" s="599"/>
      <c r="L276" s="599"/>
      <c r="M276" s="599"/>
      <c r="N276" s="599"/>
      <c r="O276" s="596"/>
      <c r="P276" s="596"/>
      <c r="Q276" s="596"/>
      <c r="R276" s="599"/>
      <c r="S276" s="599"/>
      <c r="T276" s="599"/>
      <c r="U276" s="599"/>
      <c r="V276" s="599"/>
      <c r="W276" s="599"/>
      <c r="X276" s="596"/>
      <c r="Y276" s="596"/>
      <c r="Z276" s="596"/>
    </row>
    <row r="277" ht="21.0" customHeight="1">
      <c r="A277" s="596"/>
      <c r="B277" s="627"/>
      <c r="C277" s="627"/>
      <c r="D277" s="627"/>
      <c r="E277" s="627"/>
      <c r="F277" s="628"/>
      <c r="G277" s="628"/>
      <c r="H277" s="627"/>
      <c r="I277" s="629"/>
      <c r="J277" s="629"/>
      <c r="K277" s="599"/>
      <c r="L277" s="599"/>
      <c r="M277" s="599"/>
      <c r="N277" s="599"/>
      <c r="O277" s="596"/>
      <c r="P277" s="596"/>
      <c r="Q277" s="596"/>
      <c r="R277" s="599"/>
      <c r="S277" s="599"/>
      <c r="T277" s="599"/>
      <c r="U277" s="599"/>
      <c r="V277" s="599"/>
      <c r="W277" s="599"/>
      <c r="X277" s="596"/>
      <c r="Y277" s="596"/>
      <c r="Z277" s="596"/>
    </row>
    <row r="278" ht="21.0" customHeight="1">
      <c r="A278" s="596"/>
      <c r="B278" s="627"/>
      <c r="C278" s="627"/>
      <c r="D278" s="627"/>
      <c r="E278" s="627"/>
      <c r="F278" s="628"/>
      <c r="G278" s="628"/>
      <c r="H278" s="627"/>
      <c r="I278" s="629"/>
      <c r="J278" s="629"/>
      <c r="K278" s="599"/>
      <c r="L278" s="599"/>
      <c r="M278" s="599"/>
      <c r="N278" s="599"/>
      <c r="O278" s="596"/>
      <c r="P278" s="596"/>
      <c r="Q278" s="596"/>
      <c r="R278" s="599"/>
      <c r="S278" s="599"/>
      <c r="T278" s="599"/>
      <c r="U278" s="599"/>
      <c r="V278" s="599"/>
      <c r="W278" s="599"/>
      <c r="X278" s="596"/>
      <c r="Y278" s="596"/>
      <c r="Z278" s="596"/>
    </row>
    <row r="279" ht="21.0" customHeight="1">
      <c r="A279" s="596"/>
      <c r="B279" s="627"/>
      <c r="C279" s="627"/>
      <c r="D279" s="627"/>
      <c r="E279" s="627"/>
      <c r="F279" s="628"/>
      <c r="G279" s="628"/>
      <c r="H279" s="627"/>
      <c r="I279" s="629"/>
      <c r="J279" s="629"/>
      <c r="K279" s="599"/>
      <c r="L279" s="599"/>
      <c r="M279" s="599"/>
      <c r="N279" s="599"/>
      <c r="O279" s="596"/>
      <c r="P279" s="596"/>
      <c r="Q279" s="596"/>
      <c r="R279" s="599"/>
      <c r="S279" s="599"/>
      <c r="T279" s="599"/>
      <c r="U279" s="599"/>
      <c r="V279" s="599"/>
      <c r="W279" s="599"/>
      <c r="X279" s="596"/>
      <c r="Y279" s="596"/>
      <c r="Z279" s="596"/>
    </row>
    <row r="280" ht="21.0" customHeight="1">
      <c r="A280" s="596"/>
      <c r="B280" s="627"/>
      <c r="C280" s="627"/>
      <c r="D280" s="627"/>
      <c r="E280" s="627"/>
      <c r="F280" s="628"/>
      <c r="G280" s="628"/>
      <c r="H280" s="627"/>
      <c r="I280" s="629"/>
      <c r="J280" s="629"/>
      <c r="K280" s="599"/>
      <c r="L280" s="599"/>
      <c r="M280" s="599"/>
      <c r="N280" s="599"/>
      <c r="O280" s="596"/>
      <c r="P280" s="596"/>
      <c r="Q280" s="596"/>
      <c r="R280" s="599"/>
      <c r="S280" s="599"/>
      <c r="T280" s="599"/>
      <c r="U280" s="599"/>
      <c r="V280" s="599"/>
      <c r="W280" s="599"/>
      <c r="X280" s="596"/>
      <c r="Y280" s="596"/>
      <c r="Z280" s="596"/>
    </row>
    <row r="281" ht="21.0" customHeight="1">
      <c r="A281" s="596"/>
      <c r="B281" s="627"/>
      <c r="C281" s="627"/>
      <c r="D281" s="627"/>
      <c r="E281" s="627"/>
      <c r="F281" s="628"/>
      <c r="G281" s="628"/>
      <c r="H281" s="627"/>
      <c r="I281" s="629"/>
      <c r="J281" s="629"/>
      <c r="K281" s="599"/>
      <c r="L281" s="599"/>
      <c r="M281" s="599"/>
      <c r="N281" s="599"/>
      <c r="O281" s="596"/>
      <c r="P281" s="596"/>
      <c r="Q281" s="596"/>
      <c r="R281" s="599"/>
      <c r="S281" s="599"/>
      <c r="T281" s="599"/>
      <c r="U281" s="599"/>
      <c r="V281" s="599"/>
      <c r="W281" s="599"/>
      <c r="X281" s="596"/>
      <c r="Y281" s="596"/>
      <c r="Z281" s="596"/>
    </row>
    <row r="282" ht="21.0" customHeight="1">
      <c r="A282" s="596"/>
      <c r="B282" s="627"/>
      <c r="C282" s="627"/>
      <c r="D282" s="627"/>
      <c r="E282" s="627"/>
      <c r="F282" s="628"/>
      <c r="G282" s="628"/>
      <c r="H282" s="627"/>
      <c r="I282" s="629"/>
      <c r="J282" s="629"/>
      <c r="K282" s="599"/>
      <c r="L282" s="599"/>
      <c r="M282" s="599"/>
      <c r="N282" s="599"/>
      <c r="O282" s="596"/>
      <c r="P282" s="596"/>
      <c r="Q282" s="596"/>
      <c r="R282" s="599"/>
      <c r="S282" s="599"/>
      <c r="T282" s="599"/>
      <c r="U282" s="599"/>
      <c r="V282" s="599"/>
      <c r="W282" s="599"/>
      <c r="X282" s="596"/>
      <c r="Y282" s="596"/>
      <c r="Z282" s="596"/>
    </row>
    <row r="283" ht="21.0" customHeight="1">
      <c r="A283" s="596"/>
      <c r="B283" s="627"/>
      <c r="C283" s="627"/>
      <c r="D283" s="627"/>
      <c r="E283" s="627"/>
      <c r="F283" s="628"/>
      <c r="G283" s="628"/>
      <c r="H283" s="627"/>
      <c r="I283" s="629"/>
      <c r="J283" s="629"/>
      <c r="K283" s="599"/>
      <c r="L283" s="599"/>
      <c r="M283" s="599"/>
      <c r="N283" s="599"/>
      <c r="O283" s="596"/>
      <c r="P283" s="596"/>
      <c r="Q283" s="596"/>
      <c r="R283" s="599"/>
      <c r="S283" s="599"/>
      <c r="T283" s="599"/>
      <c r="U283" s="599"/>
      <c r="V283" s="599"/>
      <c r="W283" s="599"/>
      <c r="X283" s="596"/>
      <c r="Y283" s="596"/>
      <c r="Z283" s="596"/>
    </row>
    <row r="284" ht="21.0" customHeight="1">
      <c r="A284" s="596"/>
      <c r="B284" s="627"/>
      <c r="C284" s="627"/>
      <c r="D284" s="627"/>
      <c r="E284" s="627"/>
      <c r="F284" s="628"/>
      <c r="G284" s="628"/>
      <c r="H284" s="627"/>
      <c r="I284" s="629"/>
      <c r="J284" s="629"/>
      <c r="K284" s="599"/>
      <c r="L284" s="599"/>
      <c r="M284" s="599"/>
      <c r="N284" s="599"/>
      <c r="O284" s="596"/>
      <c r="P284" s="596"/>
      <c r="Q284" s="596"/>
      <c r="R284" s="599"/>
      <c r="S284" s="599"/>
      <c r="T284" s="599"/>
      <c r="U284" s="599"/>
      <c r="V284" s="599"/>
      <c r="W284" s="599"/>
      <c r="X284" s="596"/>
      <c r="Y284" s="596"/>
      <c r="Z284" s="596"/>
    </row>
    <row r="285" ht="21.0" customHeight="1">
      <c r="A285" s="596"/>
      <c r="B285" s="627"/>
      <c r="C285" s="627"/>
      <c r="D285" s="627"/>
      <c r="E285" s="627"/>
      <c r="F285" s="628"/>
      <c r="G285" s="628"/>
      <c r="H285" s="627"/>
      <c r="I285" s="629"/>
      <c r="J285" s="629"/>
      <c r="K285" s="599"/>
      <c r="L285" s="599"/>
      <c r="M285" s="599"/>
      <c r="N285" s="599"/>
      <c r="O285" s="596"/>
      <c r="P285" s="596"/>
      <c r="Q285" s="596"/>
      <c r="R285" s="599"/>
      <c r="S285" s="599"/>
      <c r="T285" s="599"/>
      <c r="U285" s="599"/>
      <c r="V285" s="599"/>
      <c r="W285" s="599"/>
      <c r="X285" s="596"/>
      <c r="Y285" s="596"/>
      <c r="Z285" s="596"/>
    </row>
    <row r="286" ht="21.0" customHeight="1">
      <c r="A286" s="596"/>
      <c r="B286" s="627"/>
      <c r="C286" s="627"/>
      <c r="D286" s="627"/>
      <c r="E286" s="627"/>
      <c r="F286" s="628"/>
      <c r="G286" s="628"/>
      <c r="H286" s="627"/>
      <c r="I286" s="629"/>
      <c r="J286" s="629"/>
      <c r="K286" s="599"/>
      <c r="L286" s="599"/>
      <c r="M286" s="599"/>
      <c r="N286" s="599"/>
      <c r="O286" s="596"/>
      <c r="P286" s="596"/>
      <c r="Q286" s="596"/>
      <c r="R286" s="599"/>
      <c r="S286" s="599"/>
      <c r="T286" s="599"/>
      <c r="U286" s="599"/>
      <c r="V286" s="599"/>
      <c r="W286" s="599"/>
      <c r="X286" s="596"/>
      <c r="Y286" s="596"/>
      <c r="Z286" s="596"/>
    </row>
    <row r="287" ht="21.0" customHeight="1">
      <c r="A287" s="596"/>
      <c r="B287" s="627"/>
      <c r="C287" s="627"/>
      <c r="D287" s="627"/>
      <c r="E287" s="627"/>
      <c r="F287" s="628"/>
      <c r="G287" s="628"/>
      <c r="H287" s="627"/>
      <c r="I287" s="629"/>
      <c r="J287" s="629"/>
      <c r="K287" s="599"/>
      <c r="L287" s="599"/>
      <c r="M287" s="599"/>
      <c r="N287" s="599"/>
      <c r="O287" s="596"/>
      <c r="P287" s="596"/>
      <c r="Q287" s="596"/>
      <c r="R287" s="599"/>
      <c r="S287" s="599"/>
      <c r="T287" s="599"/>
      <c r="U287" s="599"/>
      <c r="V287" s="599"/>
      <c r="W287" s="599"/>
      <c r="X287" s="596"/>
      <c r="Y287" s="596"/>
      <c r="Z287" s="596"/>
    </row>
    <row r="288" ht="21.0" customHeight="1">
      <c r="A288" s="596"/>
      <c r="B288" s="627"/>
      <c r="C288" s="627"/>
      <c r="D288" s="627"/>
      <c r="E288" s="627"/>
      <c r="F288" s="628"/>
      <c r="G288" s="628"/>
      <c r="H288" s="627"/>
      <c r="I288" s="629"/>
      <c r="J288" s="629"/>
      <c r="K288" s="599"/>
      <c r="L288" s="599"/>
      <c r="M288" s="599"/>
      <c r="N288" s="599"/>
      <c r="O288" s="596"/>
      <c r="P288" s="596"/>
      <c r="Q288" s="596"/>
      <c r="R288" s="599"/>
      <c r="S288" s="599"/>
      <c r="T288" s="599"/>
      <c r="U288" s="599"/>
      <c r="V288" s="599"/>
      <c r="W288" s="599"/>
      <c r="X288" s="596"/>
      <c r="Y288" s="596"/>
      <c r="Z288" s="596"/>
    </row>
    <row r="289" ht="21.0" customHeight="1">
      <c r="A289" s="4"/>
      <c r="B289" s="599"/>
      <c r="C289" s="599"/>
      <c r="D289" s="599"/>
      <c r="E289" s="599"/>
      <c r="F289" s="8"/>
      <c r="G289" s="8"/>
      <c r="H289" s="617"/>
      <c r="I289" s="617"/>
      <c r="J289" s="617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99"/>
      <c r="C290" s="599"/>
      <c r="D290" s="599"/>
      <c r="E290" s="599"/>
      <c r="F290" s="630"/>
      <c r="G290" s="630"/>
      <c r="H290" s="599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617"/>
      <c r="C296" s="631"/>
      <c r="D296" s="631"/>
      <c r="E296" s="631"/>
      <c r="F296" s="632"/>
      <c r="G296" s="632"/>
      <c r="H296" s="617"/>
      <c r="I296" s="617"/>
      <c r="J296" s="617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2"/>
      <c r="B297" s="597"/>
      <c r="C297" s="597"/>
      <c r="D297" s="597"/>
      <c r="E297" s="597"/>
      <c r="F297" s="605"/>
      <c r="G297" s="605"/>
      <c r="H297" s="597"/>
      <c r="I297" s="600"/>
      <c r="J297" s="600"/>
      <c r="K297" s="4"/>
      <c r="L297" s="4"/>
      <c r="M297" s="4"/>
      <c r="N297" s="4"/>
      <c r="O297" s="633"/>
      <c r="P297" s="633"/>
      <c r="Q297" s="633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2"/>
      <c r="B298" s="597"/>
      <c r="C298" s="597"/>
      <c r="D298" s="597"/>
      <c r="E298" s="597"/>
      <c r="F298" s="605"/>
      <c r="G298" s="605"/>
      <c r="H298" s="597"/>
      <c r="I298" s="600"/>
      <c r="J298" s="600"/>
      <c r="K298" s="4"/>
      <c r="L298" s="4"/>
      <c r="M298" s="4"/>
      <c r="N298" s="4"/>
      <c r="O298" s="633"/>
      <c r="P298" s="633"/>
      <c r="Q298" s="633"/>
      <c r="R298" s="4"/>
      <c r="S298" s="4"/>
      <c r="T298" s="4"/>
      <c r="U298" s="4"/>
      <c r="V298" s="4"/>
      <c r="W298" s="4"/>
      <c r="X298" s="627"/>
      <c r="Y298" s="4"/>
      <c r="Z298" s="4"/>
    </row>
    <row r="299" ht="21.0" customHeight="1">
      <c r="A299" s="122"/>
      <c r="B299" s="597"/>
      <c r="C299" s="597"/>
      <c r="D299" s="597"/>
      <c r="E299" s="597"/>
      <c r="F299" s="605"/>
      <c r="G299" s="605"/>
      <c r="H299" s="597"/>
      <c r="I299" s="600"/>
      <c r="J299" s="600"/>
      <c r="K299" s="4"/>
      <c r="L299" s="4"/>
      <c r="M299" s="4"/>
      <c r="N299" s="4"/>
      <c r="O299" s="633"/>
      <c r="P299" s="633"/>
      <c r="Q299" s="633"/>
      <c r="R299" s="4"/>
      <c r="S299" s="4"/>
      <c r="T299" s="4"/>
      <c r="U299" s="4"/>
      <c r="V299" s="4"/>
      <c r="W299" s="4"/>
      <c r="X299" s="627"/>
      <c r="Y299" s="4"/>
      <c r="Z299" s="4"/>
    </row>
    <row r="300" ht="21.0" customHeight="1">
      <c r="A300" s="122"/>
      <c r="B300" s="597"/>
      <c r="C300" s="597"/>
      <c r="D300" s="597"/>
      <c r="E300" s="597"/>
      <c r="F300" s="605"/>
      <c r="G300" s="605"/>
      <c r="H300" s="597"/>
      <c r="I300" s="600"/>
      <c r="J300" s="600"/>
      <c r="K300" s="4"/>
      <c r="L300" s="4"/>
      <c r="M300" s="4"/>
      <c r="N300" s="4"/>
      <c r="O300" s="633"/>
      <c r="P300" s="633"/>
      <c r="Q300" s="633"/>
      <c r="R300" s="4"/>
      <c r="S300" s="4"/>
      <c r="T300" s="4"/>
      <c r="U300" s="4"/>
      <c r="V300" s="4"/>
      <c r="W300" s="4"/>
      <c r="X300" s="627"/>
      <c r="Y300" s="4"/>
      <c r="Z300" s="4"/>
    </row>
    <row r="301" ht="21.0" customHeight="1">
      <c r="A301" s="122"/>
      <c r="B301" s="597"/>
      <c r="C301" s="597"/>
      <c r="D301" s="597"/>
      <c r="E301" s="597"/>
      <c r="F301" s="605"/>
      <c r="G301" s="605"/>
      <c r="H301" s="597"/>
      <c r="I301" s="600"/>
      <c r="J301" s="600"/>
      <c r="K301" s="4"/>
      <c r="L301" s="4"/>
      <c r="M301" s="4"/>
      <c r="N301" s="4"/>
      <c r="O301" s="633"/>
      <c r="P301" s="633"/>
      <c r="Q301" s="633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2"/>
      <c r="B302" s="597"/>
      <c r="C302" s="597"/>
      <c r="D302" s="597"/>
      <c r="E302" s="597"/>
      <c r="F302" s="605"/>
      <c r="G302" s="605"/>
      <c r="H302" s="597"/>
      <c r="I302" s="600"/>
      <c r="J302" s="600"/>
      <c r="K302" s="4"/>
      <c r="L302" s="4"/>
      <c r="M302" s="4"/>
      <c r="N302" s="4"/>
      <c r="O302" s="633"/>
      <c r="P302" s="633"/>
      <c r="Q302" s="633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2"/>
      <c r="B303" s="597"/>
      <c r="C303" s="597"/>
      <c r="D303" s="597"/>
      <c r="E303" s="597"/>
      <c r="F303" s="605"/>
      <c r="G303" s="605"/>
      <c r="H303" s="597"/>
      <c r="I303" s="600"/>
      <c r="J303" s="600"/>
      <c r="K303" s="4"/>
      <c r="L303" s="4"/>
      <c r="M303" s="4"/>
      <c r="N303" s="4"/>
      <c r="O303" s="633"/>
      <c r="P303" s="633"/>
      <c r="Q303" s="633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2"/>
      <c r="B304" s="597"/>
      <c r="C304" s="597"/>
      <c r="D304" s="597"/>
      <c r="E304" s="597"/>
      <c r="F304" s="605"/>
      <c r="G304" s="605"/>
      <c r="H304" s="597"/>
      <c r="I304" s="600"/>
      <c r="J304" s="600"/>
      <c r="K304" s="4"/>
      <c r="L304" s="4"/>
      <c r="M304" s="4"/>
      <c r="N304" s="4"/>
      <c r="O304" s="633"/>
      <c r="P304" s="633"/>
      <c r="Q304" s="633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2"/>
      <c r="B305" s="597"/>
      <c r="C305" s="597"/>
      <c r="D305" s="597"/>
      <c r="E305" s="597"/>
      <c r="F305" s="605"/>
      <c r="G305" s="605"/>
      <c r="H305" s="597"/>
      <c r="I305" s="600"/>
      <c r="J305" s="600"/>
      <c r="K305" s="4"/>
      <c r="L305" s="4"/>
      <c r="M305" s="4"/>
      <c r="N305" s="4"/>
      <c r="O305" s="633"/>
      <c r="P305" s="633"/>
      <c r="Q305" s="633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2"/>
      <c r="B306" s="597"/>
      <c r="C306" s="597"/>
      <c r="D306" s="597"/>
      <c r="E306" s="597"/>
      <c r="F306" s="605"/>
      <c r="G306" s="605"/>
      <c r="H306" s="597"/>
      <c r="I306" s="600"/>
      <c r="J306" s="600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634"/>
      <c r="X306" s="4"/>
      <c r="Y306" s="4"/>
      <c r="Z306" s="4"/>
    </row>
    <row r="307" ht="21.0" customHeight="1">
      <c r="A307" s="122"/>
      <c r="B307" s="4"/>
      <c r="C307" s="4"/>
      <c r="D307" s="4"/>
      <c r="E307" s="4"/>
      <c r="F307" s="632"/>
      <c r="G307" s="632"/>
      <c r="H307" s="4"/>
      <c r="I307" s="635"/>
      <c r="J307" s="635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634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634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634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634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634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634"/>
      <c r="X312" s="4"/>
      <c r="Y312" s="4"/>
      <c r="Z312" s="4"/>
    </row>
    <row r="313" ht="21.0" customHeight="1">
      <c r="A313" s="4"/>
      <c r="B313" s="617"/>
      <c r="C313" s="631"/>
      <c r="D313" s="631"/>
      <c r="E313" s="631"/>
      <c r="F313" s="632"/>
      <c r="G313" s="632"/>
      <c r="H313" s="617"/>
      <c r="I313" s="617"/>
      <c r="J313" s="617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634"/>
      <c r="X313" s="4"/>
      <c r="Y313" s="4"/>
      <c r="Z313" s="4"/>
    </row>
    <row r="314" ht="21.0" customHeight="1">
      <c r="A314" s="122"/>
      <c r="B314" s="636"/>
      <c r="C314" s="635"/>
      <c r="D314" s="635"/>
      <c r="E314" s="635"/>
      <c r="F314" s="637"/>
      <c r="G314" s="637"/>
      <c r="H314" s="635"/>
      <c r="I314" s="635"/>
      <c r="J314" s="635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634"/>
      <c r="X314" s="4"/>
      <c r="Y314" s="4"/>
      <c r="Z314" s="4"/>
    </row>
    <row r="315" ht="21.0" customHeight="1">
      <c r="A315" s="122"/>
      <c r="B315" s="636"/>
      <c r="C315" s="635"/>
      <c r="D315" s="635"/>
      <c r="E315" s="635"/>
      <c r="F315" s="637"/>
      <c r="G315" s="637"/>
      <c r="H315" s="635"/>
      <c r="I315" s="635"/>
      <c r="J315" s="635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634"/>
      <c r="X315" s="4"/>
      <c r="Y315" s="4"/>
      <c r="Z315" s="4"/>
    </row>
    <row r="316" ht="21.0" customHeight="1">
      <c r="A316" s="122"/>
      <c r="B316" s="636"/>
      <c r="C316" s="635"/>
      <c r="D316" s="635"/>
      <c r="E316" s="635"/>
      <c r="F316" s="637"/>
      <c r="G316" s="637"/>
      <c r="H316" s="635"/>
      <c r="I316" s="635"/>
      <c r="J316" s="635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634"/>
      <c r="X316" s="4"/>
      <c r="Y316" s="4"/>
      <c r="Z316" s="4"/>
    </row>
    <row r="317" ht="21.0" customHeight="1">
      <c r="A317" s="122"/>
      <c r="B317" s="636"/>
      <c r="C317" s="635"/>
      <c r="D317" s="635"/>
      <c r="E317" s="635"/>
      <c r="F317" s="638"/>
      <c r="G317" s="638"/>
      <c r="H317" s="635"/>
      <c r="I317" s="635"/>
      <c r="J317" s="635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2"/>
      <c r="B318" s="636"/>
      <c r="C318" s="635"/>
      <c r="D318" s="635"/>
      <c r="E318" s="635"/>
      <c r="F318" s="638"/>
      <c r="G318" s="638"/>
      <c r="H318" s="635"/>
      <c r="I318" s="635"/>
      <c r="J318" s="635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634"/>
      <c r="X318" s="4"/>
      <c r="Y318" s="4"/>
      <c r="Z318" s="4"/>
    </row>
    <row r="319" ht="21.0" customHeight="1">
      <c r="A319" s="122"/>
      <c r="B319" s="636"/>
      <c r="C319" s="2"/>
      <c r="D319" s="635"/>
      <c r="E319" s="635"/>
      <c r="F319" s="638"/>
      <c r="G319" s="638"/>
      <c r="H319" s="635"/>
      <c r="I319" s="635"/>
      <c r="J319" s="635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634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632"/>
      <c r="G320" s="632"/>
      <c r="H320" s="4"/>
      <c r="I320" s="635"/>
      <c r="J320" s="635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634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634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634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634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634"/>
      <c r="X324" s="4"/>
      <c r="Y324" s="4"/>
      <c r="Z324" s="4"/>
    </row>
    <row r="325" ht="21.0" customHeight="1">
      <c r="A325" s="66"/>
      <c r="B325" s="639"/>
      <c r="C325" s="639"/>
      <c r="D325" s="639"/>
      <c r="E325" s="639"/>
      <c r="F325" s="640"/>
      <c r="G325" s="640"/>
      <c r="H325" s="639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34"/>
      <c r="X325" s="66"/>
      <c r="Y325" s="66"/>
      <c r="Z325" s="66"/>
    </row>
    <row r="326" ht="21.0" customHeight="1">
      <c r="A326" s="617"/>
      <c r="B326" s="617"/>
      <c r="C326" s="617"/>
      <c r="D326" s="617"/>
      <c r="E326" s="617"/>
      <c r="F326" s="641"/>
      <c r="G326" s="641"/>
      <c r="H326" s="6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634"/>
      <c r="X326" s="4"/>
      <c r="Y326" s="4"/>
      <c r="Z326" s="4"/>
    </row>
    <row r="327" ht="21.0" customHeight="1">
      <c r="A327" s="617"/>
      <c r="B327" s="617"/>
      <c r="C327" s="642"/>
      <c r="D327" s="643"/>
      <c r="E327" s="643"/>
      <c r="F327" s="132"/>
      <c r="G327" s="132"/>
      <c r="H327" s="643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634"/>
      <c r="X327" s="4"/>
      <c r="Y327" s="4"/>
      <c r="Z327" s="4"/>
    </row>
    <row r="328" ht="21.0" customHeight="1">
      <c r="A328" s="617"/>
      <c r="B328" s="122"/>
      <c r="C328" s="123"/>
      <c r="D328" s="123"/>
      <c r="E328" s="123"/>
      <c r="F328" s="124"/>
      <c r="G328" s="124"/>
      <c r="H328" s="123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634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641">
        <f>+D326+E326+F326+H326</f>
        <v>0</v>
      </c>
      <c r="G329" s="632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59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2" t="str">
        <f>+F329/B326</f>
        <v>#DIV/0!</v>
      </c>
      <c r="G330" s="132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59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5"/>
      <c r="G331" s="135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5">
        <f>+F331*(F329-F326)</f>
        <v>0</v>
      </c>
      <c r="G332" s="135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0"/>
  </cols>
  <sheetData>
    <row r="1" ht="12.75" customHeight="1">
      <c r="A1" s="644" t="s">
        <v>276</v>
      </c>
      <c r="B1" s="645"/>
      <c r="C1" s="645"/>
      <c r="D1" s="645"/>
      <c r="E1" s="645"/>
      <c r="F1" s="645"/>
      <c r="G1" s="645"/>
      <c r="H1" s="645"/>
      <c r="I1" s="645"/>
      <c r="J1" s="645"/>
      <c r="K1" s="645"/>
      <c r="L1" s="645"/>
      <c r="M1" s="645"/>
      <c r="N1" s="645"/>
      <c r="O1" s="645"/>
      <c r="P1" s="645"/>
      <c r="Q1" s="645"/>
      <c r="R1" s="645"/>
      <c r="S1" s="645"/>
      <c r="T1" s="645"/>
      <c r="U1" s="645"/>
      <c r="V1" s="645"/>
      <c r="W1" s="645"/>
    </row>
    <row r="2" ht="13.5" customHeight="1">
      <c r="A2" s="644" t="s">
        <v>277</v>
      </c>
      <c r="B2" s="645"/>
      <c r="C2" s="645"/>
      <c r="D2" s="645"/>
      <c r="E2" s="645"/>
      <c r="F2" s="645"/>
      <c r="G2" s="645"/>
      <c r="H2" s="645"/>
      <c r="I2" s="645"/>
      <c r="J2" s="645"/>
      <c r="K2" s="645"/>
      <c r="L2" s="645"/>
      <c r="M2" s="645"/>
      <c r="N2" s="645"/>
      <c r="O2" s="645"/>
      <c r="P2" s="645"/>
      <c r="Q2" s="645"/>
      <c r="R2" s="645"/>
      <c r="S2" s="645"/>
      <c r="T2" s="645"/>
      <c r="U2" s="645"/>
      <c r="V2" s="645"/>
      <c r="W2" s="645"/>
    </row>
    <row r="3" ht="13.5" customHeight="1">
      <c r="A3" s="646" t="s">
        <v>278</v>
      </c>
      <c r="B3" s="645"/>
      <c r="C3" s="647" t="s">
        <v>279</v>
      </c>
      <c r="D3" s="645"/>
      <c r="E3" s="645"/>
      <c r="F3" s="645"/>
      <c r="G3" s="645"/>
      <c r="H3" s="645"/>
      <c r="I3" s="645"/>
      <c r="J3" s="645"/>
      <c r="K3" s="645"/>
      <c r="L3" s="645"/>
      <c r="M3" s="645"/>
      <c r="N3" s="645"/>
      <c r="O3" s="645"/>
      <c r="P3" s="645"/>
      <c r="Q3" s="645"/>
      <c r="R3" s="645"/>
      <c r="S3" s="645"/>
      <c r="T3" s="645"/>
      <c r="U3" s="645"/>
      <c r="V3" s="645"/>
      <c r="W3" s="645"/>
    </row>
    <row r="4" ht="12.75" customHeight="1">
      <c r="A4" s="646" t="e">
        <v>#N/A</v>
      </c>
      <c r="B4" s="645"/>
      <c r="C4" s="645"/>
      <c r="D4" s="645"/>
      <c r="E4" s="645"/>
      <c r="F4" s="645"/>
      <c r="G4" s="645"/>
      <c r="H4" s="645"/>
      <c r="I4" s="645"/>
      <c r="J4" s="645"/>
      <c r="K4" s="645"/>
      <c r="L4" s="645"/>
      <c r="M4" s="645"/>
      <c r="N4" s="645"/>
      <c r="O4" s="645"/>
      <c r="P4" s="645"/>
      <c r="Q4" s="645"/>
      <c r="R4" s="645"/>
      <c r="S4" s="645"/>
      <c r="T4" s="645"/>
      <c r="U4" s="645"/>
      <c r="V4" s="645"/>
      <c r="W4" s="645"/>
    </row>
    <row r="5" ht="12.75" customHeight="1">
      <c r="A5" s="645"/>
      <c r="B5" s="645"/>
      <c r="C5" s="645"/>
      <c r="D5" s="645"/>
      <c r="E5" s="645"/>
      <c r="F5" s="645"/>
      <c r="G5" s="645"/>
      <c r="H5" s="645"/>
      <c r="I5" s="645"/>
      <c r="J5" s="645"/>
      <c r="K5" s="645"/>
      <c r="L5" s="645"/>
      <c r="M5" s="645"/>
      <c r="N5" s="645"/>
      <c r="O5" s="645"/>
      <c r="P5" s="645"/>
      <c r="Q5" s="645"/>
      <c r="R5" s="645"/>
      <c r="S5" s="645"/>
      <c r="T5" s="645"/>
      <c r="U5" s="645"/>
      <c r="V5" s="645"/>
      <c r="W5" s="645"/>
    </row>
    <row r="6" ht="13.5" customHeight="1">
      <c r="A6" s="645"/>
      <c r="B6" s="645"/>
      <c r="C6" s="645"/>
      <c r="D6" s="645"/>
      <c r="E6" s="645"/>
      <c r="F6" s="645"/>
      <c r="G6" s="645"/>
      <c r="H6" s="645"/>
      <c r="I6" s="645"/>
      <c r="J6" s="645"/>
      <c r="K6" s="645"/>
      <c r="L6" s="645"/>
      <c r="M6" s="645"/>
      <c r="N6" s="645"/>
      <c r="O6" s="645"/>
      <c r="P6" s="645"/>
      <c r="Q6" s="645"/>
      <c r="R6" s="645"/>
      <c r="S6" s="645"/>
      <c r="T6" s="645"/>
      <c r="U6" s="645"/>
      <c r="V6" s="645"/>
      <c r="W6" s="645"/>
    </row>
    <row r="7" ht="12.75" customHeight="1">
      <c r="A7" s="648" t="s">
        <v>280</v>
      </c>
      <c r="B7" s="645"/>
      <c r="C7" s="645"/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</row>
    <row r="8" ht="12.75" customHeight="1">
      <c r="A8" s="649" t="s">
        <v>281</v>
      </c>
      <c r="B8" s="645"/>
      <c r="C8" s="645"/>
      <c r="D8" s="645"/>
      <c r="E8" s="645"/>
      <c r="F8" s="645"/>
      <c r="G8" s="645"/>
      <c r="H8" s="645"/>
      <c r="I8" s="645"/>
      <c r="J8" s="645"/>
      <c r="K8" s="645"/>
      <c r="L8" s="645"/>
      <c r="M8" s="645"/>
      <c r="N8" s="645"/>
      <c r="O8" s="645"/>
      <c r="P8" s="645"/>
      <c r="Q8" s="645"/>
      <c r="R8" s="645"/>
      <c r="S8" s="645"/>
      <c r="T8" s="645"/>
      <c r="U8" s="645"/>
      <c r="V8" s="645"/>
      <c r="W8" s="645"/>
    </row>
    <row r="9" ht="12.75" customHeight="1">
      <c r="A9" s="650" t="s">
        <v>282</v>
      </c>
      <c r="B9" s="645"/>
      <c r="C9" s="645"/>
      <c r="D9" s="645"/>
      <c r="E9" s="645"/>
      <c r="F9" s="645"/>
      <c r="G9" s="645"/>
      <c r="H9" s="645"/>
      <c r="I9" s="645"/>
      <c r="J9" s="645"/>
      <c r="K9" s="645"/>
      <c r="L9" s="645"/>
      <c r="M9" s="645"/>
      <c r="N9" s="645"/>
      <c r="O9" s="645"/>
      <c r="P9" s="645"/>
      <c r="Q9" s="645"/>
      <c r="R9" s="645"/>
      <c r="S9" s="645"/>
      <c r="T9" s="645"/>
      <c r="U9" s="645"/>
      <c r="V9" s="645"/>
      <c r="W9" s="645"/>
    </row>
    <row r="10" ht="12.75" customHeight="1">
      <c r="A10" s="649" t="s">
        <v>283</v>
      </c>
      <c r="B10" s="645"/>
      <c r="C10" s="645"/>
      <c r="D10" s="645"/>
      <c r="E10" s="645"/>
      <c r="F10" s="645"/>
      <c r="G10" s="645"/>
      <c r="H10" s="645"/>
      <c r="I10" s="645"/>
      <c r="J10" s="645"/>
      <c r="K10" s="645"/>
      <c r="L10" s="645"/>
      <c r="M10" s="645"/>
      <c r="N10" s="645"/>
      <c r="O10" s="645"/>
      <c r="P10" s="645"/>
      <c r="Q10" s="645"/>
      <c r="R10" s="645"/>
      <c r="S10" s="645"/>
      <c r="T10" s="645"/>
      <c r="U10" s="645"/>
      <c r="V10" s="645"/>
      <c r="W10" s="645"/>
    </row>
    <row r="11" ht="13.5" customHeight="1">
      <c r="A11" s="651" t="s">
        <v>284</v>
      </c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5"/>
      <c r="N11" s="645"/>
      <c r="O11" s="645"/>
      <c r="P11" s="645"/>
      <c r="Q11" s="645"/>
      <c r="R11" s="645"/>
      <c r="S11" s="645"/>
      <c r="T11" s="645"/>
      <c r="U11" s="645"/>
      <c r="V11" s="645"/>
      <c r="W11" s="645"/>
    </row>
    <row r="12" ht="12.75" customHeight="1">
      <c r="A12" s="645"/>
      <c r="B12" s="645"/>
      <c r="C12" s="645"/>
      <c r="D12" s="645"/>
      <c r="E12" s="645"/>
      <c r="F12" s="645"/>
      <c r="G12" s="645"/>
      <c r="H12" s="645"/>
      <c r="I12" s="645"/>
      <c r="J12" s="645"/>
      <c r="K12" s="645"/>
      <c r="L12" s="645"/>
      <c r="M12" s="645"/>
      <c r="N12" s="645"/>
      <c r="O12" s="645"/>
      <c r="P12" s="645"/>
      <c r="Q12" s="645"/>
      <c r="R12" s="645"/>
      <c r="S12" s="645"/>
      <c r="T12" s="645"/>
      <c r="U12" s="645"/>
      <c r="V12" s="645"/>
      <c r="W12" s="645"/>
    </row>
    <row r="13" ht="13.5" customHeight="1">
      <c r="A13" s="645"/>
      <c r="B13" s="645"/>
      <c r="C13" s="645"/>
      <c r="D13" s="645"/>
      <c r="E13" s="645"/>
      <c r="F13" s="645"/>
      <c r="G13" s="645"/>
      <c r="H13" s="645"/>
      <c r="I13" s="645"/>
      <c r="J13" s="645"/>
      <c r="K13" s="645"/>
      <c r="L13" s="645"/>
      <c r="M13" s="645"/>
      <c r="N13" s="645"/>
      <c r="O13" s="645"/>
      <c r="P13" s="645"/>
      <c r="Q13" s="645"/>
      <c r="R13" s="645"/>
      <c r="S13" s="645"/>
      <c r="T13" s="645"/>
      <c r="U13" s="645"/>
      <c r="V13" s="645"/>
      <c r="W13" s="645"/>
    </row>
    <row r="14" ht="13.5" customHeight="1">
      <c r="A14" s="647" t="s">
        <v>285</v>
      </c>
      <c r="B14" s="645"/>
      <c r="C14" s="645"/>
      <c r="D14" s="645"/>
      <c r="E14" s="645"/>
      <c r="F14" s="645"/>
      <c r="G14" s="645"/>
      <c r="H14" s="645"/>
      <c r="I14" s="645"/>
      <c r="J14" s="645"/>
      <c r="K14" s="645"/>
      <c r="L14" s="645"/>
      <c r="M14" s="645"/>
      <c r="N14" s="645"/>
      <c r="O14" s="645"/>
      <c r="P14" s="645"/>
      <c r="Q14" s="645"/>
      <c r="R14" s="645"/>
      <c r="S14" s="645"/>
      <c r="T14" s="645"/>
      <c r="U14" s="645"/>
      <c r="V14" s="645"/>
      <c r="W14" s="645"/>
    </row>
    <row r="15" ht="12.75" customHeight="1">
      <c r="A15" s="645"/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645"/>
      <c r="T15" s="645"/>
      <c r="U15" s="645"/>
      <c r="V15" s="645"/>
      <c r="W15" s="645"/>
    </row>
    <row r="16" ht="13.5" customHeight="1">
      <c r="A16" s="645"/>
      <c r="B16" s="645"/>
      <c r="C16" s="645"/>
      <c r="D16" s="645"/>
      <c r="E16" s="645"/>
      <c r="F16" s="645"/>
      <c r="G16" s="645"/>
      <c r="H16" s="645"/>
      <c r="I16" s="645"/>
      <c r="J16" s="645"/>
      <c r="K16" s="645"/>
      <c r="L16" s="645"/>
      <c r="M16" s="645"/>
      <c r="N16" s="645"/>
      <c r="O16" s="645"/>
      <c r="P16" s="645"/>
      <c r="Q16" s="645"/>
      <c r="R16" s="645"/>
      <c r="S16" s="645"/>
      <c r="T16" s="645"/>
      <c r="U16" s="645"/>
      <c r="V16" s="645"/>
      <c r="W16" s="645"/>
    </row>
    <row r="17" ht="13.5" customHeight="1">
      <c r="A17" s="645"/>
      <c r="B17" s="645"/>
      <c r="C17" s="647" t="s">
        <v>286</v>
      </c>
      <c r="D17" s="645"/>
      <c r="E17" s="645"/>
      <c r="F17" s="645"/>
      <c r="G17" s="645"/>
      <c r="H17" s="645"/>
      <c r="I17" s="645"/>
      <c r="J17" s="645"/>
      <c r="K17" s="645"/>
      <c r="L17" s="645"/>
      <c r="M17" s="645"/>
      <c r="N17" s="645"/>
      <c r="O17" s="645"/>
      <c r="P17" s="645"/>
      <c r="Q17" s="645"/>
      <c r="R17" s="645"/>
      <c r="S17" s="645"/>
      <c r="T17" s="645"/>
      <c r="U17" s="645"/>
      <c r="V17" s="645"/>
      <c r="W17" s="645"/>
    </row>
    <row r="18" ht="12.75" customHeight="1">
      <c r="A18" s="645"/>
      <c r="B18" s="645"/>
      <c r="C18" s="645"/>
      <c r="D18" s="645"/>
      <c r="E18" s="645"/>
      <c r="F18" s="645"/>
      <c r="G18" s="645"/>
      <c r="H18" s="645"/>
      <c r="I18" s="645"/>
      <c r="J18" s="645"/>
      <c r="K18" s="645"/>
      <c r="L18" s="645"/>
      <c r="M18" s="645"/>
      <c r="N18" s="645"/>
      <c r="O18" s="645"/>
      <c r="P18" s="645"/>
      <c r="Q18" s="645"/>
      <c r="R18" s="645"/>
      <c r="S18" s="645"/>
      <c r="T18" s="645"/>
      <c r="U18" s="645"/>
      <c r="V18" s="645"/>
      <c r="W18" s="645"/>
    </row>
    <row r="19" ht="12.75" customHeight="1">
      <c r="A19" s="645"/>
      <c r="B19" s="645"/>
      <c r="C19" s="645"/>
      <c r="D19" s="645"/>
      <c r="E19" s="645"/>
      <c r="F19" s="645"/>
      <c r="G19" s="645"/>
      <c r="H19" s="645"/>
      <c r="I19" s="645"/>
      <c r="J19" s="645"/>
      <c r="K19" s="645"/>
      <c r="L19" s="645"/>
      <c r="M19" s="645"/>
      <c r="N19" s="645"/>
      <c r="O19" s="645"/>
      <c r="P19" s="645"/>
      <c r="Q19" s="645"/>
      <c r="R19" s="645"/>
      <c r="S19" s="645"/>
      <c r="T19" s="645"/>
      <c r="U19" s="645"/>
      <c r="V19" s="645"/>
      <c r="W19" s="645"/>
    </row>
    <row r="20" ht="12.75" customHeight="1">
      <c r="A20" s="652" t="s">
        <v>287</v>
      </c>
      <c r="B20" s="645"/>
      <c r="C20" s="645"/>
      <c r="D20" s="645"/>
      <c r="E20" s="645"/>
      <c r="F20" s="645"/>
      <c r="G20" s="645"/>
      <c r="H20" s="645"/>
      <c r="I20" s="645"/>
      <c r="J20" s="645"/>
      <c r="K20" s="645"/>
      <c r="L20" s="645"/>
      <c r="M20" s="645"/>
      <c r="N20" s="645"/>
      <c r="O20" s="645"/>
      <c r="P20" s="645"/>
      <c r="Q20" s="645"/>
      <c r="R20" s="645"/>
      <c r="S20" s="645"/>
      <c r="T20" s="645"/>
      <c r="U20" s="645"/>
      <c r="V20" s="645"/>
      <c r="W20" s="645"/>
    </row>
    <row r="21" ht="12.75" customHeight="1">
      <c r="A21" s="645"/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45"/>
      <c r="T21" s="645"/>
      <c r="U21" s="645"/>
      <c r="V21" s="645"/>
      <c r="W21" s="645"/>
    </row>
    <row r="22" ht="12.75" customHeight="1">
      <c r="A22" s="645"/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645"/>
      <c r="T22" s="645"/>
      <c r="U22" s="645"/>
      <c r="V22" s="645"/>
      <c r="W22" s="645"/>
    </row>
    <row r="23" ht="12.75" customHeight="1">
      <c r="A23" s="645"/>
      <c r="B23" s="645"/>
      <c r="C23" s="645"/>
      <c r="D23" s="645"/>
      <c r="E23" s="645"/>
      <c r="F23" s="645"/>
      <c r="G23" s="645"/>
      <c r="H23" s="645"/>
      <c r="I23" s="645"/>
      <c r="J23" s="645"/>
      <c r="K23" s="645"/>
      <c r="L23" s="645"/>
      <c r="M23" s="645"/>
      <c r="N23" s="645"/>
      <c r="O23" s="645"/>
      <c r="P23" s="645"/>
      <c r="Q23" s="645"/>
      <c r="R23" s="645"/>
      <c r="S23" s="645"/>
      <c r="T23" s="645"/>
      <c r="U23" s="645"/>
      <c r="V23" s="645"/>
      <c r="W23" s="645"/>
    </row>
    <row r="24" ht="12.75" customHeight="1">
      <c r="A24" s="645"/>
      <c r="B24" s="645"/>
      <c r="C24" s="645"/>
      <c r="D24" s="645"/>
      <c r="E24" s="645"/>
      <c r="F24" s="645"/>
      <c r="G24" s="645"/>
      <c r="H24" s="645"/>
      <c r="I24" s="645"/>
      <c r="J24" s="645"/>
      <c r="K24" s="645"/>
      <c r="L24" s="645"/>
      <c r="M24" s="645"/>
      <c r="N24" s="645"/>
      <c r="O24" s="645"/>
      <c r="P24" s="645"/>
      <c r="Q24" s="645"/>
      <c r="R24" s="645"/>
      <c r="S24" s="645"/>
      <c r="T24" s="645"/>
      <c r="U24" s="645"/>
      <c r="V24" s="645"/>
      <c r="W24" s="645"/>
    </row>
    <row r="25" ht="12.75" customHeight="1">
      <c r="A25" s="645"/>
      <c r="B25" s="645"/>
      <c r="C25" s="645"/>
      <c r="D25" s="645"/>
      <c r="E25" s="645"/>
      <c r="F25" s="645"/>
      <c r="G25" s="645"/>
      <c r="H25" s="645"/>
      <c r="I25" s="645"/>
      <c r="J25" s="645"/>
      <c r="K25" s="645"/>
      <c r="L25" s="645"/>
      <c r="M25" s="645"/>
      <c r="N25" s="645"/>
      <c r="O25" s="645"/>
      <c r="P25" s="645"/>
      <c r="Q25" s="645"/>
      <c r="R25" s="645"/>
      <c r="S25" s="645"/>
      <c r="T25" s="645"/>
      <c r="U25" s="645"/>
      <c r="V25" s="645"/>
      <c r="W25" s="645"/>
    </row>
    <row r="26" ht="13.5" customHeight="1">
      <c r="A26" s="645"/>
      <c r="B26" s="645"/>
      <c r="C26" s="653" t="s">
        <v>288</v>
      </c>
      <c r="D26" s="645"/>
      <c r="E26" s="645"/>
      <c r="F26" s="645"/>
      <c r="G26" s="645"/>
      <c r="H26" s="645"/>
      <c r="I26" s="645"/>
      <c r="J26" s="645"/>
      <c r="K26" s="645"/>
      <c r="L26" s="645"/>
      <c r="M26" s="645"/>
      <c r="N26" s="645"/>
      <c r="O26" s="645"/>
      <c r="P26" s="645"/>
      <c r="Q26" s="645"/>
      <c r="R26" s="645"/>
      <c r="S26" s="645"/>
      <c r="T26" s="645"/>
      <c r="U26" s="645"/>
      <c r="V26" s="645"/>
      <c r="W26" s="645"/>
    </row>
    <row r="27" ht="12.75" customHeight="1">
      <c r="A27" s="645"/>
      <c r="B27" s="645"/>
      <c r="C27" s="645"/>
      <c r="D27" s="645"/>
      <c r="E27" s="645"/>
      <c r="F27" s="645"/>
      <c r="G27" s="645"/>
      <c r="H27" s="645"/>
      <c r="I27" s="645"/>
      <c r="J27" s="645"/>
      <c r="K27" s="645"/>
      <c r="L27" s="645"/>
      <c r="M27" s="645"/>
      <c r="N27" s="645"/>
      <c r="O27" s="645"/>
      <c r="P27" s="645"/>
      <c r="Q27" s="645"/>
      <c r="R27" s="645"/>
      <c r="S27" s="645"/>
      <c r="T27" s="645"/>
      <c r="U27" s="645"/>
      <c r="V27" s="645"/>
      <c r="W27" s="645"/>
    </row>
    <row r="28" ht="12.75" customHeight="1">
      <c r="A28" s="645"/>
      <c r="B28" s="645"/>
      <c r="C28" s="645"/>
      <c r="D28" s="645"/>
      <c r="E28" s="645"/>
      <c r="F28" s="645"/>
      <c r="G28" s="645"/>
      <c r="H28" s="645"/>
      <c r="I28" s="645"/>
      <c r="J28" s="645"/>
      <c r="K28" s="645"/>
      <c r="L28" s="645"/>
      <c r="M28" s="645"/>
      <c r="N28" s="645"/>
      <c r="O28" s="645"/>
      <c r="P28" s="645"/>
      <c r="Q28" s="645"/>
      <c r="R28" s="645"/>
      <c r="S28" s="645"/>
      <c r="T28" s="645"/>
      <c r="U28" s="645"/>
      <c r="V28" s="645"/>
      <c r="W28" s="645"/>
    </row>
    <row r="29" ht="12.75" customHeight="1">
      <c r="A29" s="645"/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645"/>
      <c r="T29" s="645"/>
      <c r="U29" s="645"/>
      <c r="V29" s="645"/>
      <c r="W29" s="645"/>
    </row>
    <row r="30" ht="12.75" customHeight="1">
      <c r="A30" s="645"/>
      <c r="B30" s="645"/>
      <c r="C30" s="645"/>
      <c r="D30" s="645"/>
      <c r="E30" s="645"/>
      <c r="F30" s="645"/>
      <c r="G30" s="645"/>
      <c r="H30" s="645"/>
      <c r="I30" s="645"/>
      <c r="J30" s="645"/>
      <c r="K30" s="645"/>
      <c r="L30" s="645"/>
      <c r="M30" s="645"/>
      <c r="N30" s="645"/>
      <c r="O30" s="645"/>
      <c r="P30" s="645"/>
      <c r="Q30" s="645"/>
      <c r="R30" s="645"/>
      <c r="S30" s="645"/>
      <c r="T30" s="645"/>
      <c r="U30" s="645"/>
      <c r="V30" s="645"/>
      <c r="W30" s="645"/>
    </row>
    <row r="31" ht="12.75" customHeight="1">
      <c r="A31" s="645"/>
      <c r="B31" s="645"/>
      <c r="C31" s="645"/>
      <c r="D31" s="645"/>
      <c r="E31" s="645"/>
      <c r="F31" s="645"/>
      <c r="G31" s="645"/>
      <c r="H31" s="645"/>
      <c r="I31" s="645"/>
      <c r="J31" s="645"/>
      <c r="K31" s="645"/>
      <c r="L31" s="645"/>
      <c r="M31" s="645"/>
      <c r="N31" s="645"/>
      <c r="O31" s="645"/>
      <c r="P31" s="645"/>
      <c r="Q31" s="645"/>
      <c r="R31" s="645"/>
      <c r="S31" s="645"/>
      <c r="T31" s="645"/>
      <c r="U31" s="645"/>
      <c r="V31" s="645"/>
      <c r="W31" s="645"/>
    </row>
    <row r="32" ht="12.75" customHeight="1">
      <c r="A32" s="645"/>
      <c r="B32" s="645"/>
      <c r="C32" s="645"/>
      <c r="D32" s="645"/>
      <c r="E32" s="645"/>
      <c r="F32" s="645"/>
      <c r="G32" s="645"/>
      <c r="H32" s="645"/>
      <c r="I32" s="645"/>
      <c r="J32" s="645"/>
      <c r="K32" s="645"/>
      <c r="L32" s="645"/>
      <c r="M32" s="645"/>
      <c r="N32" s="645"/>
      <c r="O32" s="645"/>
      <c r="P32" s="645"/>
      <c r="Q32" s="645"/>
      <c r="R32" s="645"/>
      <c r="S32" s="645"/>
      <c r="T32" s="645"/>
      <c r="U32" s="645"/>
      <c r="V32" s="645"/>
      <c r="W32" s="645"/>
    </row>
    <row r="33" ht="12.75" customHeight="1">
      <c r="A33" s="645"/>
      <c r="B33" s="645"/>
      <c r="C33" s="645"/>
      <c r="D33" s="645"/>
      <c r="E33" s="645"/>
      <c r="F33" s="645"/>
      <c r="G33" s="645"/>
      <c r="H33" s="645"/>
      <c r="I33" s="645"/>
      <c r="J33" s="645"/>
      <c r="K33" s="645"/>
      <c r="L33" s="645"/>
      <c r="M33" s="645"/>
      <c r="N33" s="645"/>
      <c r="O33" s="645"/>
      <c r="P33" s="645"/>
      <c r="Q33" s="645"/>
      <c r="R33" s="645"/>
      <c r="S33" s="645"/>
      <c r="T33" s="645"/>
      <c r="U33" s="645"/>
      <c r="V33" s="645"/>
      <c r="W33" s="645"/>
    </row>
    <row r="34" ht="12.75" customHeight="1">
      <c r="A34" s="645"/>
      <c r="B34" s="645"/>
      <c r="C34" s="645"/>
      <c r="D34" s="645"/>
      <c r="E34" s="645"/>
      <c r="F34" s="645"/>
      <c r="G34" s="645"/>
      <c r="H34" s="645"/>
      <c r="I34" s="645"/>
      <c r="J34" s="645"/>
      <c r="K34" s="645"/>
      <c r="L34" s="645"/>
      <c r="M34" s="645"/>
      <c r="N34" s="645"/>
      <c r="O34" s="645"/>
      <c r="P34" s="645"/>
      <c r="Q34" s="645"/>
      <c r="R34" s="645"/>
      <c r="S34" s="645"/>
      <c r="T34" s="645"/>
      <c r="U34" s="645"/>
      <c r="V34" s="645"/>
      <c r="W34" s="645"/>
    </row>
    <row r="35" ht="12.75" customHeight="1">
      <c r="A35" s="645"/>
      <c r="B35" s="645"/>
      <c r="C35" s="645"/>
      <c r="D35" s="645"/>
      <c r="E35" s="645"/>
      <c r="F35" s="645"/>
      <c r="G35" s="645"/>
      <c r="H35" s="645"/>
      <c r="I35" s="645"/>
      <c r="J35" s="645"/>
      <c r="K35" s="645"/>
      <c r="L35" s="645"/>
      <c r="M35" s="645"/>
      <c r="N35" s="645"/>
      <c r="O35" s="645"/>
      <c r="P35" s="645"/>
      <c r="Q35" s="645"/>
      <c r="R35" s="645"/>
      <c r="S35" s="645"/>
      <c r="T35" s="645"/>
      <c r="U35" s="645"/>
      <c r="V35" s="645"/>
      <c r="W35" s="645"/>
    </row>
    <row r="36" ht="12.75" customHeight="1">
      <c r="A36" s="645"/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645"/>
      <c r="T36" s="645"/>
      <c r="U36" s="645"/>
      <c r="V36" s="645"/>
      <c r="W36" s="645"/>
    </row>
    <row r="37" ht="12.75" customHeight="1">
      <c r="A37" s="645"/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5"/>
      <c r="T37" s="645"/>
      <c r="U37" s="645"/>
      <c r="V37" s="645"/>
      <c r="W37" s="645"/>
    </row>
    <row r="38" ht="12.75" customHeight="1">
      <c r="A38" s="645"/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5"/>
      <c r="T38" s="645"/>
      <c r="U38" s="645"/>
      <c r="V38" s="645"/>
      <c r="W38" s="645"/>
    </row>
    <row r="39" ht="12.75" customHeight="1">
      <c r="A39" s="645"/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5"/>
      <c r="T39" s="645"/>
      <c r="U39" s="645"/>
      <c r="V39" s="645"/>
      <c r="W39" s="645"/>
    </row>
    <row r="40" ht="12.75" customHeight="1">
      <c r="A40" s="645"/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5"/>
      <c r="T40" s="645"/>
      <c r="U40" s="645"/>
      <c r="V40" s="645"/>
      <c r="W40" s="645"/>
    </row>
    <row r="41" ht="12.75" customHeight="1">
      <c r="A41" s="645"/>
      <c r="B41" s="645"/>
      <c r="C41" s="645"/>
      <c r="D41" s="645"/>
      <c r="E41" s="645"/>
      <c r="F41" s="645"/>
      <c r="G41" s="645"/>
      <c r="H41" s="645"/>
      <c r="I41" s="645"/>
      <c r="J41" s="645"/>
      <c r="K41" s="645"/>
      <c r="L41" s="645"/>
      <c r="M41" s="645"/>
      <c r="N41" s="645"/>
      <c r="O41" s="645"/>
      <c r="P41" s="645"/>
      <c r="Q41" s="645"/>
      <c r="R41" s="645"/>
      <c r="S41" s="645"/>
      <c r="T41" s="645"/>
      <c r="U41" s="645"/>
      <c r="V41" s="645"/>
      <c r="W41" s="645"/>
    </row>
    <row r="42" ht="12.75" customHeight="1">
      <c r="A42" s="645"/>
      <c r="B42" s="645"/>
      <c r="C42" s="645"/>
      <c r="D42" s="645"/>
      <c r="E42" s="645"/>
      <c r="F42" s="645"/>
      <c r="G42" s="645"/>
      <c r="H42" s="645"/>
      <c r="I42" s="645"/>
      <c r="J42" s="645"/>
      <c r="K42" s="645"/>
      <c r="L42" s="645"/>
      <c r="M42" s="645"/>
      <c r="N42" s="645"/>
      <c r="O42" s="645"/>
      <c r="P42" s="645"/>
      <c r="Q42" s="645"/>
      <c r="R42" s="645"/>
      <c r="S42" s="645"/>
      <c r="T42" s="645"/>
      <c r="U42" s="645"/>
      <c r="V42" s="645"/>
      <c r="W42" s="645"/>
    </row>
    <row r="43" ht="12.75" customHeight="1">
      <c r="A43" s="645"/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645"/>
      <c r="T43" s="645"/>
      <c r="U43" s="645"/>
      <c r="V43" s="645"/>
      <c r="W43" s="645"/>
    </row>
    <row r="44" ht="12.75" customHeight="1">
      <c r="A44" s="645"/>
      <c r="B44" s="645"/>
      <c r="C44" s="645"/>
      <c r="D44" s="645"/>
      <c r="E44" s="645"/>
      <c r="F44" s="645"/>
      <c r="G44" s="645"/>
      <c r="H44" s="645"/>
      <c r="I44" s="645"/>
      <c r="J44" s="645"/>
      <c r="K44" s="645"/>
      <c r="L44" s="645"/>
      <c r="M44" s="645"/>
      <c r="N44" s="645"/>
      <c r="O44" s="645"/>
      <c r="P44" s="645"/>
      <c r="Q44" s="645"/>
      <c r="R44" s="645"/>
      <c r="S44" s="645"/>
      <c r="T44" s="645"/>
      <c r="U44" s="645"/>
      <c r="V44" s="645"/>
      <c r="W44" s="645"/>
    </row>
    <row r="45" ht="12.75" customHeight="1">
      <c r="A45" s="645"/>
      <c r="B45" s="645"/>
      <c r="C45" s="645"/>
      <c r="D45" s="645"/>
      <c r="E45" s="645"/>
      <c r="F45" s="645"/>
      <c r="G45" s="645"/>
      <c r="H45" s="645"/>
      <c r="I45" s="645"/>
      <c r="J45" s="645"/>
      <c r="K45" s="645"/>
      <c r="L45" s="645"/>
      <c r="M45" s="645"/>
      <c r="N45" s="645"/>
      <c r="O45" s="645"/>
      <c r="P45" s="645"/>
      <c r="Q45" s="645"/>
      <c r="R45" s="645"/>
      <c r="S45" s="645"/>
      <c r="T45" s="645"/>
      <c r="U45" s="645"/>
      <c r="V45" s="645"/>
      <c r="W45" s="645"/>
    </row>
    <row r="46" ht="12.75" customHeight="1">
      <c r="A46" s="645"/>
      <c r="B46" s="645"/>
      <c r="C46" s="645"/>
      <c r="D46" s="645"/>
      <c r="E46" s="645"/>
      <c r="F46" s="645"/>
      <c r="G46" s="645"/>
      <c r="H46" s="645"/>
      <c r="I46" s="645"/>
      <c r="J46" s="645"/>
      <c r="K46" s="645"/>
      <c r="L46" s="645"/>
      <c r="M46" s="645"/>
      <c r="N46" s="645"/>
      <c r="O46" s="645"/>
      <c r="P46" s="645"/>
      <c r="Q46" s="645"/>
      <c r="R46" s="645"/>
      <c r="S46" s="645"/>
      <c r="T46" s="645"/>
      <c r="U46" s="645"/>
      <c r="V46" s="645"/>
      <c r="W46" s="645"/>
    </row>
    <row r="47" ht="12.75" customHeight="1">
      <c r="A47" s="645"/>
      <c r="B47" s="645"/>
      <c r="C47" s="645"/>
      <c r="D47" s="645"/>
      <c r="E47" s="645"/>
      <c r="F47" s="645"/>
      <c r="G47" s="645"/>
      <c r="H47" s="645"/>
      <c r="I47" s="645"/>
      <c r="J47" s="645"/>
      <c r="K47" s="645"/>
      <c r="L47" s="645"/>
      <c r="M47" s="645"/>
      <c r="N47" s="645"/>
      <c r="O47" s="645"/>
      <c r="P47" s="645"/>
      <c r="Q47" s="645"/>
      <c r="R47" s="645"/>
      <c r="S47" s="645"/>
      <c r="T47" s="645"/>
      <c r="U47" s="645"/>
      <c r="V47" s="645"/>
      <c r="W47" s="645"/>
    </row>
    <row r="48" ht="12.75" customHeight="1">
      <c r="A48" s="645"/>
      <c r="B48" s="645"/>
      <c r="C48" s="645"/>
      <c r="D48" s="645"/>
      <c r="E48" s="645"/>
      <c r="F48" s="645"/>
      <c r="G48" s="645"/>
      <c r="H48" s="645"/>
      <c r="I48" s="645"/>
      <c r="J48" s="645"/>
      <c r="K48" s="645"/>
      <c r="L48" s="645"/>
      <c r="M48" s="645"/>
      <c r="N48" s="645"/>
      <c r="O48" s="645"/>
      <c r="P48" s="645"/>
      <c r="Q48" s="645"/>
      <c r="R48" s="645"/>
      <c r="S48" s="645"/>
      <c r="T48" s="645"/>
      <c r="U48" s="645"/>
      <c r="V48" s="645"/>
      <c r="W48" s="645"/>
    </row>
    <row r="49" ht="12.75" customHeight="1">
      <c r="A49" s="645"/>
      <c r="B49" s="645"/>
      <c r="C49" s="645"/>
      <c r="D49" s="645"/>
      <c r="E49" s="645"/>
      <c r="F49" s="645"/>
      <c r="G49" s="645"/>
      <c r="H49" s="645"/>
      <c r="I49" s="645"/>
      <c r="J49" s="645"/>
      <c r="K49" s="645"/>
      <c r="L49" s="645"/>
      <c r="M49" s="645"/>
      <c r="N49" s="645"/>
      <c r="O49" s="645"/>
      <c r="P49" s="645"/>
      <c r="Q49" s="645"/>
      <c r="R49" s="645"/>
      <c r="S49" s="645"/>
      <c r="T49" s="645"/>
      <c r="U49" s="645"/>
      <c r="V49" s="645"/>
      <c r="W49" s="645"/>
    </row>
    <row r="50" ht="12.75" customHeight="1">
      <c r="A50" s="645"/>
      <c r="B50" s="645"/>
      <c r="C50" s="645"/>
      <c r="D50" s="645"/>
      <c r="E50" s="645"/>
      <c r="F50" s="645"/>
      <c r="G50" s="645"/>
      <c r="H50" s="645"/>
      <c r="I50" s="645"/>
      <c r="J50" s="645"/>
      <c r="K50" s="645"/>
      <c r="L50" s="645"/>
      <c r="M50" s="645"/>
      <c r="N50" s="645"/>
      <c r="O50" s="645"/>
      <c r="P50" s="645"/>
      <c r="Q50" s="645"/>
      <c r="R50" s="645"/>
      <c r="S50" s="645"/>
      <c r="T50" s="645"/>
      <c r="U50" s="645"/>
      <c r="V50" s="645"/>
      <c r="W50" s="645"/>
    </row>
    <row r="51" ht="12.75" customHeight="1">
      <c r="A51" s="645"/>
      <c r="B51" s="645"/>
      <c r="C51" s="645"/>
      <c r="D51" s="645"/>
      <c r="E51" s="645"/>
      <c r="F51" s="645"/>
      <c r="G51" s="645"/>
      <c r="H51" s="645"/>
      <c r="I51" s="645"/>
      <c r="J51" s="645"/>
      <c r="K51" s="645"/>
      <c r="L51" s="645"/>
      <c r="M51" s="645"/>
      <c r="N51" s="645"/>
      <c r="O51" s="645"/>
      <c r="P51" s="645"/>
      <c r="Q51" s="645"/>
      <c r="R51" s="645"/>
      <c r="S51" s="645"/>
      <c r="T51" s="645"/>
      <c r="U51" s="645"/>
      <c r="V51" s="645"/>
      <c r="W51" s="645"/>
    </row>
    <row r="52" ht="12.75" customHeight="1">
      <c r="A52" s="645"/>
      <c r="B52" s="645"/>
      <c r="C52" s="645"/>
      <c r="D52" s="645"/>
      <c r="E52" s="645"/>
      <c r="F52" s="645"/>
      <c r="G52" s="645"/>
      <c r="H52" s="645"/>
      <c r="I52" s="645"/>
      <c r="J52" s="645"/>
      <c r="K52" s="645"/>
      <c r="L52" s="645"/>
      <c r="M52" s="645"/>
      <c r="N52" s="645"/>
      <c r="O52" s="645"/>
      <c r="P52" s="645"/>
      <c r="Q52" s="645"/>
      <c r="R52" s="645"/>
      <c r="S52" s="645"/>
      <c r="T52" s="645"/>
      <c r="U52" s="645"/>
      <c r="V52" s="645"/>
      <c r="W52" s="645"/>
    </row>
    <row r="53" ht="12.75" customHeight="1">
      <c r="A53" s="645"/>
      <c r="B53" s="645"/>
      <c r="C53" s="645"/>
      <c r="D53" s="645"/>
      <c r="E53" s="645"/>
      <c r="F53" s="645"/>
      <c r="G53" s="645"/>
      <c r="H53" s="645"/>
      <c r="I53" s="645"/>
      <c r="J53" s="645"/>
      <c r="K53" s="645"/>
      <c r="L53" s="645"/>
      <c r="M53" s="645"/>
      <c r="N53" s="645"/>
      <c r="O53" s="645"/>
      <c r="P53" s="645"/>
      <c r="Q53" s="645"/>
      <c r="R53" s="645"/>
      <c r="S53" s="645"/>
      <c r="T53" s="645"/>
      <c r="U53" s="645"/>
      <c r="V53" s="645"/>
      <c r="W53" s="645"/>
    </row>
    <row r="54" ht="12.75" customHeight="1">
      <c r="A54" s="645"/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645"/>
      <c r="T54" s="645"/>
      <c r="U54" s="645"/>
      <c r="V54" s="645"/>
      <c r="W54" s="645"/>
    </row>
    <row r="55" ht="12.75" customHeight="1">
      <c r="A55" s="645"/>
      <c r="B55" s="645"/>
      <c r="C55" s="645"/>
      <c r="D55" s="645"/>
      <c r="E55" s="645"/>
      <c r="F55" s="645"/>
      <c r="G55" s="645"/>
      <c r="H55" s="645"/>
      <c r="I55" s="645"/>
      <c r="J55" s="645"/>
      <c r="K55" s="645"/>
      <c r="L55" s="645"/>
      <c r="M55" s="645"/>
      <c r="N55" s="645"/>
      <c r="O55" s="645"/>
      <c r="P55" s="645"/>
      <c r="Q55" s="645"/>
      <c r="R55" s="645"/>
      <c r="S55" s="645"/>
      <c r="T55" s="645"/>
      <c r="U55" s="645"/>
      <c r="V55" s="645"/>
      <c r="W55" s="645"/>
    </row>
    <row r="56" ht="12.75" customHeight="1">
      <c r="A56" s="645"/>
      <c r="B56" s="645"/>
      <c r="C56" s="645"/>
      <c r="D56" s="645"/>
      <c r="E56" s="645"/>
      <c r="F56" s="645"/>
      <c r="G56" s="645"/>
      <c r="H56" s="645"/>
      <c r="I56" s="645"/>
      <c r="J56" s="645"/>
      <c r="K56" s="645"/>
      <c r="L56" s="645"/>
      <c r="M56" s="645"/>
      <c r="N56" s="645"/>
      <c r="O56" s="645"/>
      <c r="P56" s="645"/>
      <c r="Q56" s="645"/>
      <c r="R56" s="645"/>
      <c r="S56" s="645"/>
      <c r="T56" s="645"/>
      <c r="U56" s="645"/>
      <c r="V56" s="645"/>
      <c r="W56" s="645"/>
    </row>
    <row r="57" ht="12.75" customHeight="1">
      <c r="A57" s="645"/>
      <c r="B57" s="645"/>
      <c r="C57" s="645"/>
      <c r="D57" s="645"/>
      <c r="E57" s="645"/>
      <c r="F57" s="645"/>
      <c r="G57" s="645"/>
      <c r="H57" s="645"/>
      <c r="I57" s="645"/>
      <c r="J57" s="645"/>
      <c r="K57" s="645"/>
      <c r="L57" s="645"/>
      <c r="M57" s="645"/>
      <c r="N57" s="645"/>
      <c r="O57" s="645"/>
      <c r="P57" s="645"/>
      <c r="Q57" s="645"/>
      <c r="R57" s="645"/>
      <c r="S57" s="645"/>
      <c r="T57" s="645"/>
      <c r="U57" s="645"/>
      <c r="V57" s="645"/>
      <c r="W57" s="645"/>
    </row>
    <row r="58" ht="12.75" customHeight="1">
      <c r="A58" s="645"/>
      <c r="B58" s="645"/>
      <c r="C58" s="645"/>
      <c r="D58" s="645"/>
      <c r="E58" s="645"/>
      <c r="F58" s="645"/>
      <c r="G58" s="645"/>
      <c r="H58" s="645"/>
      <c r="I58" s="645"/>
      <c r="J58" s="645"/>
      <c r="K58" s="645"/>
      <c r="L58" s="645"/>
      <c r="M58" s="645"/>
      <c r="N58" s="645"/>
      <c r="O58" s="645"/>
      <c r="P58" s="645"/>
      <c r="Q58" s="645"/>
      <c r="R58" s="645"/>
      <c r="S58" s="645"/>
      <c r="T58" s="645"/>
      <c r="U58" s="645"/>
      <c r="V58" s="645"/>
      <c r="W58" s="645"/>
    </row>
    <row r="59" ht="12.75" customHeight="1">
      <c r="A59" s="645"/>
      <c r="B59" s="645"/>
      <c r="C59" s="645"/>
      <c r="D59" s="645"/>
      <c r="E59" s="645"/>
      <c r="F59" s="645"/>
      <c r="G59" s="645"/>
      <c r="H59" s="645"/>
      <c r="I59" s="645"/>
      <c r="J59" s="645"/>
      <c r="K59" s="645"/>
      <c r="L59" s="645"/>
      <c r="M59" s="645"/>
      <c r="N59" s="645"/>
      <c r="O59" s="645"/>
      <c r="P59" s="645"/>
      <c r="Q59" s="645"/>
      <c r="R59" s="645"/>
      <c r="S59" s="645"/>
      <c r="T59" s="645"/>
      <c r="U59" s="645"/>
      <c r="V59" s="645"/>
      <c r="W59" s="645"/>
    </row>
    <row r="60" ht="12.75" customHeight="1">
      <c r="A60" s="645"/>
      <c r="B60" s="645"/>
      <c r="C60" s="645"/>
      <c r="D60" s="645"/>
      <c r="E60" s="645"/>
      <c r="F60" s="645"/>
      <c r="G60" s="645"/>
      <c r="H60" s="645"/>
      <c r="I60" s="645"/>
      <c r="J60" s="645"/>
      <c r="K60" s="645"/>
      <c r="L60" s="645"/>
      <c r="M60" s="645"/>
      <c r="N60" s="645"/>
      <c r="O60" s="645"/>
      <c r="P60" s="645"/>
      <c r="Q60" s="645"/>
      <c r="R60" s="645"/>
      <c r="S60" s="645"/>
      <c r="T60" s="645"/>
      <c r="U60" s="645"/>
      <c r="V60" s="645"/>
      <c r="W60" s="645"/>
    </row>
    <row r="61" ht="12.75" customHeight="1">
      <c r="A61" s="645"/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645"/>
      <c r="T61" s="645"/>
      <c r="U61" s="645"/>
      <c r="V61" s="645"/>
      <c r="W61" s="645"/>
    </row>
    <row r="62" ht="12.75" customHeight="1">
      <c r="A62" s="645"/>
      <c r="B62" s="645"/>
      <c r="C62" s="645"/>
      <c r="D62" s="645"/>
      <c r="E62" s="645"/>
      <c r="F62" s="645"/>
      <c r="G62" s="645"/>
      <c r="H62" s="645"/>
      <c r="I62" s="645"/>
      <c r="J62" s="645"/>
      <c r="K62" s="645"/>
      <c r="L62" s="645"/>
      <c r="M62" s="645"/>
      <c r="N62" s="645"/>
      <c r="O62" s="645"/>
      <c r="P62" s="645"/>
      <c r="Q62" s="645"/>
      <c r="R62" s="645"/>
      <c r="S62" s="645"/>
      <c r="T62" s="645"/>
      <c r="U62" s="645"/>
      <c r="V62" s="645"/>
      <c r="W62" s="645"/>
    </row>
    <row r="63" ht="12.75" customHeight="1">
      <c r="A63" s="645"/>
      <c r="B63" s="645"/>
      <c r="C63" s="645"/>
      <c r="D63" s="645"/>
      <c r="E63" s="645"/>
      <c r="F63" s="645"/>
      <c r="G63" s="645"/>
      <c r="H63" s="645"/>
      <c r="I63" s="645"/>
      <c r="J63" s="645"/>
      <c r="K63" s="645"/>
      <c r="L63" s="645"/>
      <c r="M63" s="645"/>
      <c r="N63" s="645"/>
      <c r="O63" s="645"/>
      <c r="P63" s="645"/>
      <c r="Q63" s="645"/>
      <c r="R63" s="645"/>
      <c r="S63" s="645"/>
      <c r="T63" s="645"/>
      <c r="U63" s="645"/>
      <c r="V63" s="645"/>
      <c r="W63" s="645"/>
    </row>
    <row r="64" ht="12.75" customHeight="1">
      <c r="A64" s="645"/>
      <c r="B64" s="645"/>
      <c r="C64" s="645"/>
      <c r="D64" s="645"/>
      <c r="E64" s="645"/>
      <c r="F64" s="645"/>
      <c r="G64" s="645"/>
      <c r="H64" s="645"/>
      <c r="I64" s="645"/>
      <c r="J64" s="645"/>
      <c r="K64" s="645"/>
      <c r="L64" s="645"/>
      <c r="M64" s="645"/>
      <c r="N64" s="645"/>
      <c r="O64" s="645"/>
      <c r="P64" s="645"/>
      <c r="Q64" s="645"/>
      <c r="R64" s="645"/>
      <c r="S64" s="645"/>
      <c r="T64" s="645"/>
      <c r="U64" s="645"/>
      <c r="V64" s="645"/>
      <c r="W64" s="645"/>
    </row>
    <row r="65" ht="12.75" customHeight="1">
      <c r="A65" s="645"/>
      <c r="B65" s="645"/>
      <c r="C65" s="645"/>
      <c r="D65" s="645"/>
      <c r="E65" s="645"/>
      <c r="F65" s="645"/>
      <c r="G65" s="645"/>
      <c r="H65" s="645"/>
      <c r="I65" s="645"/>
      <c r="J65" s="645"/>
      <c r="K65" s="645"/>
      <c r="L65" s="645"/>
      <c r="M65" s="645"/>
      <c r="N65" s="645"/>
      <c r="O65" s="645"/>
      <c r="P65" s="645"/>
      <c r="Q65" s="645"/>
      <c r="R65" s="645"/>
      <c r="S65" s="645"/>
      <c r="T65" s="645"/>
      <c r="U65" s="645"/>
      <c r="V65" s="645"/>
      <c r="W65" s="645"/>
    </row>
    <row r="66" ht="12.75" customHeight="1">
      <c r="A66" s="645"/>
      <c r="B66" s="645"/>
      <c r="C66" s="645"/>
      <c r="D66" s="645"/>
      <c r="E66" s="645"/>
      <c r="F66" s="645"/>
      <c r="G66" s="645"/>
      <c r="H66" s="645"/>
      <c r="I66" s="645"/>
      <c r="J66" s="645"/>
      <c r="K66" s="645"/>
      <c r="L66" s="645"/>
      <c r="M66" s="645"/>
      <c r="N66" s="645"/>
      <c r="O66" s="645"/>
      <c r="P66" s="645"/>
      <c r="Q66" s="645"/>
      <c r="R66" s="645"/>
      <c r="S66" s="645"/>
      <c r="T66" s="645"/>
      <c r="U66" s="645"/>
      <c r="V66" s="645"/>
      <c r="W66" s="645"/>
    </row>
    <row r="67" ht="12.75" customHeight="1">
      <c r="A67" s="645"/>
      <c r="B67" s="645"/>
      <c r="C67" s="645"/>
      <c r="D67" s="645"/>
      <c r="E67" s="645"/>
      <c r="F67" s="645"/>
      <c r="G67" s="645"/>
      <c r="H67" s="645"/>
      <c r="I67" s="645"/>
      <c r="J67" s="645"/>
      <c r="K67" s="645"/>
      <c r="L67" s="645"/>
      <c r="M67" s="645"/>
      <c r="N67" s="645"/>
      <c r="O67" s="645"/>
      <c r="P67" s="645"/>
      <c r="Q67" s="645"/>
      <c r="R67" s="645"/>
      <c r="S67" s="645"/>
      <c r="T67" s="645"/>
      <c r="U67" s="645"/>
      <c r="V67" s="645"/>
      <c r="W67" s="645"/>
    </row>
    <row r="68" ht="12.75" customHeight="1">
      <c r="A68" s="645"/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645"/>
      <c r="T68" s="645"/>
      <c r="U68" s="645"/>
      <c r="V68" s="645"/>
      <c r="W68" s="645"/>
    </row>
    <row r="69" ht="12.75" customHeight="1">
      <c r="A69" s="645"/>
      <c r="B69" s="645"/>
      <c r="C69" s="645"/>
      <c r="D69" s="645"/>
      <c r="E69" s="645"/>
      <c r="F69" s="645"/>
      <c r="G69" s="645"/>
      <c r="H69" s="645"/>
      <c r="I69" s="645"/>
      <c r="J69" s="645"/>
      <c r="K69" s="645"/>
      <c r="L69" s="645"/>
      <c r="M69" s="645"/>
      <c r="N69" s="645"/>
      <c r="O69" s="645"/>
      <c r="P69" s="645"/>
      <c r="Q69" s="645"/>
      <c r="R69" s="645"/>
      <c r="S69" s="645"/>
      <c r="T69" s="645"/>
      <c r="U69" s="645"/>
      <c r="V69" s="645"/>
      <c r="W69" s="645"/>
    </row>
    <row r="70" ht="12.75" customHeight="1">
      <c r="A70" s="645"/>
      <c r="B70" s="645"/>
      <c r="C70" s="645"/>
      <c r="D70" s="645"/>
      <c r="E70" s="645"/>
      <c r="F70" s="645"/>
      <c r="G70" s="645"/>
      <c r="H70" s="645"/>
      <c r="I70" s="645"/>
      <c r="J70" s="645"/>
      <c r="K70" s="645"/>
      <c r="L70" s="645"/>
      <c r="M70" s="645"/>
      <c r="N70" s="645"/>
      <c r="O70" s="645"/>
      <c r="P70" s="645"/>
      <c r="Q70" s="645"/>
      <c r="R70" s="645"/>
      <c r="S70" s="645"/>
      <c r="T70" s="645"/>
      <c r="U70" s="645"/>
      <c r="V70" s="645"/>
      <c r="W70" s="645"/>
    </row>
    <row r="71" ht="12.75" customHeight="1">
      <c r="A71" s="645"/>
      <c r="B71" s="645"/>
      <c r="C71" s="645"/>
      <c r="D71" s="645"/>
      <c r="E71" s="645"/>
      <c r="F71" s="645"/>
      <c r="G71" s="645"/>
      <c r="H71" s="645"/>
      <c r="I71" s="645"/>
      <c r="J71" s="645"/>
      <c r="K71" s="645"/>
      <c r="L71" s="645"/>
      <c r="M71" s="645"/>
      <c r="N71" s="645"/>
      <c r="O71" s="645"/>
      <c r="P71" s="645"/>
      <c r="Q71" s="645"/>
      <c r="R71" s="645"/>
      <c r="S71" s="645"/>
      <c r="T71" s="645"/>
      <c r="U71" s="645"/>
      <c r="V71" s="645"/>
      <c r="W71" s="645"/>
    </row>
    <row r="72" ht="12.75" customHeight="1">
      <c r="A72" s="645"/>
      <c r="B72" s="645"/>
      <c r="C72" s="645"/>
      <c r="D72" s="645"/>
      <c r="E72" s="645"/>
      <c r="F72" s="645"/>
      <c r="G72" s="645"/>
      <c r="H72" s="645"/>
      <c r="I72" s="645"/>
      <c r="J72" s="645"/>
      <c r="K72" s="645"/>
      <c r="L72" s="645"/>
      <c r="M72" s="645"/>
      <c r="N72" s="645"/>
      <c r="O72" s="645"/>
      <c r="P72" s="645"/>
      <c r="Q72" s="645"/>
      <c r="R72" s="645"/>
      <c r="S72" s="645"/>
      <c r="T72" s="645"/>
      <c r="U72" s="645"/>
      <c r="V72" s="645"/>
      <c r="W72" s="645"/>
    </row>
    <row r="73" ht="12.75" customHeight="1">
      <c r="A73" s="645"/>
      <c r="B73" s="645"/>
      <c r="C73" s="645"/>
      <c r="D73" s="645"/>
      <c r="E73" s="645"/>
      <c r="F73" s="645"/>
      <c r="G73" s="645"/>
      <c r="H73" s="645"/>
      <c r="I73" s="645"/>
      <c r="J73" s="645"/>
      <c r="K73" s="645"/>
      <c r="L73" s="645"/>
      <c r="M73" s="645"/>
      <c r="N73" s="645"/>
      <c r="O73" s="645"/>
      <c r="P73" s="645"/>
      <c r="Q73" s="645"/>
      <c r="R73" s="645"/>
      <c r="S73" s="645"/>
      <c r="T73" s="645"/>
      <c r="U73" s="645"/>
      <c r="V73" s="645"/>
      <c r="W73" s="645"/>
    </row>
    <row r="74" ht="12.75" customHeight="1">
      <c r="A74" s="645"/>
      <c r="B74" s="645"/>
      <c r="C74" s="645"/>
      <c r="D74" s="645"/>
      <c r="E74" s="645"/>
      <c r="F74" s="645"/>
      <c r="G74" s="645"/>
      <c r="H74" s="645"/>
      <c r="I74" s="645"/>
      <c r="J74" s="645"/>
      <c r="K74" s="645"/>
      <c r="L74" s="645"/>
      <c r="M74" s="645"/>
      <c r="N74" s="645"/>
      <c r="O74" s="645"/>
      <c r="P74" s="645"/>
      <c r="Q74" s="645"/>
      <c r="R74" s="645"/>
      <c r="S74" s="645"/>
      <c r="T74" s="645"/>
      <c r="U74" s="645"/>
      <c r="V74" s="645"/>
      <c r="W74" s="645"/>
    </row>
    <row r="75" ht="12.75" customHeight="1">
      <c r="A75" s="645"/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645"/>
      <c r="T75" s="645"/>
      <c r="U75" s="645"/>
      <c r="V75" s="645"/>
      <c r="W75" s="645"/>
    </row>
    <row r="76" ht="12.75" customHeight="1">
      <c r="A76" s="645"/>
      <c r="B76" s="645"/>
      <c r="C76" s="645"/>
      <c r="D76" s="645"/>
      <c r="E76" s="645"/>
      <c r="F76" s="645"/>
      <c r="G76" s="645"/>
      <c r="H76" s="645"/>
      <c r="I76" s="645"/>
      <c r="J76" s="645"/>
      <c r="K76" s="645"/>
      <c r="L76" s="645"/>
      <c r="M76" s="645"/>
      <c r="N76" s="645"/>
      <c r="O76" s="645"/>
      <c r="P76" s="645"/>
      <c r="Q76" s="645"/>
      <c r="R76" s="645"/>
      <c r="S76" s="645"/>
      <c r="T76" s="645"/>
      <c r="U76" s="645"/>
      <c r="V76" s="645"/>
      <c r="W76" s="645"/>
    </row>
    <row r="77" ht="12.75" customHeight="1">
      <c r="A77" s="645"/>
      <c r="B77" s="645"/>
      <c r="C77" s="645"/>
      <c r="D77" s="645"/>
      <c r="E77" s="645"/>
      <c r="F77" s="645"/>
      <c r="G77" s="645"/>
      <c r="H77" s="645"/>
      <c r="I77" s="645"/>
      <c r="J77" s="645"/>
      <c r="K77" s="645"/>
      <c r="L77" s="645"/>
      <c r="M77" s="645"/>
      <c r="N77" s="645"/>
      <c r="O77" s="645"/>
      <c r="P77" s="645"/>
      <c r="Q77" s="645"/>
      <c r="R77" s="645"/>
      <c r="S77" s="645"/>
      <c r="T77" s="645"/>
      <c r="U77" s="645"/>
      <c r="V77" s="645"/>
      <c r="W77" s="645"/>
    </row>
    <row r="78" ht="12.75" customHeight="1">
      <c r="A78" s="645"/>
      <c r="B78" s="645"/>
      <c r="C78" s="645"/>
      <c r="D78" s="645"/>
      <c r="E78" s="645"/>
      <c r="F78" s="645"/>
      <c r="G78" s="645"/>
      <c r="H78" s="645"/>
      <c r="I78" s="645"/>
      <c r="J78" s="645"/>
      <c r="K78" s="645"/>
      <c r="L78" s="645"/>
      <c r="M78" s="645"/>
      <c r="N78" s="645"/>
      <c r="O78" s="645"/>
      <c r="P78" s="645"/>
      <c r="Q78" s="645"/>
      <c r="R78" s="645"/>
      <c r="S78" s="645"/>
      <c r="T78" s="645"/>
      <c r="U78" s="645"/>
      <c r="V78" s="645"/>
      <c r="W78" s="645"/>
    </row>
    <row r="79" ht="12.75" customHeight="1">
      <c r="A79" s="645"/>
      <c r="B79" s="645"/>
      <c r="C79" s="645"/>
      <c r="D79" s="645"/>
      <c r="E79" s="645"/>
      <c r="F79" s="645"/>
      <c r="G79" s="645"/>
      <c r="H79" s="645"/>
      <c r="I79" s="645"/>
      <c r="J79" s="645"/>
      <c r="K79" s="645"/>
      <c r="L79" s="645"/>
      <c r="M79" s="645"/>
      <c r="N79" s="645"/>
      <c r="O79" s="645"/>
      <c r="P79" s="645"/>
      <c r="Q79" s="645"/>
      <c r="R79" s="645"/>
      <c r="S79" s="645"/>
      <c r="T79" s="645"/>
      <c r="U79" s="645"/>
      <c r="V79" s="645"/>
      <c r="W79" s="645"/>
    </row>
    <row r="80" ht="12.75" customHeight="1">
      <c r="A80" s="645"/>
      <c r="B80" s="645"/>
      <c r="C80" s="645"/>
      <c r="D80" s="645"/>
      <c r="E80" s="645"/>
      <c r="F80" s="645"/>
      <c r="G80" s="645"/>
      <c r="H80" s="645"/>
      <c r="I80" s="645"/>
      <c r="J80" s="645"/>
      <c r="K80" s="645"/>
      <c r="L80" s="645"/>
      <c r="M80" s="645"/>
      <c r="N80" s="645"/>
      <c r="O80" s="645"/>
      <c r="P80" s="645"/>
      <c r="Q80" s="645"/>
      <c r="R80" s="645"/>
      <c r="S80" s="645"/>
      <c r="T80" s="645"/>
      <c r="U80" s="645"/>
      <c r="V80" s="645"/>
      <c r="W80" s="645"/>
    </row>
    <row r="81" ht="12.75" customHeight="1">
      <c r="A81" s="645"/>
      <c r="B81" s="645"/>
      <c r="C81" s="645"/>
      <c r="D81" s="645"/>
      <c r="E81" s="645"/>
      <c r="F81" s="645"/>
      <c r="G81" s="645"/>
      <c r="H81" s="645"/>
      <c r="I81" s="645"/>
      <c r="J81" s="645"/>
      <c r="K81" s="645"/>
      <c r="L81" s="645"/>
      <c r="M81" s="645"/>
      <c r="N81" s="645"/>
      <c r="O81" s="645"/>
      <c r="P81" s="645"/>
      <c r="Q81" s="645"/>
      <c r="R81" s="645"/>
      <c r="S81" s="645"/>
      <c r="T81" s="645"/>
      <c r="U81" s="645"/>
      <c r="V81" s="645"/>
      <c r="W81" s="645"/>
    </row>
    <row r="82" ht="12.75" customHeight="1">
      <c r="A82" s="645"/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645"/>
      <c r="T82" s="645"/>
      <c r="U82" s="645"/>
      <c r="V82" s="645"/>
      <c r="W82" s="645"/>
    </row>
    <row r="83" ht="12.75" customHeight="1">
      <c r="A83" s="645"/>
      <c r="B83" s="645"/>
      <c r="C83" s="645"/>
      <c r="D83" s="645"/>
      <c r="E83" s="645"/>
      <c r="F83" s="645"/>
      <c r="G83" s="645"/>
      <c r="H83" s="645"/>
      <c r="I83" s="645"/>
      <c r="J83" s="645"/>
      <c r="K83" s="645"/>
      <c r="L83" s="645"/>
      <c r="M83" s="645"/>
      <c r="N83" s="645"/>
      <c r="O83" s="645"/>
      <c r="P83" s="645"/>
      <c r="Q83" s="645"/>
      <c r="R83" s="645"/>
      <c r="S83" s="645"/>
      <c r="T83" s="645"/>
      <c r="U83" s="645"/>
      <c r="V83" s="645"/>
      <c r="W83" s="645"/>
    </row>
    <row r="84" ht="12.75" customHeight="1">
      <c r="A84" s="645"/>
      <c r="B84" s="645"/>
      <c r="C84" s="645"/>
      <c r="D84" s="645"/>
      <c r="E84" s="645"/>
      <c r="F84" s="645"/>
      <c r="G84" s="645"/>
      <c r="H84" s="645"/>
      <c r="I84" s="645"/>
      <c r="J84" s="645"/>
      <c r="K84" s="645"/>
      <c r="L84" s="645"/>
      <c r="M84" s="645"/>
      <c r="N84" s="645"/>
      <c r="O84" s="645"/>
      <c r="P84" s="645"/>
      <c r="Q84" s="645"/>
      <c r="R84" s="645"/>
      <c r="S84" s="645"/>
      <c r="T84" s="645"/>
      <c r="U84" s="645"/>
      <c r="V84" s="645"/>
      <c r="W84" s="645"/>
    </row>
    <row r="85" ht="12.75" customHeight="1">
      <c r="A85" s="645"/>
      <c r="B85" s="645"/>
      <c r="C85" s="645"/>
      <c r="D85" s="645"/>
      <c r="E85" s="645"/>
      <c r="F85" s="645"/>
      <c r="G85" s="645"/>
      <c r="H85" s="645"/>
      <c r="I85" s="645"/>
      <c r="J85" s="645"/>
      <c r="K85" s="645"/>
      <c r="L85" s="645"/>
      <c r="M85" s="645"/>
      <c r="N85" s="645"/>
      <c r="O85" s="645"/>
      <c r="P85" s="645"/>
      <c r="Q85" s="645"/>
      <c r="R85" s="645"/>
      <c r="S85" s="645"/>
      <c r="T85" s="645"/>
      <c r="U85" s="645"/>
      <c r="V85" s="645"/>
      <c r="W85" s="645"/>
    </row>
    <row r="86" ht="12.75" customHeight="1">
      <c r="A86" s="645"/>
      <c r="B86" s="645"/>
      <c r="C86" s="645"/>
      <c r="D86" s="645"/>
      <c r="E86" s="645"/>
      <c r="F86" s="645"/>
      <c r="G86" s="645"/>
      <c r="H86" s="645"/>
      <c r="I86" s="645"/>
      <c r="J86" s="645"/>
      <c r="K86" s="645"/>
      <c r="L86" s="645"/>
      <c r="M86" s="645"/>
      <c r="N86" s="645"/>
      <c r="O86" s="645"/>
      <c r="P86" s="645"/>
      <c r="Q86" s="645"/>
      <c r="R86" s="645"/>
      <c r="S86" s="645"/>
      <c r="T86" s="645"/>
      <c r="U86" s="645"/>
      <c r="V86" s="645"/>
      <c r="W86" s="645"/>
    </row>
    <row r="87" ht="12.75" customHeight="1">
      <c r="A87" s="645"/>
      <c r="B87" s="645"/>
      <c r="C87" s="645"/>
      <c r="D87" s="645"/>
      <c r="E87" s="645"/>
      <c r="F87" s="645"/>
      <c r="G87" s="645"/>
      <c r="H87" s="645"/>
      <c r="I87" s="645"/>
      <c r="J87" s="645"/>
      <c r="K87" s="645"/>
      <c r="L87" s="645"/>
      <c r="M87" s="645"/>
      <c r="N87" s="645"/>
      <c r="O87" s="645"/>
      <c r="P87" s="645"/>
      <c r="Q87" s="645"/>
      <c r="R87" s="645"/>
      <c r="S87" s="645"/>
      <c r="T87" s="645"/>
      <c r="U87" s="645"/>
      <c r="V87" s="645"/>
      <c r="W87" s="645"/>
    </row>
    <row r="88" ht="12.75" customHeight="1">
      <c r="A88" s="645"/>
      <c r="B88" s="645"/>
      <c r="C88" s="645"/>
      <c r="D88" s="645"/>
      <c r="E88" s="645"/>
      <c r="F88" s="645"/>
      <c r="G88" s="645"/>
      <c r="H88" s="645"/>
      <c r="I88" s="645"/>
      <c r="J88" s="645"/>
      <c r="K88" s="645"/>
      <c r="L88" s="645"/>
      <c r="M88" s="645"/>
      <c r="N88" s="645"/>
      <c r="O88" s="645"/>
      <c r="P88" s="645"/>
      <c r="Q88" s="645"/>
      <c r="R88" s="645"/>
      <c r="S88" s="645"/>
      <c r="T88" s="645"/>
      <c r="U88" s="645"/>
      <c r="V88" s="645"/>
      <c r="W88" s="645"/>
    </row>
    <row r="89" ht="12.75" customHeight="1">
      <c r="A89" s="645"/>
      <c r="B89" s="645"/>
      <c r="C89" s="645"/>
      <c r="D89" s="645"/>
      <c r="E89" s="645"/>
      <c r="F89" s="645"/>
      <c r="G89" s="645"/>
      <c r="H89" s="645"/>
      <c r="I89" s="645"/>
      <c r="J89" s="645"/>
      <c r="K89" s="645"/>
      <c r="L89" s="645"/>
      <c r="M89" s="645"/>
      <c r="N89" s="645"/>
      <c r="O89" s="645"/>
      <c r="P89" s="645"/>
      <c r="Q89" s="645"/>
      <c r="R89" s="645"/>
      <c r="S89" s="645"/>
      <c r="T89" s="645"/>
      <c r="U89" s="645"/>
      <c r="V89" s="645"/>
      <c r="W89" s="645"/>
    </row>
    <row r="90" ht="12.75" customHeight="1">
      <c r="A90" s="645"/>
      <c r="B90" s="645"/>
      <c r="C90" s="645"/>
      <c r="D90" s="645"/>
      <c r="E90" s="645"/>
      <c r="F90" s="645"/>
      <c r="G90" s="645"/>
      <c r="H90" s="645"/>
      <c r="I90" s="645"/>
      <c r="J90" s="645"/>
      <c r="K90" s="645"/>
      <c r="L90" s="645"/>
      <c r="M90" s="645"/>
      <c r="N90" s="645"/>
      <c r="O90" s="645"/>
      <c r="P90" s="645"/>
      <c r="Q90" s="645"/>
      <c r="R90" s="645"/>
      <c r="S90" s="645"/>
      <c r="T90" s="645"/>
      <c r="U90" s="645"/>
      <c r="V90" s="645"/>
      <c r="W90" s="645"/>
    </row>
    <row r="91" ht="12.75" customHeight="1">
      <c r="A91" s="645"/>
      <c r="B91" s="645"/>
      <c r="C91" s="645"/>
      <c r="D91" s="645"/>
      <c r="E91" s="645"/>
      <c r="F91" s="645"/>
      <c r="G91" s="645"/>
      <c r="H91" s="645"/>
      <c r="I91" s="645"/>
      <c r="J91" s="645"/>
      <c r="K91" s="645"/>
      <c r="L91" s="645"/>
      <c r="M91" s="645"/>
      <c r="N91" s="645"/>
      <c r="O91" s="645"/>
      <c r="P91" s="645"/>
      <c r="Q91" s="645"/>
      <c r="R91" s="645"/>
      <c r="S91" s="645"/>
      <c r="T91" s="645"/>
      <c r="U91" s="645"/>
      <c r="V91" s="645"/>
      <c r="W91" s="645"/>
    </row>
    <row r="92" ht="12.75" customHeight="1">
      <c r="A92" s="645"/>
      <c r="B92" s="645"/>
      <c r="C92" s="645"/>
      <c r="D92" s="645"/>
      <c r="E92" s="645"/>
      <c r="F92" s="645"/>
      <c r="G92" s="645"/>
      <c r="H92" s="645"/>
      <c r="I92" s="645"/>
      <c r="J92" s="645"/>
      <c r="K92" s="645"/>
      <c r="L92" s="645"/>
      <c r="M92" s="645"/>
      <c r="N92" s="645"/>
      <c r="O92" s="645"/>
      <c r="P92" s="645"/>
      <c r="Q92" s="645"/>
      <c r="R92" s="645"/>
      <c r="S92" s="645"/>
      <c r="T92" s="645"/>
      <c r="U92" s="645"/>
      <c r="V92" s="645"/>
      <c r="W92" s="645"/>
    </row>
    <row r="93" ht="12.75" customHeight="1">
      <c r="A93" s="645"/>
      <c r="B93" s="645"/>
      <c r="C93" s="645"/>
      <c r="D93" s="645"/>
      <c r="E93" s="645"/>
      <c r="F93" s="645"/>
      <c r="G93" s="645"/>
      <c r="H93" s="645"/>
      <c r="I93" s="645"/>
      <c r="J93" s="645"/>
      <c r="K93" s="645"/>
      <c r="L93" s="645"/>
      <c r="M93" s="645"/>
      <c r="N93" s="645"/>
      <c r="O93" s="645"/>
      <c r="P93" s="645"/>
      <c r="Q93" s="645"/>
      <c r="R93" s="645"/>
      <c r="S93" s="645"/>
      <c r="T93" s="645"/>
      <c r="U93" s="645"/>
      <c r="V93" s="645"/>
      <c r="W93" s="645"/>
    </row>
    <row r="94" ht="12.75" customHeight="1">
      <c r="A94" s="645"/>
      <c r="B94" s="645"/>
      <c r="C94" s="645"/>
      <c r="D94" s="645"/>
      <c r="E94" s="645"/>
      <c r="F94" s="645"/>
      <c r="G94" s="645"/>
      <c r="H94" s="645"/>
      <c r="I94" s="645"/>
      <c r="J94" s="645"/>
      <c r="K94" s="645"/>
      <c r="L94" s="645"/>
      <c r="M94" s="645"/>
      <c r="N94" s="645"/>
      <c r="O94" s="645"/>
      <c r="P94" s="645"/>
      <c r="Q94" s="645"/>
      <c r="R94" s="645"/>
      <c r="S94" s="645"/>
      <c r="T94" s="645"/>
      <c r="U94" s="645"/>
      <c r="V94" s="645"/>
      <c r="W94" s="645"/>
    </row>
    <row r="95" ht="12.75" customHeight="1">
      <c r="A95" s="645"/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5"/>
      <c r="T95" s="645"/>
      <c r="U95" s="645"/>
      <c r="V95" s="645"/>
      <c r="W95" s="645"/>
    </row>
    <row r="96" ht="12.75" customHeight="1">
      <c r="A96" s="645"/>
      <c r="B96" s="645"/>
      <c r="C96" s="645"/>
      <c r="D96" s="645"/>
      <c r="E96" s="645"/>
      <c r="F96" s="645"/>
      <c r="G96" s="645"/>
      <c r="H96" s="645"/>
      <c r="I96" s="645"/>
      <c r="J96" s="645"/>
      <c r="K96" s="645"/>
      <c r="L96" s="645"/>
      <c r="M96" s="645"/>
      <c r="N96" s="645"/>
      <c r="O96" s="645"/>
      <c r="P96" s="645"/>
      <c r="Q96" s="645"/>
      <c r="R96" s="645"/>
      <c r="S96" s="645"/>
      <c r="T96" s="645"/>
      <c r="U96" s="645"/>
      <c r="V96" s="645"/>
      <c r="W96" s="645"/>
    </row>
    <row r="97" ht="12.75" customHeight="1">
      <c r="A97" s="645"/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5"/>
      <c r="T97" s="645"/>
      <c r="U97" s="645"/>
      <c r="V97" s="645"/>
      <c r="W97" s="645"/>
    </row>
    <row r="98" ht="12.75" customHeight="1">
      <c r="A98" s="645"/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5"/>
      <c r="T98" s="645"/>
      <c r="U98" s="645"/>
      <c r="V98" s="645"/>
      <c r="W98" s="645"/>
    </row>
    <row r="99" ht="12.75" customHeight="1">
      <c r="A99" s="645"/>
      <c r="B99" s="645"/>
      <c r="C99" s="645"/>
      <c r="D99" s="645"/>
      <c r="E99" s="645"/>
      <c r="F99" s="645"/>
      <c r="G99" s="645"/>
      <c r="H99" s="645"/>
      <c r="I99" s="645"/>
      <c r="J99" s="645"/>
      <c r="K99" s="645"/>
      <c r="L99" s="645"/>
      <c r="M99" s="645"/>
      <c r="N99" s="645"/>
      <c r="O99" s="645"/>
      <c r="P99" s="645"/>
      <c r="Q99" s="645"/>
      <c r="R99" s="645"/>
      <c r="S99" s="645"/>
      <c r="T99" s="645"/>
      <c r="U99" s="645"/>
      <c r="V99" s="645"/>
      <c r="W99" s="645"/>
    </row>
    <row r="100" ht="12.75" customHeight="1">
      <c r="A100" s="645"/>
      <c r="B100" s="645"/>
      <c r="C100" s="645"/>
      <c r="D100" s="645"/>
      <c r="E100" s="645"/>
      <c r="F100" s="645"/>
      <c r="G100" s="645"/>
      <c r="H100" s="645"/>
      <c r="I100" s="645"/>
      <c r="J100" s="645"/>
      <c r="K100" s="645"/>
      <c r="L100" s="645"/>
      <c r="M100" s="645"/>
      <c r="N100" s="645"/>
      <c r="O100" s="645"/>
      <c r="P100" s="645"/>
      <c r="Q100" s="645"/>
      <c r="R100" s="645"/>
      <c r="S100" s="645"/>
      <c r="T100" s="645"/>
      <c r="U100" s="645"/>
      <c r="V100" s="645"/>
      <c r="W100" s="645"/>
    </row>
    <row r="101" ht="12.75" customHeight="1">
      <c r="A101" s="645"/>
      <c r="B101" s="645"/>
      <c r="C101" s="645"/>
      <c r="D101" s="645"/>
      <c r="E101" s="645"/>
      <c r="F101" s="645"/>
      <c r="G101" s="645"/>
      <c r="H101" s="645"/>
      <c r="I101" s="645"/>
      <c r="J101" s="645"/>
      <c r="K101" s="645"/>
      <c r="L101" s="645"/>
      <c r="M101" s="645"/>
      <c r="N101" s="645"/>
      <c r="O101" s="645"/>
      <c r="P101" s="645"/>
      <c r="Q101" s="645"/>
      <c r="R101" s="645"/>
      <c r="S101" s="645"/>
      <c r="T101" s="645"/>
      <c r="U101" s="645"/>
      <c r="V101" s="645"/>
      <c r="W101" s="645"/>
    </row>
    <row r="102" ht="12.75" customHeight="1">
      <c r="A102" s="645"/>
      <c r="B102" s="645"/>
      <c r="C102" s="645"/>
      <c r="D102" s="645"/>
      <c r="E102" s="645"/>
      <c r="F102" s="645"/>
      <c r="G102" s="645"/>
      <c r="H102" s="645"/>
      <c r="I102" s="645"/>
      <c r="J102" s="645"/>
      <c r="K102" s="645"/>
      <c r="L102" s="645"/>
      <c r="M102" s="645"/>
      <c r="N102" s="645"/>
      <c r="O102" s="645"/>
      <c r="P102" s="645"/>
      <c r="Q102" s="645"/>
      <c r="R102" s="645"/>
      <c r="S102" s="645"/>
      <c r="T102" s="645"/>
      <c r="U102" s="645"/>
      <c r="V102" s="645"/>
      <c r="W102" s="645"/>
    </row>
    <row r="103" ht="12.75" customHeight="1">
      <c r="A103" s="645"/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5"/>
      <c r="P103" s="645"/>
      <c r="Q103" s="645"/>
      <c r="R103" s="645"/>
      <c r="S103" s="645"/>
      <c r="T103" s="645"/>
      <c r="U103" s="645"/>
      <c r="V103" s="645"/>
      <c r="W103" s="645"/>
    </row>
    <row r="104" ht="12.75" customHeight="1">
      <c r="A104" s="645"/>
      <c r="B104" s="645"/>
      <c r="C104" s="645"/>
      <c r="D104" s="645"/>
      <c r="E104" s="645"/>
      <c r="F104" s="645"/>
      <c r="G104" s="645"/>
      <c r="H104" s="645"/>
      <c r="I104" s="645"/>
      <c r="J104" s="645"/>
      <c r="K104" s="645"/>
      <c r="L104" s="645"/>
      <c r="M104" s="645"/>
      <c r="N104" s="645"/>
      <c r="O104" s="645"/>
      <c r="P104" s="645"/>
      <c r="Q104" s="645"/>
      <c r="R104" s="645"/>
      <c r="S104" s="645"/>
      <c r="T104" s="645"/>
      <c r="U104" s="645"/>
      <c r="V104" s="645"/>
      <c r="W104" s="645"/>
    </row>
    <row r="105" ht="12.75" customHeight="1">
      <c r="A105" s="645"/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5"/>
      <c r="P105" s="645"/>
      <c r="Q105" s="645"/>
      <c r="R105" s="645"/>
      <c r="S105" s="645"/>
      <c r="T105" s="645"/>
      <c r="U105" s="645"/>
      <c r="V105" s="645"/>
      <c r="W105" s="645"/>
    </row>
    <row r="106" ht="12.75" customHeight="1">
      <c r="A106" s="645"/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5"/>
      <c r="P106" s="645"/>
      <c r="Q106" s="645"/>
      <c r="R106" s="645"/>
      <c r="S106" s="645"/>
      <c r="T106" s="645"/>
      <c r="U106" s="645"/>
      <c r="V106" s="645"/>
      <c r="W106" s="645"/>
    </row>
    <row r="107" ht="12.75" customHeight="1">
      <c r="A107" s="645"/>
      <c r="B107" s="645"/>
      <c r="C107" s="645"/>
      <c r="D107" s="645"/>
      <c r="E107" s="645"/>
      <c r="F107" s="645"/>
      <c r="G107" s="645"/>
      <c r="H107" s="645"/>
      <c r="I107" s="645"/>
      <c r="J107" s="645"/>
      <c r="K107" s="645"/>
      <c r="L107" s="645"/>
      <c r="M107" s="645"/>
      <c r="N107" s="645"/>
      <c r="O107" s="645"/>
      <c r="P107" s="645"/>
      <c r="Q107" s="645"/>
      <c r="R107" s="645"/>
      <c r="S107" s="645"/>
      <c r="T107" s="645"/>
      <c r="U107" s="645"/>
      <c r="V107" s="645"/>
      <c r="W107" s="645"/>
    </row>
    <row r="108" ht="12.75" customHeight="1">
      <c r="A108" s="645"/>
      <c r="B108" s="645"/>
      <c r="C108" s="645"/>
      <c r="D108" s="645"/>
      <c r="E108" s="645"/>
      <c r="F108" s="645"/>
      <c r="G108" s="645"/>
      <c r="H108" s="645"/>
      <c r="I108" s="645"/>
      <c r="J108" s="645"/>
      <c r="K108" s="645"/>
      <c r="L108" s="645"/>
      <c r="M108" s="645"/>
      <c r="N108" s="645"/>
      <c r="O108" s="645"/>
      <c r="P108" s="645"/>
      <c r="Q108" s="645"/>
      <c r="R108" s="645"/>
      <c r="S108" s="645"/>
      <c r="T108" s="645"/>
      <c r="U108" s="645"/>
      <c r="V108" s="645"/>
      <c r="W108" s="645"/>
    </row>
    <row r="109" ht="12.75" customHeight="1">
      <c r="A109" s="645"/>
      <c r="B109" s="645"/>
      <c r="C109" s="645"/>
      <c r="D109" s="645"/>
      <c r="E109" s="645"/>
      <c r="F109" s="645"/>
      <c r="G109" s="645"/>
      <c r="H109" s="645"/>
      <c r="I109" s="645"/>
      <c r="J109" s="645"/>
      <c r="K109" s="645"/>
      <c r="L109" s="645"/>
      <c r="M109" s="645"/>
      <c r="N109" s="645"/>
      <c r="O109" s="645"/>
      <c r="P109" s="645"/>
      <c r="Q109" s="645"/>
      <c r="R109" s="645"/>
      <c r="S109" s="645"/>
      <c r="T109" s="645"/>
      <c r="U109" s="645"/>
      <c r="V109" s="645"/>
      <c r="W109" s="645"/>
    </row>
    <row r="110" ht="12.75" customHeight="1">
      <c r="A110" s="645"/>
      <c r="B110" s="645"/>
      <c r="C110" s="645"/>
      <c r="D110" s="645"/>
      <c r="E110" s="645"/>
      <c r="F110" s="645"/>
      <c r="G110" s="645"/>
      <c r="H110" s="645"/>
      <c r="I110" s="645"/>
      <c r="J110" s="645"/>
      <c r="K110" s="645"/>
      <c r="L110" s="645"/>
      <c r="M110" s="645"/>
      <c r="N110" s="645"/>
      <c r="O110" s="645"/>
      <c r="P110" s="645"/>
      <c r="Q110" s="645"/>
      <c r="R110" s="645"/>
      <c r="S110" s="645"/>
      <c r="T110" s="645"/>
      <c r="U110" s="645"/>
      <c r="V110" s="645"/>
      <c r="W110" s="645"/>
    </row>
    <row r="111" ht="12.75" customHeight="1">
      <c r="A111" s="645"/>
      <c r="B111" s="645"/>
      <c r="C111" s="645"/>
      <c r="D111" s="645"/>
      <c r="E111" s="645"/>
      <c r="F111" s="645"/>
      <c r="G111" s="645"/>
      <c r="H111" s="645"/>
      <c r="I111" s="645"/>
      <c r="J111" s="645"/>
      <c r="K111" s="645"/>
      <c r="L111" s="645"/>
      <c r="M111" s="645"/>
      <c r="N111" s="645"/>
      <c r="O111" s="645"/>
      <c r="P111" s="645"/>
      <c r="Q111" s="645"/>
      <c r="R111" s="645"/>
      <c r="S111" s="645"/>
      <c r="T111" s="645"/>
      <c r="U111" s="645"/>
      <c r="V111" s="645"/>
      <c r="W111" s="645"/>
    </row>
    <row r="112" ht="12.75" customHeight="1">
      <c r="A112" s="645"/>
      <c r="B112" s="645"/>
      <c r="C112" s="645"/>
      <c r="D112" s="645"/>
      <c r="E112" s="645"/>
      <c r="F112" s="645"/>
      <c r="G112" s="645"/>
      <c r="H112" s="645"/>
      <c r="I112" s="645"/>
      <c r="J112" s="645"/>
      <c r="K112" s="645"/>
      <c r="L112" s="645"/>
      <c r="M112" s="645"/>
      <c r="N112" s="645"/>
      <c r="O112" s="645"/>
      <c r="P112" s="645"/>
      <c r="Q112" s="645"/>
      <c r="R112" s="645"/>
      <c r="S112" s="645"/>
      <c r="T112" s="645"/>
      <c r="U112" s="645"/>
      <c r="V112" s="645"/>
      <c r="W112" s="645"/>
    </row>
    <row r="113" ht="12.75" customHeight="1">
      <c r="A113" s="645"/>
      <c r="B113" s="645"/>
      <c r="C113" s="645"/>
      <c r="D113" s="645"/>
      <c r="E113" s="645"/>
      <c r="F113" s="645"/>
      <c r="G113" s="645"/>
      <c r="H113" s="645"/>
      <c r="I113" s="645"/>
      <c r="J113" s="645"/>
      <c r="K113" s="645"/>
      <c r="L113" s="645"/>
      <c r="M113" s="645"/>
      <c r="N113" s="645"/>
      <c r="O113" s="645"/>
      <c r="P113" s="645"/>
      <c r="Q113" s="645"/>
      <c r="R113" s="645"/>
      <c r="S113" s="645"/>
      <c r="T113" s="645"/>
      <c r="U113" s="645"/>
      <c r="V113" s="645"/>
      <c r="W113" s="645"/>
    </row>
    <row r="114" ht="12.75" customHeight="1">
      <c r="A114" s="645"/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5"/>
      <c r="T114" s="645"/>
      <c r="U114" s="645"/>
      <c r="V114" s="645"/>
      <c r="W114" s="645"/>
    </row>
    <row r="115" ht="12.75" customHeight="1">
      <c r="A115" s="645"/>
      <c r="B115" s="645"/>
      <c r="C115" s="645"/>
      <c r="D115" s="645"/>
      <c r="E115" s="645"/>
      <c r="F115" s="645"/>
      <c r="G115" s="645"/>
      <c r="H115" s="645"/>
      <c r="I115" s="645"/>
      <c r="J115" s="645"/>
      <c r="K115" s="645"/>
      <c r="L115" s="645"/>
      <c r="M115" s="645"/>
      <c r="N115" s="645"/>
      <c r="O115" s="645"/>
      <c r="P115" s="645"/>
      <c r="Q115" s="645"/>
      <c r="R115" s="645"/>
      <c r="S115" s="645"/>
      <c r="T115" s="645"/>
      <c r="U115" s="645"/>
      <c r="V115" s="645"/>
      <c r="W115" s="645"/>
    </row>
    <row r="116" ht="12.75" customHeight="1">
      <c r="A116" s="645"/>
      <c r="B116" s="645"/>
      <c r="C116" s="645"/>
      <c r="D116" s="645"/>
      <c r="E116" s="645"/>
      <c r="F116" s="645"/>
      <c r="G116" s="645"/>
      <c r="H116" s="645"/>
      <c r="I116" s="645"/>
      <c r="J116" s="645"/>
      <c r="K116" s="645"/>
      <c r="L116" s="645"/>
      <c r="M116" s="645"/>
      <c r="N116" s="645"/>
      <c r="O116" s="645"/>
      <c r="P116" s="645"/>
      <c r="Q116" s="645"/>
      <c r="R116" s="645"/>
      <c r="S116" s="645"/>
      <c r="T116" s="645"/>
      <c r="U116" s="645"/>
      <c r="V116" s="645"/>
      <c r="W116" s="645"/>
    </row>
    <row r="117" ht="12.75" customHeight="1">
      <c r="A117" s="645"/>
      <c r="B117" s="645"/>
      <c r="C117" s="645"/>
      <c r="D117" s="645"/>
      <c r="E117" s="645"/>
      <c r="F117" s="645"/>
      <c r="G117" s="645"/>
      <c r="H117" s="645"/>
      <c r="I117" s="645"/>
      <c r="J117" s="645"/>
      <c r="K117" s="645"/>
      <c r="L117" s="645"/>
      <c r="M117" s="645"/>
      <c r="N117" s="645"/>
      <c r="O117" s="645"/>
      <c r="P117" s="645"/>
      <c r="Q117" s="645"/>
      <c r="R117" s="645"/>
      <c r="S117" s="645"/>
      <c r="T117" s="645"/>
      <c r="U117" s="645"/>
      <c r="V117" s="645"/>
      <c r="W117" s="645"/>
    </row>
    <row r="118" ht="12.75" customHeight="1">
      <c r="A118" s="645"/>
      <c r="B118" s="645"/>
      <c r="C118" s="645"/>
      <c r="D118" s="645"/>
      <c r="E118" s="645"/>
      <c r="F118" s="645"/>
      <c r="G118" s="645"/>
      <c r="H118" s="645"/>
      <c r="I118" s="645"/>
      <c r="J118" s="645"/>
      <c r="K118" s="645"/>
      <c r="L118" s="645"/>
      <c r="M118" s="645"/>
      <c r="N118" s="645"/>
      <c r="O118" s="645"/>
      <c r="P118" s="645"/>
      <c r="Q118" s="645"/>
      <c r="R118" s="645"/>
      <c r="S118" s="645"/>
      <c r="T118" s="645"/>
      <c r="U118" s="645"/>
      <c r="V118" s="645"/>
      <c r="W118" s="645"/>
    </row>
    <row r="119" ht="12.75" customHeight="1">
      <c r="A119" s="645"/>
      <c r="B119" s="645"/>
      <c r="C119" s="645"/>
      <c r="D119" s="645"/>
      <c r="E119" s="645"/>
      <c r="F119" s="645"/>
      <c r="G119" s="645"/>
      <c r="H119" s="645"/>
      <c r="I119" s="645"/>
      <c r="J119" s="645"/>
      <c r="K119" s="645"/>
      <c r="L119" s="645"/>
      <c r="M119" s="645"/>
      <c r="N119" s="645"/>
      <c r="O119" s="645"/>
      <c r="P119" s="645"/>
      <c r="Q119" s="645"/>
      <c r="R119" s="645"/>
      <c r="S119" s="645"/>
      <c r="T119" s="645"/>
      <c r="U119" s="645"/>
      <c r="V119" s="645"/>
      <c r="W119" s="645"/>
    </row>
    <row r="120" ht="12.75" customHeight="1">
      <c r="A120" s="645"/>
      <c r="B120" s="645"/>
      <c r="C120" s="645"/>
      <c r="D120" s="645"/>
      <c r="E120" s="645"/>
      <c r="F120" s="645"/>
      <c r="G120" s="645"/>
      <c r="H120" s="645"/>
      <c r="I120" s="645"/>
      <c r="J120" s="645"/>
      <c r="K120" s="645"/>
      <c r="L120" s="645"/>
      <c r="M120" s="645"/>
      <c r="N120" s="645"/>
      <c r="O120" s="645"/>
      <c r="P120" s="645"/>
      <c r="Q120" s="645"/>
      <c r="R120" s="645"/>
      <c r="S120" s="645"/>
      <c r="T120" s="645"/>
      <c r="U120" s="645"/>
      <c r="V120" s="645"/>
      <c r="W120" s="645"/>
    </row>
    <row r="121" ht="12.75" customHeight="1">
      <c r="A121" s="645"/>
      <c r="B121" s="645"/>
      <c r="C121" s="645"/>
      <c r="D121" s="645"/>
      <c r="E121" s="645"/>
      <c r="F121" s="645"/>
      <c r="G121" s="645"/>
      <c r="H121" s="645"/>
      <c r="I121" s="645"/>
      <c r="J121" s="645"/>
      <c r="K121" s="645"/>
      <c r="L121" s="645"/>
      <c r="M121" s="645"/>
      <c r="N121" s="645"/>
      <c r="O121" s="645"/>
      <c r="P121" s="645"/>
      <c r="Q121" s="645"/>
      <c r="R121" s="645"/>
      <c r="S121" s="645"/>
      <c r="T121" s="645"/>
      <c r="U121" s="645"/>
      <c r="V121" s="645"/>
      <c r="W121" s="645"/>
    </row>
    <row r="122" ht="12.75" customHeight="1">
      <c r="A122" s="645"/>
      <c r="B122" s="645"/>
      <c r="C122" s="645"/>
      <c r="D122" s="645"/>
      <c r="E122" s="645"/>
      <c r="F122" s="645"/>
      <c r="G122" s="645"/>
      <c r="H122" s="645"/>
      <c r="I122" s="645"/>
      <c r="J122" s="645"/>
      <c r="K122" s="645"/>
      <c r="L122" s="645"/>
      <c r="M122" s="645"/>
      <c r="N122" s="645"/>
      <c r="O122" s="645"/>
      <c r="P122" s="645"/>
      <c r="Q122" s="645"/>
      <c r="R122" s="645"/>
      <c r="S122" s="645"/>
      <c r="T122" s="645"/>
      <c r="U122" s="645"/>
      <c r="V122" s="645"/>
      <c r="W122" s="645"/>
    </row>
    <row r="123" ht="12.75" customHeight="1">
      <c r="A123" s="645"/>
      <c r="B123" s="645"/>
      <c r="C123" s="645"/>
      <c r="D123" s="645"/>
      <c r="E123" s="645"/>
      <c r="F123" s="645"/>
      <c r="G123" s="645"/>
      <c r="H123" s="645"/>
      <c r="I123" s="645"/>
      <c r="J123" s="645"/>
      <c r="K123" s="645"/>
      <c r="L123" s="645"/>
      <c r="M123" s="645"/>
      <c r="N123" s="645"/>
      <c r="O123" s="645"/>
      <c r="P123" s="645"/>
      <c r="Q123" s="645"/>
      <c r="R123" s="645"/>
      <c r="S123" s="645"/>
      <c r="T123" s="645"/>
      <c r="U123" s="645"/>
      <c r="V123" s="645"/>
      <c r="W123" s="645"/>
    </row>
    <row r="124" ht="12.75" customHeight="1">
      <c r="A124" s="645"/>
      <c r="B124" s="645"/>
      <c r="C124" s="645"/>
      <c r="D124" s="645"/>
      <c r="E124" s="645"/>
      <c r="F124" s="645"/>
      <c r="G124" s="645"/>
      <c r="H124" s="645"/>
      <c r="I124" s="645"/>
      <c r="J124" s="645"/>
      <c r="K124" s="645"/>
      <c r="L124" s="645"/>
      <c r="M124" s="645"/>
      <c r="N124" s="645"/>
      <c r="O124" s="645"/>
      <c r="P124" s="645"/>
      <c r="Q124" s="645"/>
      <c r="R124" s="645"/>
      <c r="S124" s="645"/>
      <c r="T124" s="645"/>
      <c r="U124" s="645"/>
      <c r="V124" s="645"/>
      <c r="W124" s="645"/>
    </row>
    <row r="125" ht="12.75" customHeight="1">
      <c r="A125" s="645"/>
      <c r="B125" s="645"/>
      <c r="C125" s="645"/>
      <c r="D125" s="645"/>
      <c r="E125" s="645"/>
      <c r="F125" s="645"/>
      <c r="G125" s="645"/>
      <c r="H125" s="645"/>
      <c r="I125" s="645"/>
      <c r="J125" s="645"/>
      <c r="K125" s="645"/>
      <c r="L125" s="645"/>
      <c r="M125" s="645"/>
      <c r="N125" s="645"/>
      <c r="O125" s="645"/>
      <c r="P125" s="645"/>
      <c r="Q125" s="645"/>
      <c r="R125" s="645"/>
      <c r="S125" s="645"/>
      <c r="T125" s="645"/>
      <c r="U125" s="645"/>
      <c r="V125" s="645"/>
      <c r="W125" s="645"/>
    </row>
    <row r="126" ht="12.75" customHeight="1">
      <c r="A126" s="645"/>
      <c r="B126" s="645"/>
      <c r="C126" s="645"/>
      <c r="D126" s="645"/>
      <c r="E126" s="645"/>
      <c r="F126" s="645"/>
      <c r="G126" s="645"/>
      <c r="H126" s="645"/>
      <c r="I126" s="645"/>
      <c r="J126" s="645"/>
      <c r="K126" s="645"/>
      <c r="L126" s="645"/>
      <c r="M126" s="645"/>
      <c r="N126" s="645"/>
      <c r="O126" s="645"/>
      <c r="P126" s="645"/>
      <c r="Q126" s="645"/>
      <c r="R126" s="645"/>
      <c r="S126" s="645"/>
      <c r="T126" s="645"/>
      <c r="U126" s="645"/>
      <c r="V126" s="645"/>
      <c r="W126" s="645"/>
    </row>
    <row r="127" ht="12.75" customHeight="1">
      <c r="A127" s="645"/>
      <c r="B127" s="645"/>
      <c r="C127" s="645"/>
      <c r="D127" s="645"/>
      <c r="E127" s="645"/>
      <c r="F127" s="645"/>
      <c r="G127" s="645"/>
      <c r="H127" s="645"/>
      <c r="I127" s="645"/>
      <c r="J127" s="645"/>
      <c r="K127" s="645"/>
      <c r="L127" s="645"/>
      <c r="M127" s="645"/>
      <c r="N127" s="645"/>
      <c r="O127" s="645"/>
      <c r="P127" s="645"/>
      <c r="Q127" s="645"/>
      <c r="R127" s="645"/>
      <c r="S127" s="645"/>
      <c r="T127" s="645"/>
      <c r="U127" s="645"/>
      <c r="V127" s="645"/>
      <c r="W127" s="645"/>
    </row>
    <row r="128" ht="12.75" customHeight="1">
      <c r="A128" s="645"/>
      <c r="B128" s="645"/>
      <c r="C128" s="645"/>
      <c r="D128" s="645"/>
      <c r="E128" s="645"/>
      <c r="F128" s="645"/>
      <c r="G128" s="645"/>
      <c r="H128" s="645"/>
      <c r="I128" s="645"/>
      <c r="J128" s="645"/>
      <c r="K128" s="645"/>
      <c r="L128" s="645"/>
      <c r="M128" s="645"/>
      <c r="N128" s="645"/>
      <c r="O128" s="645"/>
      <c r="P128" s="645"/>
      <c r="Q128" s="645"/>
      <c r="R128" s="645"/>
      <c r="S128" s="645"/>
      <c r="T128" s="645"/>
      <c r="U128" s="645"/>
      <c r="V128" s="645"/>
      <c r="W128" s="645"/>
    </row>
    <row r="129" ht="12.75" customHeight="1">
      <c r="A129" s="645"/>
      <c r="B129" s="645"/>
      <c r="C129" s="645"/>
      <c r="D129" s="645"/>
      <c r="E129" s="645"/>
      <c r="F129" s="645"/>
      <c r="G129" s="645"/>
      <c r="H129" s="645"/>
      <c r="I129" s="645"/>
      <c r="J129" s="645"/>
      <c r="K129" s="645"/>
      <c r="L129" s="645"/>
      <c r="M129" s="645"/>
      <c r="N129" s="645"/>
      <c r="O129" s="645"/>
      <c r="P129" s="645"/>
      <c r="Q129" s="645"/>
      <c r="R129" s="645"/>
      <c r="S129" s="645"/>
      <c r="T129" s="645"/>
      <c r="U129" s="645"/>
      <c r="V129" s="645"/>
      <c r="W129" s="645"/>
    </row>
    <row r="130" ht="12.75" customHeight="1">
      <c r="A130" s="645"/>
      <c r="B130" s="645"/>
      <c r="C130" s="645"/>
      <c r="D130" s="645"/>
      <c r="E130" s="645"/>
      <c r="F130" s="645"/>
      <c r="G130" s="645"/>
      <c r="H130" s="645"/>
      <c r="I130" s="645"/>
      <c r="J130" s="645"/>
      <c r="K130" s="645"/>
      <c r="L130" s="645"/>
      <c r="M130" s="645"/>
      <c r="N130" s="645"/>
      <c r="O130" s="645"/>
      <c r="P130" s="645"/>
      <c r="Q130" s="645"/>
      <c r="R130" s="645"/>
      <c r="S130" s="645"/>
      <c r="T130" s="645"/>
      <c r="U130" s="645"/>
      <c r="V130" s="645"/>
      <c r="W130" s="645"/>
    </row>
    <row r="131" ht="12.75" customHeight="1">
      <c r="A131" s="645"/>
      <c r="B131" s="645"/>
      <c r="C131" s="645"/>
      <c r="D131" s="645"/>
      <c r="E131" s="645"/>
      <c r="F131" s="645"/>
      <c r="G131" s="645"/>
      <c r="H131" s="645"/>
      <c r="I131" s="645"/>
      <c r="J131" s="645"/>
      <c r="K131" s="645"/>
      <c r="L131" s="645"/>
      <c r="M131" s="645"/>
      <c r="N131" s="645"/>
      <c r="O131" s="645"/>
      <c r="P131" s="645"/>
      <c r="Q131" s="645"/>
      <c r="R131" s="645"/>
      <c r="S131" s="645"/>
      <c r="T131" s="645"/>
      <c r="U131" s="645"/>
      <c r="V131" s="645"/>
      <c r="W131" s="645"/>
    </row>
    <row r="132" ht="12.75" customHeight="1">
      <c r="A132" s="645"/>
      <c r="B132" s="645"/>
      <c r="C132" s="645"/>
      <c r="D132" s="645"/>
      <c r="E132" s="645"/>
      <c r="F132" s="645"/>
      <c r="G132" s="645"/>
      <c r="H132" s="645"/>
      <c r="I132" s="645"/>
      <c r="J132" s="645"/>
      <c r="K132" s="645"/>
      <c r="L132" s="645"/>
      <c r="M132" s="645"/>
      <c r="N132" s="645"/>
      <c r="O132" s="645"/>
      <c r="P132" s="645"/>
      <c r="Q132" s="645"/>
      <c r="R132" s="645"/>
      <c r="S132" s="645"/>
      <c r="T132" s="645"/>
      <c r="U132" s="645"/>
      <c r="V132" s="645"/>
      <c r="W132" s="645"/>
    </row>
    <row r="133" ht="12.75" customHeight="1">
      <c r="A133" s="645"/>
      <c r="B133" s="645"/>
      <c r="C133" s="645"/>
      <c r="D133" s="645"/>
      <c r="E133" s="645"/>
      <c r="F133" s="645"/>
      <c r="G133" s="645"/>
      <c r="H133" s="645"/>
      <c r="I133" s="645"/>
      <c r="J133" s="645"/>
      <c r="K133" s="645"/>
      <c r="L133" s="645"/>
      <c r="M133" s="645"/>
      <c r="N133" s="645"/>
      <c r="O133" s="645"/>
      <c r="P133" s="645"/>
      <c r="Q133" s="645"/>
      <c r="R133" s="645"/>
      <c r="S133" s="645"/>
      <c r="T133" s="645"/>
      <c r="U133" s="645"/>
      <c r="V133" s="645"/>
      <c r="W133" s="645"/>
    </row>
    <row r="134" ht="12.75" customHeight="1">
      <c r="A134" s="645"/>
      <c r="B134" s="645"/>
      <c r="C134" s="645"/>
      <c r="D134" s="645"/>
      <c r="E134" s="645"/>
      <c r="F134" s="645"/>
      <c r="G134" s="645"/>
      <c r="H134" s="645"/>
      <c r="I134" s="645"/>
      <c r="J134" s="645"/>
      <c r="K134" s="645"/>
      <c r="L134" s="645"/>
      <c r="M134" s="645"/>
      <c r="N134" s="645"/>
      <c r="O134" s="645"/>
      <c r="P134" s="645"/>
      <c r="Q134" s="645"/>
      <c r="R134" s="645"/>
      <c r="S134" s="645"/>
      <c r="T134" s="645"/>
      <c r="U134" s="645"/>
      <c r="V134" s="645"/>
      <c r="W134" s="645"/>
    </row>
    <row r="135" ht="12.75" customHeight="1">
      <c r="A135" s="645"/>
      <c r="B135" s="645"/>
      <c r="C135" s="645"/>
      <c r="D135" s="645"/>
      <c r="E135" s="645"/>
      <c r="F135" s="645"/>
      <c r="G135" s="645"/>
      <c r="H135" s="645"/>
      <c r="I135" s="645"/>
      <c r="J135" s="645"/>
      <c r="K135" s="645"/>
      <c r="L135" s="645"/>
      <c r="M135" s="645"/>
      <c r="N135" s="645"/>
      <c r="O135" s="645"/>
      <c r="P135" s="645"/>
      <c r="Q135" s="645"/>
      <c r="R135" s="645"/>
      <c r="S135" s="645"/>
      <c r="T135" s="645"/>
      <c r="U135" s="645"/>
      <c r="V135" s="645"/>
      <c r="W135" s="645"/>
    </row>
    <row r="136" ht="12.75" customHeight="1">
      <c r="A136" s="645"/>
      <c r="B136" s="645"/>
      <c r="C136" s="645"/>
      <c r="D136" s="645"/>
      <c r="E136" s="645"/>
      <c r="F136" s="645"/>
      <c r="G136" s="645"/>
      <c r="H136" s="645"/>
      <c r="I136" s="645"/>
      <c r="J136" s="645"/>
      <c r="K136" s="645"/>
      <c r="L136" s="645"/>
      <c r="M136" s="645"/>
      <c r="N136" s="645"/>
      <c r="O136" s="645"/>
      <c r="P136" s="645"/>
      <c r="Q136" s="645"/>
      <c r="R136" s="645"/>
      <c r="S136" s="645"/>
      <c r="T136" s="645"/>
      <c r="U136" s="645"/>
      <c r="V136" s="645"/>
      <c r="W136" s="645"/>
    </row>
    <row r="137" ht="12.75" customHeight="1">
      <c r="A137" s="645"/>
      <c r="B137" s="645"/>
      <c r="C137" s="645"/>
      <c r="D137" s="645"/>
      <c r="E137" s="645"/>
      <c r="F137" s="645"/>
      <c r="G137" s="645"/>
      <c r="H137" s="645"/>
      <c r="I137" s="645"/>
      <c r="J137" s="645"/>
      <c r="K137" s="645"/>
      <c r="L137" s="645"/>
      <c r="M137" s="645"/>
      <c r="N137" s="645"/>
      <c r="O137" s="645"/>
      <c r="P137" s="645"/>
      <c r="Q137" s="645"/>
      <c r="R137" s="645"/>
      <c r="S137" s="645"/>
      <c r="T137" s="645"/>
      <c r="U137" s="645"/>
      <c r="V137" s="645"/>
      <c r="W137" s="645"/>
    </row>
    <row r="138" ht="12.75" customHeight="1">
      <c r="A138" s="645"/>
      <c r="B138" s="645"/>
      <c r="C138" s="645"/>
      <c r="D138" s="645"/>
      <c r="E138" s="645"/>
      <c r="F138" s="645"/>
      <c r="G138" s="645"/>
      <c r="H138" s="645"/>
      <c r="I138" s="645"/>
      <c r="J138" s="645"/>
      <c r="K138" s="645"/>
      <c r="L138" s="645"/>
      <c r="M138" s="645"/>
      <c r="N138" s="645"/>
      <c r="O138" s="645"/>
      <c r="P138" s="645"/>
      <c r="Q138" s="645"/>
      <c r="R138" s="645"/>
      <c r="S138" s="645"/>
      <c r="T138" s="645"/>
      <c r="U138" s="645"/>
      <c r="V138" s="645"/>
      <c r="W138" s="645"/>
    </row>
    <row r="139" ht="12.75" customHeight="1">
      <c r="A139" s="645"/>
      <c r="B139" s="645"/>
      <c r="C139" s="645"/>
      <c r="D139" s="645"/>
      <c r="E139" s="645"/>
      <c r="F139" s="645"/>
      <c r="G139" s="645"/>
      <c r="H139" s="645"/>
      <c r="I139" s="645"/>
      <c r="J139" s="645"/>
      <c r="K139" s="645"/>
      <c r="L139" s="645"/>
      <c r="M139" s="645"/>
      <c r="N139" s="645"/>
      <c r="O139" s="645"/>
      <c r="P139" s="645"/>
      <c r="Q139" s="645"/>
      <c r="R139" s="645"/>
      <c r="S139" s="645"/>
      <c r="T139" s="645"/>
      <c r="U139" s="645"/>
      <c r="V139" s="645"/>
      <c r="W139" s="645"/>
    </row>
    <row r="140" ht="12.75" customHeight="1">
      <c r="A140" s="645"/>
      <c r="B140" s="645"/>
      <c r="C140" s="645"/>
      <c r="D140" s="645"/>
      <c r="E140" s="645"/>
      <c r="F140" s="645"/>
      <c r="G140" s="645"/>
      <c r="H140" s="645"/>
      <c r="I140" s="645"/>
      <c r="J140" s="645"/>
      <c r="K140" s="645"/>
      <c r="L140" s="645"/>
      <c r="M140" s="645"/>
      <c r="N140" s="645"/>
      <c r="O140" s="645"/>
      <c r="P140" s="645"/>
      <c r="Q140" s="645"/>
      <c r="R140" s="645"/>
      <c r="S140" s="645"/>
      <c r="T140" s="645"/>
      <c r="U140" s="645"/>
      <c r="V140" s="645"/>
      <c r="W140" s="645"/>
    </row>
    <row r="141" ht="12.75" customHeight="1">
      <c r="A141" s="645"/>
      <c r="B141" s="645"/>
      <c r="C141" s="645"/>
      <c r="D141" s="645"/>
      <c r="E141" s="645"/>
      <c r="F141" s="645"/>
      <c r="G141" s="645"/>
      <c r="H141" s="645"/>
      <c r="I141" s="645"/>
      <c r="J141" s="645"/>
      <c r="K141" s="645"/>
      <c r="L141" s="645"/>
      <c r="M141" s="645"/>
      <c r="N141" s="645"/>
      <c r="O141" s="645"/>
      <c r="P141" s="645"/>
      <c r="Q141" s="645"/>
      <c r="R141" s="645"/>
      <c r="S141" s="645"/>
      <c r="T141" s="645"/>
      <c r="U141" s="645"/>
      <c r="V141" s="645"/>
      <c r="W141" s="645"/>
    </row>
    <row r="142" ht="12.75" customHeight="1">
      <c r="A142" s="645"/>
      <c r="B142" s="645"/>
      <c r="C142" s="645"/>
      <c r="D142" s="645"/>
      <c r="E142" s="645"/>
      <c r="F142" s="645"/>
      <c r="G142" s="645"/>
      <c r="H142" s="645"/>
      <c r="I142" s="645"/>
      <c r="J142" s="645"/>
      <c r="K142" s="645"/>
      <c r="L142" s="645"/>
      <c r="M142" s="645"/>
      <c r="N142" s="645"/>
      <c r="O142" s="645"/>
      <c r="P142" s="645"/>
      <c r="Q142" s="645"/>
      <c r="R142" s="645"/>
      <c r="S142" s="645"/>
      <c r="T142" s="645"/>
      <c r="U142" s="645"/>
      <c r="V142" s="645"/>
      <c r="W142" s="645"/>
    </row>
    <row r="143" ht="12.75" customHeight="1">
      <c r="A143" s="645"/>
      <c r="B143" s="645"/>
      <c r="C143" s="645"/>
      <c r="D143" s="645"/>
      <c r="E143" s="645"/>
      <c r="F143" s="645"/>
      <c r="G143" s="645"/>
      <c r="H143" s="645"/>
      <c r="I143" s="645"/>
      <c r="J143" s="645"/>
      <c r="K143" s="645"/>
      <c r="L143" s="645"/>
      <c r="M143" s="645"/>
      <c r="N143" s="645"/>
      <c r="O143" s="645"/>
      <c r="P143" s="645"/>
      <c r="Q143" s="645"/>
      <c r="R143" s="645"/>
      <c r="S143" s="645"/>
      <c r="T143" s="645"/>
      <c r="U143" s="645"/>
      <c r="V143" s="645"/>
      <c r="W143" s="645"/>
    </row>
    <row r="144" ht="12.75" customHeight="1">
      <c r="A144" s="645"/>
      <c r="B144" s="645"/>
      <c r="C144" s="645"/>
      <c r="D144" s="645"/>
      <c r="E144" s="645"/>
      <c r="F144" s="645"/>
      <c r="G144" s="645"/>
      <c r="H144" s="645"/>
      <c r="I144" s="645"/>
      <c r="J144" s="645"/>
      <c r="K144" s="645"/>
      <c r="L144" s="645"/>
      <c r="M144" s="645"/>
      <c r="N144" s="645"/>
      <c r="O144" s="645"/>
      <c r="P144" s="645"/>
      <c r="Q144" s="645"/>
      <c r="R144" s="645"/>
      <c r="S144" s="645"/>
      <c r="T144" s="645"/>
      <c r="U144" s="645"/>
      <c r="V144" s="645"/>
      <c r="W144" s="645"/>
    </row>
    <row r="145" ht="12.75" customHeight="1">
      <c r="A145" s="645"/>
      <c r="B145" s="645"/>
      <c r="C145" s="645"/>
      <c r="D145" s="645"/>
      <c r="E145" s="645"/>
      <c r="F145" s="645"/>
      <c r="G145" s="645"/>
      <c r="H145" s="645"/>
      <c r="I145" s="645"/>
      <c r="J145" s="645"/>
      <c r="K145" s="645"/>
      <c r="L145" s="645"/>
      <c r="M145" s="645"/>
      <c r="N145" s="645"/>
      <c r="O145" s="645"/>
      <c r="P145" s="645"/>
      <c r="Q145" s="645"/>
      <c r="R145" s="645"/>
      <c r="S145" s="645"/>
      <c r="T145" s="645"/>
      <c r="U145" s="645"/>
      <c r="V145" s="645"/>
      <c r="W145" s="645"/>
    </row>
    <row r="146" ht="12.75" customHeight="1">
      <c r="A146" s="645"/>
      <c r="B146" s="645"/>
      <c r="C146" s="645"/>
      <c r="D146" s="645"/>
      <c r="E146" s="645"/>
      <c r="F146" s="645"/>
      <c r="G146" s="645"/>
      <c r="H146" s="645"/>
      <c r="I146" s="645"/>
      <c r="J146" s="645"/>
      <c r="K146" s="645"/>
      <c r="L146" s="645"/>
      <c r="M146" s="645"/>
      <c r="N146" s="645"/>
      <c r="O146" s="645"/>
      <c r="P146" s="645"/>
      <c r="Q146" s="645"/>
      <c r="R146" s="645"/>
      <c r="S146" s="645"/>
      <c r="T146" s="645"/>
      <c r="U146" s="645"/>
      <c r="V146" s="645"/>
      <c r="W146" s="645"/>
    </row>
    <row r="147" ht="12.75" customHeight="1">
      <c r="A147" s="645"/>
      <c r="B147" s="645"/>
      <c r="C147" s="645"/>
      <c r="D147" s="645"/>
      <c r="E147" s="645"/>
      <c r="F147" s="645"/>
      <c r="G147" s="645"/>
      <c r="H147" s="645"/>
      <c r="I147" s="645"/>
      <c r="J147" s="645"/>
      <c r="K147" s="645"/>
      <c r="L147" s="645"/>
      <c r="M147" s="645"/>
      <c r="N147" s="645"/>
      <c r="O147" s="645"/>
      <c r="P147" s="645"/>
      <c r="Q147" s="645"/>
      <c r="R147" s="645"/>
      <c r="S147" s="645"/>
      <c r="T147" s="645"/>
      <c r="U147" s="645"/>
      <c r="V147" s="645"/>
      <c r="W147" s="645"/>
    </row>
    <row r="148" ht="12.75" customHeight="1">
      <c r="A148" s="645"/>
      <c r="B148" s="645"/>
      <c r="C148" s="645"/>
      <c r="D148" s="645"/>
      <c r="E148" s="645"/>
      <c r="F148" s="645"/>
      <c r="G148" s="645"/>
      <c r="H148" s="645"/>
      <c r="I148" s="645"/>
      <c r="J148" s="645"/>
      <c r="K148" s="645"/>
      <c r="L148" s="645"/>
      <c r="M148" s="645"/>
      <c r="N148" s="645"/>
      <c r="O148" s="645"/>
      <c r="P148" s="645"/>
      <c r="Q148" s="645"/>
      <c r="R148" s="645"/>
      <c r="S148" s="645"/>
      <c r="T148" s="645"/>
      <c r="U148" s="645"/>
      <c r="V148" s="645"/>
      <c r="W148" s="645"/>
    </row>
    <row r="149" ht="12.75" customHeight="1">
      <c r="A149" s="645"/>
      <c r="B149" s="645"/>
      <c r="C149" s="645"/>
      <c r="D149" s="645"/>
      <c r="E149" s="645"/>
      <c r="F149" s="645"/>
      <c r="G149" s="645"/>
      <c r="H149" s="645"/>
      <c r="I149" s="645"/>
      <c r="J149" s="645"/>
      <c r="K149" s="645"/>
      <c r="L149" s="645"/>
      <c r="M149" s="645"/>
      <c r="N149" s="645"/>
      <c r="O149" s="645"/>
      <c r="P149" s="645"/>
      <c r="Q149" s="645"/>
      <c r="R149" s="645"/>
      <c r="S149" s="645"/>
      <c r="T149" s="645"/>
      <c r="U149" s="645"/>
      <c r="V149" s="645"/>
      <c r="W149" s="645"/>
    </row>
    <row r="150" ht="12.75" customHeight="1">
      <c r="A150" s="645"/>
      <c r="B150" s="645"/>
      <c r="C150" s="645"/>
      <c r="D150" s="645"/>
      <c r="E150" s="645"/>
      <c r="F150" s="645"/>
      <c r="G150" s="645"/>
      <c r="H150" s="645"/>
      <c r="I150" s="645"/>
      <c r="J150" s="645"/>
      <c r="K150" s="645"/>
      <c r="L150" s="645"/>
      <c r="M150" s="645"/>
      <c r="N150" s="645"/>
      <c r="O150" s="645"/>
      <c r="P150" s="645"/>
      <c r="Q150" s="645"/>
      <c r="R150" s="645"/>
      <c r="S150" s="645"/>
      <c r="T150" s="645"/>
      <c r="U150" s="645"/>
      <c r="V150" s="645"/>
      <c r="W150" s="645"/>
    </row>
    <row r="151" ht="12.75" customHeight="1">
      <c r="A151" s="645"/>
      <c r="B151" s="645"/>
      <c r="C151" s="645"/>
      <c r="D151" s="645"/>
      <c r="E151" s="645"/>
      <c r="F151" s="645"/>
      <c r="G151" s="645"/>
      <c r="H151" s="645"/>
      <c r="I151" s="645"/>
      <c r="J151" s="645"/>
      <c r="K151" s="645"/>
      <c r="L151" s="645"/>
      <c r="M151" s="645"/>
      <c r="N151" s="645"/>
      <c r="O151" s="645"/>
      <c r="P151" s="645"/>
      <c r="Q151" s="645"/>
      <c r="R151" s="645"/>
      <c r="S151" s="645"/>
      <c r="T151" s="645"/>
      <c r="U151" s="645"/>
      <c r="V151" s="645"/>
      <c r="W151" s="645"/>
    </row>
    <row r="152" ht="12.75" customHeight="1">
      <c r="A152" s="645"/>
      <c r="B152" s="645"/>
      <c r="C152" s="645"/>
      <c r="D152" s="645"/>
      <c r="E152" s="645"/>
      <c r="F152" s="645"/>
      <c r="G152" s="645"/>
      <c r="H152" s="645"/>
      <c r="I152" s="645"/>
      <c r="J152" s="645"/>
      <c r="K152" s="645"/>
      <c r="L152" s="645"/>
      <c r="M152" s="645"/>
      <c r="N152" s="645"/>
      <c r="O152" s="645"/>
      <c r="P152" s="645"/>
      <c r="Q152" s="645"/>
      <c r="R152" s="645"/>
      <c r="S152" s="645"/>
      <c r="T152" s="645"/>
      <c r="U152" s="645"/>
      <c r="V152" s="645"/>
      <c r="W152" s="645"/>
    </row>
    <row r="153" ht="12.75" customHeight="1">
      <c r="A153" s="645"/>
      <c r="B153" s="645"/>
      <c r="C153" s="645"/>
      <c r="D153" s="645"/>
      <c r="E153" s="645"/>
      <c r="F153" s="645"/>
      <c r="G153" s="645"/>
      <c r="H153" s="645"/>
      <c r="I153" s="645"/>
      <c r="J153" s="645"/>
      <c r="K153" s="645"/>
      <c r="L153" s="645"/>
      <c r="M153" s="645"/>
      <c r="N153" s="645"/>
      <c r="O153" s="645"/>
      <c r="P153" s="645"/>
      <c r="Q153" s="645"/>
      <c r="R153" s="645"/>
      <c r="S153" s="645"/>
      <c r="T153" s="645"/>
      <c r="U153" s="645"/>
      <c r="V153" s="645"/>
      <c r="W153" s="645"/>
    </row>
    <row r="154" ht="12.75" customHeight="1">
      <c r="A154" s="645"/>
      <c r="B154" s="645"/>
      <c r="C154" s="645"/>
      <c r="D154" s="645"/>
      <c r="E154" s="645"/>
      <c r="F154" s="645"/>
      <c r="G154" s="645"/>
      <c r="H154" s="645"/>
      <c r="I154" s="645"/>
      <c r="J154" s="645"/>
      <c r="K154" s="645"/>
      <c r="L154" s="645"/>
      <c r="M154" s="645"/>
      <c r="N154" s="645"/>
      <c r="O154" s="645"/>
      <c r="P154" s="645"/>
      <c r="Q154" s="645"/>
      <c r="R154" s="645"/>
      <c r="S154" s="645"/>
      <c r="T154" s="645"/>
      <c r="U154" s="645"/>
      <c r="V154" s="645"/>
      <c r="W154" s="645"/>
    </row>
    <row r="155" ht="12.75" customHeight="1">
      <c r="A155" s="645"/>
      <c r="B155" s="645"/>
      <c r="C155" s="645"/>
      <c r="D155" s="645"/>
      <c r="E155" s="645"/>
      <c r="F155" s="645"/>
      <c r="G155" s="645"/>
      <c r="H155" s="645"/>
      <c r="I155" s="645"/>
      <c r="J155" s="645"/>
      <c r="K155" s="645"/>
      <c r="L155" s="645"/>
      <c r="M155" s="645"/>
      <c r="N155" s="645"/>
      <c r="O155" s="645"/>
      <c r="P155" s="645"/>
      <c r="Q155" s="645"/>
      <c r="R155" s="645"/>
      <c r="S155" s="645"/>
      <c r="T155" s="645"/>
      <c r="U155" s="645"/>
      <c r="V155" s="645"/>
      <c r="W155" s="645"/>
    </row>
    <row r="156" ht="12.75" customHeight="1">
      <c r="A156" s="645"/>
      <c r="B156" s="645"/>
      <c r="C156" s="645"/>
      <c r="D156" s="645"/>
      <c r="E156" s="645"/>
      <c r="F156" s="645"/>
      <c r="G156" s="645"/>
      <c r="H156" s="645"/>
      <c r="I156" s="645"/>
      <c r="J156" s="645"/>
      <c r="K156" s="645"/>
      <c r="L156" s="645"/>
      <c r="M156" s="645"/>
      <c r="N156" s="645"/>
      <c r="O156" s="645"/>
      <c r="P156" s="645"/>
      <c r="Q156" s="645"/>
      <c r="R156" s="645"/>
      <c r="S156" s="645"/>
      <c r="T156" s="645"/>
      <c r="U156" s="645"/>
      <c r="V156" s="645"/>
      <c r="W156" s="645"/>
    </row>
    <row r="157" ht="12.75" customHeight="1">
      <c r="A157" s="645"/>
      <c r="B157" s="645"/>
      <c r="C157" s="645"/>
      <c r="D157" s="645"/>
      <c r="E157" s="645"/>
      <c r="F157" s="645"/>
      <c r="G157" s="645"/>
      <c r="H157" s="645"/>
      <c r="I157" s="645"/>
      <c r="J157" s="645"/>
      <c r="K157" s="645"/>
      <c r="L157" s="645"/>
      <c r="M157" s="645"/>
      <c r="N157" s="645"/>
      <c r="O157" s="645"/>
      <c r="P157" s="645"/>
      <c r="Q157" s="645"/>
      <c r="R157" s="645"/>
      <c r="S157" s="645"/>
      <c r="T157" s="645"/>
      <c r="U157" s="645"/>
      <c r="V157" s="645"/>
      <c r="W157" s="645"/>
    </row>
    <row r="158" ht="12.75" customHeight="1">
      <c r="A158" s="645"/>
      <c r="B158" s="645"/>
      <c r="C158" s="645"/>
      <c r="D158" s="645"/>
      <c r="E158" s="645"/>
      <c r="F158" s="645"/>
      <c r="G158" s="645"/>
      <c r="H158" s="645"/>
      <c r="I158" s="645"/>
      <c r="J158" s="645"/>
      <c r="K158" s="645"/>
      <c r="L158" s="645"/>
      <c r="M158" s="645"/>
      <c r="N158" s="645"/>
      <c r="O158" s="645"/>
      <c r="P158" s="645"/>
      <c r="Q158" s="645"/>
      <c r="R158" s="645"/>
      <c r="S158" s="645"/>
      <c r="T158" s="645"/>
      <c r="U158" s="645"/>
      <c r="V158" s="645"/>
      <c r="W158" s="645"/>
    </row>
    <row r="159" ht="12.75" customHeight="1">
      <c r="A159" s="645"/>
      <c r="B159" s="645"/>
      <c r="C159" s="645"/>
      <c r="D159" s="645"/>
      <c r="E159" s="645"/>
      <c r="F159" s="645"/>
      <c r="G159" s="645"/>
      <c r="H159" s="645"/>
      <c r="I159" s="645"/>
      <c r="J159" s="645"/>
      <c r="K159" s="645"/>
      <c r="L159" s="645"/>
      <c r="M159" s="645"/>
      <c r="N159" s="645"/>
      <c r="O159" s="645"/>
      <c r="P159" s="645"/>
      <c r="Q159" s="645"/>
      <c r="R159" s="645"/>
      <c r="S159" s="645"/>
      <c r="T159" s="645"/>
      <c r="U159" s="645"/>
      <c r="V159" s="645"/>
      <c r="W159" s="645"/>
    </row>
    <row r="160" ht="12.75" customHeight="1">
      <c r="A160" s="645"/>
      <c r="B160" s="645"/>
      <c r="C160" s="645"/>
      <c r="D160" s="645"/>
      <c r="E160" s="645"/>
      <c r="F160" s="645"/>
      <c r="G160" s="645"/>
      <c r="H160" s="645"/>
      <c r="I160" s="645"/>
      <c r="J160" s="645"/>
      <c r="K160" s="645"/>
      <c r="L160" s="645"/>
      <c r="M160" s="645"/>
      <c r="N160" s="645"/>
      <c r="O160" s="645"/>
      <c r="P160" s="645"/>
      <c r="Q160" s="645"/>
      <c r="R160" s="645"/>
      <c r="S160" s="645"/>
      <c r="T160" s="645"/>
      <c r="U160" s="645"/>
      <c r="V160" s="645"/>
      <c r="W160" s="645"/>
    </row>
    <row r="161" ht="12.75" customHeight="1">
      <c r="A161" s="645"/>
      <c r="B161" s="645"/>
      <c r="C161" s="645"/>
      <c r="D161" s="645"/>
      <c r="E161" s="645"/>
      <c r="F161" s="645"/>
      <c r="G161" s="645"/>
      <c r="H161" s="645"/>
      <c r="I161" s="645"/>
      <c r="J161" s="645"/>
      <c r="K161" s="645"/>
      <c r="L161" s="645"/>
      <c r="M161" s="645"/>
      <c r="N161" s="645"/>
      <c r="O161" s="645"/>
      <c r="P161" s="645"/>
      <c r="Q161" s="645"/>
      <c r="R161" s="645"/>
      <c r="S161" s="645"/>
      <c r="T161" s="645"/>
      <c r="U161" s="645"/>
      <c r="V161" s="645"/>
      <c r="W161" s="645"/>
    </row>
    <row r="162" ht="12.75" customHeight="1">
      <c r="A162" s="645"/>
      <c r="B162" s="645"/>
      <c r="C162" s="645"/>
      <c r="D162" s="645"/>
      <c r="E162" s="645"/>
      <c r="F162" s="645"/>
      <c r="G162" s="645"/>
      <c r="H162" s="645"/>
      <c r="I162" s="645"/>
      <c r="J162" s="645"/>
      <c r="K162" s="645"/>
      <c r="L162" s="645"/>
      <c r="M162" s="645"/>
      <c r="N162" s="645"/>
      <c r="O162" s="645"/>
      <c r="P162" s="645"/>
      <c r="Q162" s="645"/>
      <c r="R162" s="645"/>
      <c r="S162" s="645"/>
      <c r="T162" s="645"/>
      <c r="U162" s="645"/>
      <c r="V162" s="645"/>
      <c r="W162" s="645"/>
    </row>
    <row r="163" ht="12.75" customHeight="1">
      <c r="A163" s="645"/>
      <c r="B163" s="645"/>
      <c r="C163" s="645"/>
      <c r="D163" s="645"/>
      <c r="E163" s="645"/>
      <c r="F163" s="645"/>
      <c r="G163" s="645"/>
      <c r="H163" s="645"/>
      <c r="I163" s="645"/>
      <c r="J163" s="645"/>
      <c r="K163" s="645"/>
      <c r="L163" s="645"/>
      <c r="M163" s="645"/>
      <c r="N163" s="645"/>
      <c r="O163" s="645"/>
      <c r="P163" s="645"/>
      <c r="Q163" s="645"/>
      <c r="R163" s="645"/>
      <c r="S163" s="645"/>
      <c r="T163" s="645"/>
      <c r="U163" s="645"/>
      <c r="V163" s="645"/>
      <c r="W163" s="645"/>
    </row>
    <row r="164" ht="12.75" customHeight="1">
      <c r="A164" s="645"/>
      <c r="B164" s="645"/>
      <c r="C164" s="645"/>
      <c r="D164" s="645"/>
      <c r="E164" s="645"/>
      <c r="F164" s="645"/>
      <c r="G164" s="645"/>
      <c r="H164" s="645"/>
      <c r="I164" s="645"/>
      <c r="J164" s="645"/>
      <c r="K164" s="645"/>
      <c r="L164" s="645"/>
      <c r="M164" s="645"/>
      <c r="N164" s="645"/>
      <c r="O164" s="645"/>
      <c r="P164" s="645"/>
      <c r="Q164" s="645"/>
      <c r="R164" s="645"/>
      <c r="S164" s="645"/>
      <c r="T164" s="645"/>
      <c r="U164" s="645"/>
      <c r="V164" s="645"/>
      <c r="W164" s="645"/>
    </row>
    <row r="165" ht="12.75" customHeight="1">
      <c r="A165" s="645"/>
      <c r="B165" s="645"/>
      <c r="C165" s="645"/>
      <c r="D165" s="645"/>
      <c r="E165" s="645"/>
      <c r="F165" s="645"/>
      <c r="G165" s="645"/>
      <c r="H165" s="645"/>
      <c r="I165" s="645"/>
      <c r="J165" s="645"/>
      <c r="K165" s="645"/>
      <c r="L165" s="645"/>
      <c r="M165" s="645"/>
      <c r="N165" s="645"/>
      <c r="O165" s="645"/>
      <c r="P165" s="645"/>
      <c r="Q165" s="645"/>
      <c r="R165" s="645"/>
      <c r="S165" s="645"/>
      <c r="T165" s="645"/>
      <c r="U165" s="645"/>
      <c r="V165" s="645"/>
      <c r="W165" s="645"/>
    </row>
    <row r="166" ht="12.75" customHeight="1">
      <c r="A166" s="645"/>
      <c r="B166" s="645"/>
      <c r="C166" s="645"/>
      <c r="D166" s="645"/>
      <c r="E166" s="645"/>
      <c r="F166" s="645"/>
      <c r="G166" s="645"/>
      <c r="H166" s="645"/>
      <c r="I166" s="645"/>
      <c r="J166" s="645"/>
      <c r="K166" s="645"/>
      <c r="L166" s="645"/>
      <c r="M166" s="645"/>
      <c r="N166" s="645"/>
      <c r="O166" s="645"/>
      <c r="P166" s="645"/>
      <c r="Q166" s="645"/>
      <c r="R166" s="645"/>
      <c r="S166" s="645"/>
      <c r="T166" s="645"/>
      <c r="U166" s="645"/>
      <c r="V166" s="645"/>
      <c r="W166" s="645"/>
    </row>
    <row r="167" ht="12.75" customHeight="1">
      <c r="A167" s="645"/>
      <c r="B167" s="645"/>
      <c r="C167" s="645"/>
      <c r="D167" s="645"/>
      <c r="E167" s="645"/>
      <c r="F167" s="645"/>
      <c r="G167" s="645"/>
      <c r="H167" s="645"/>
      <c r="I167" s="645"/>
      <c r="J167" s="645"/>
      <c r="K167" s="645"/>
      <c r="L167" s="645"/>
      <c r="M167" s="645"/>
      <c r="N167" s="645"/>
      <c r="O167" s="645"/>
      <c r="P167" s="645"/>
      <c r="Q167" s="645"/>
      <c r="R167" s="645"/>
      <c r="S167" s="645"/>
      <c r="T167" s="645"/>
      <c r="U167" s="645"/>
      <c r="V167" s="645"/>
      <c r="W167" s="645"/>
    </row>
    <row r="168" ht="12.75" customHeight="1">
      <c r="A168" s="645"/>
      <c r="B168" s="645"/>
      <c r="C168" s="645"/>
      <c r="D168" s="645"/>
      <c r="E168" s="645"/>
      <c r="F168" s="645"/>
      <c r="G168" s="645"/>
      <c r="H168" s="645"/>
      <c r="I168" s="645"/>
      <c r="J168" s="645"/>
      <c r="K168" s="645"/>
      <c r="L168" s="645"/>
      <c r="M168" s="645"/>
      <c r="N168" s="645"/>
      <c r="O168" s="645"/>
      <c r="P168" s="645"/>
      <c r="Q168" s="645"/>
      <c r="R168" s="645"/>
      <c r="S168" s="645"/>
      <c r="T168" s="645"/>
      <c r="U168" s="645"/>
      <c r="V168" s="645"/>
      <c r="W168" s="645"/>
    </row>
    <row r="169" ht="12.75" customHeight="1">
      <c r="A169" s="645"/>
      <c r="B169" s="645"/>
      <c r="C169" s="645"/>
      <c r="D169" s="645"/>
      <c r="E169" s="645"/>
      <c r="F169" s="645"/>
      <c r="G169" s="645"/>
      <c r="H169" s="645"/>
      <c r="I169" s="645"/>
      <c r="J169" s="645"/>
      <c r="K169" s="645"/>
      <c r="L169" s="645"/>
      <c r="M169" s="645"/>
      <c r="N169" s="645"/>
      <c r="O169" s="645"/>
      <c r="P169" s="645"/>
      <c r="Q169" s="645"/>
      <c r="R169" s="645"/>
      <c r="S169" s="645"/>
      <c r="T169" s="645"/>
      <c r="U169" s="645"/>
      <c r="V169" s="645"/>
      <c r="W169" s="645"/>
    </row>
    <row r="170" ht="12.75" customHeight="1">
      <c r="A170" s="645"/>
      <c r="B170" s="645"/>
      <c r="C170" s="645"/>
      <c r="D170" s="645"/>
      <c r="E170" s="645"/>
      <c r="F170" s="645"/>
      <c r="G170" s="645"/>
      <c r="H170" s="645"/>
      <c r="I170" s="645"/>
      <c r="J170" s="645"/>
      <c r="K170" s="645"/>
      <c r="L170" s="645"/>
      <c r="M170" s="645"/>
      <c r="N170" s="645"/>
      <c r="O170" s="645"/>
      <c r="P170" s="645"/>
      <c r="Q170" s="645"/>
      <c r="R170" s="645"/>
      <c r="S170" s="645"/>
      <c r="T170" s="645"/>
      <c r="U170" s="645"/>
      <c r="V170" s="645"/>
      <c r="W170" s="645"/>
    </row>
    <row r="171" ht="12.75" customHeight="1">
      <c r="A171" s="645"/>
      <c r="B171" s="645"/>
      <c r="C171" s="645"/>
      <c r="D171" s="645"/>
      <c r="E171" s="645"/>
      <c r="F171" s="645"/>
      <c r="G171" s="645"/>
      <c r="H171" s="645"/>
      <c r="I171" s="645"/>
      <c r="J171" s="645"/>
      <c r="K171" s="645"/>
      <c r="L171" s="645"/>
      <c r="M171" s="645"/>
      <c r="N171" s="645"/>
      <c r="O171" s="645"/>
      <c r="P171" s="645"/>
      <c r="Q171" s="645"/>
      <c r="R171" s="645"/>
      <c r="S171" s="645"/>
      <c r="T171" s="645"/>
      <c r="U171" s="645"/>
      <c r="V171" s="645"/>
      <c r="W171" s="645"/>
    </row>
    <row r="172" ht="12.75" customHeight="1">
      <c r="A172" s="645"/>
      <c r="B172" s="645"/>
      <c r="C172" s="645"/>
      <c r="D172" s="645"/>
      <c r="E172" s="645"/>
      <c r="F172" s="645"/>
      <c r="G172" s="645"/>
      <c r="H172" s="645"/>
      <c r="I172" s="645"/>
      <c r="J172" s="645"/>
      <c r="K172" s="645"/>
      <c r="L172" s="645"/>
      <c r="M172" s="645"/>
      <c r="N172" s="645"/>
      <c r="O172" s="645"/>
      <c r="P172" s="645"/>
      <c r="Q172" s="645"/>
      <c r="R172" s="645"/>
      <c r="S172" s="645"/>
      <c r="T172" s="645"/>
      <c r="U172" s="645"/>
      <c r="V172" s="645"/>
      <c r="W172" s="645"/>
    </row>
    <row r="173" ht="12.75" customHeight="1">
      <c r="A173" s="645"/>
      <c r="B173" s="645"/>
      <c r="C173" s="645"/>
      <c r="D173" s="645"/>
      <c r="E173" s="645"/>
      <c r="F173" s="645"/>
      <c r="G173" s="645"/>
      <c r="H173" s="645"/>
      <c r="I173" s="645"/>
      <c r="J173" s="645"/>
      <c r="K173" s="645"/>
      <c r="L173" s="645"/>
      <c r="M173" s="645"/>
      <c r="N173" s="645"/>
      <c r="O173" s="645"/>
      <c r="P173" s="645"/>
      <c r="Q173" s="645"/>
      <c r="R173" s="645"/>
      <c r="S173" s="645"/>
      <c r="T173" s="645"/>
      <c r="U173" s="645"/>
      <c r="V173" s="645"/>
      <c r="W173" s="645"/>
    </row>
    <row r="174" ht="12.75" customHeight="1">
      <c r="A174" s="645"/>
      <c r="B174" s="645"/>
      <c r="C174" s="645"/>
      <c r="D174" s="645"/>
      <c r="E174" s="645"/>
      <c r="F174" s="645"/>
      <c r="G174" s="645"/>
      <c r="H174" s="645"/>
      <c r="I174" s="645"/>
      <c r="J174" s="645"/>
      <c r="K174" s="645"/>
      <c r="L174" s="645"/>
      <c r="M174" s="645"/>
      <c r="N174" s="645"/>
      <c r="O174" s="645"/>
      <c r="P174" s="645"/>
      <c r="Q174" s="645"/>
      <c r="R174" s="645"/>
      <c r="S174" s="645"/>
      <c r="T174" s="645"/>
      <c r="U174" s="645"/>
      <c r="V174" s="645"/>
      <c r="W174" s="645"/>
    </row>
    <row r="175" ht="12.75" customHeight="1">
      <c r="A175" s="645"/>
      <c r="B175" s="645"/>
      <c r="C175" s="645"/>
      <c r="D175" s="645"/>
      <c r="E175" s="645"/>
      <c r="F175" s="645"/>
      <c r="G175" s="645"/>
      <c r="H175" s="645"/>
      <c r="I175" s="645"/>
      <c r="J175" s="645"/>
      <c r="K175" s="645"/>
      <c r="L175" s="645"/>
      <c r="M175" s="645"/>
      <c r="N175" s="645"/>
      <c r="O175" s="645"/>
      <c r="P175" s="645"/>
      <c r="Q175" s="645"/>
      <c r="R175" s="645"/>
      <c r="S175" s="645"/>
      <c r="T175" s="645"/>
      <c r="U175" s="645"/>
      <c r="V175" s="645"/>
      <c r="W175" s="645"/>
    </row>
    <row r="176" ht="12.75" customHeight="1">
      <c r="A176" s="645"/>
      <c r="B176" s="645"/>
      <c r="C176" s="645"/>
      <c r="D176" s="645"/>
      <c r="E176" s="645"/>
      <c r="F176" s="645"/>
      <c r="G176" s="645"/>
      <c r="H176" s="645"/>
      <c r="I176" s="645"/>
      <c r="J176" s="645"/>
      <c r="K176" s="645"/>
      <c r="L176" s="645"/>
      <c r="M176" s="645"/>
      <c r="N176" s="645"/>
      <c r="O176" s="645"/>
      <c r="P176" s="645"/>
      <c r="Q176" s="645"/>
      <c r="R176" s="645"/>
      <c r="S176" s="645"/>
      <c r="T176" s="645"/>
      <c r="U176" s="645"/>
      <c r="V176" s="645"/>
      <c r="W176" s="645"/>
    </row>
    <row r="177" ht="12.75" customHeight="1">
      <c r="A177" s="645"/>
      <c r="B177" s="645"/>
      <c r="C177" s="645"/>
      <c r="D177" s="645"/>
      <c r="E177" s="645"/>
      <c r="F177" s="645"/>
      <c r="G177" s="645"/>
      <c r="H177" s="645"/>
      <c r="I177" s="645"/>
      <c r="J177" s="645"/>
      <c r="K177" s="645"/>
      <c r="L177" s="645"/>
      <c r="M177" s="645"/>
      <c r="N177" s="645"/>
      <c r="O177" s="645"/>
      <c r="P177" s="645"/>
      <c r="Q177" s="645"/>
      <c r="R177" s="645"/>
      <c r="S177" s="645"/>
      <c r="T177" s="645"/>
      <c r="U177" s="645"/>
      <c r="V177" s="645"/>
      <c r="W177" s="645"/>
    </row>
    <row r="178" ht="12.75" customHeight="1">
      <c r="A178" s="645"/>
      <c r="B178" s="645"/>
      <c r="C178" s="645"/>
      <c r="D178" s="645"/>
      <c r="E178" s="645"/>
      <c r="F178" s="645"/>
      <c r="G178" s="645"/>
      <c r="H178" s="645"/>
      <c r="I178" s="645"/>
      <c r="J178" s="645"/>
      <c r="K178" s="645"/>
      <c r="L178" s="645"/>
      <c r="M178" s="645"/>
      <c r="N178" s="645"/>
      <c r="O178" s="645"/>
      <c r="P178" s="645"/>
      <c r="Q178" s="645"/>
      <c r="R178" s="645"/>
      <c r="S178" s="645"/>
      <c r="T178" s="645"/>
      <c r="U178" s="645"/>
      <c r="V178" s="645"/>
      <c r="W178" s="645"/>
    </row>
    <row r="179" ht="12.75" customHeight="1">
      <c r="A179" s="645"/>
      <c r="B179" s="645"/>
      <c r="C179" s="645"/>
      <c r="D179" s="645"/>
      <c r="E179" s="645"/>
      <c r="F179" s="645"/>
      <c r="G179" s="645"/>
      <c r="H179" s="645"/>
      <c r="I179" s="645"/>
      <c r="J179" s="645"/>
      <c r="K179" s="645"/>
      <c r="L179" s="645"/>
      <c r="M179" s="645"/>
      <c r="N179" s="645"/>
      <c r="O179" s="645"/>
      <c r="P179" s="645"/>
      <c r="Q179" s="645"/>
      <c r="R179" s="645"/>
      <c r="S179" s="645"/>
      <c r="T179" s="645"/>
      <c r="U179" s="645"/>
      <c r="V179" s="645"/>
      <c r="W179" s="645"/>
    </row>
    <row r="180" ht="12.75" customHeight="1">
      <c r="A180" s="645"/>
      <c r="B180" s="645"/>
      <c r="C180" s="645"/>
      <c r="D180" s="645"/>
      <c r="E180" s="645"/>
      <c r="F180" s="645"/>
      <c r="G180" s="645"/>
      <c r="H180" s="645"/>
      <c r="I180" s="645"/>
      <c r="J180" s="645"/>
      <c r="K180" s="645"/>
      <c r="L180" s="645"/>
      <c r="M180" s="645"/>
      <c r="N180" s="645"/>
      <c r="O180" s="645"/>
      <c r="P180" s="645"/>
      <c r="Q180" s="645"/>
      <c r="R180" s="645"/>
      <c r="S180" s="645"/>
      <c r="T180" s="645"/>
      <c r="U180" s="645"/>
      <c r="V180" s="645"/>
      <c r="W180" s="645"/>
    </row>
    <row r="181" ht="12.75" customHeight="1">
      <c r="A181" s="645"/>
      <c r="B181" s="645"/>
      <c r="C181" s="645"/>
      <c r="D181" s="645"/>
      <c r="E181" s="645"/>
      <c r="F181" s="645"/>
      <c r="G181" s="645"/>
      <c r="H181" s="645"/>
      <c r="I181" s="645"/>
      <c r="J181" s="645"/>
      <c r="K181" s="645"/>
      <c r="L181" s="645"/>
      <c r="M181" s="645"/>
      <c r="N181" s="645"/>
      <c r="O181" s="645"/>
      <c r="P181" s="645"/>
      <c r="Q181" s="645"/>
      <c r="R181" s="645"/>
      <c r="S181" s="645"/>
      <c r="T181" s="645"/>
      <c r="U181" s="645"/>
      <c r="V181" s="645"/>
      <c r="W181" s="645"/>
    </row>
    <row r="182" ht="12.75" customHeight="1">
      <c r="A182" s="645"/>
      <c r="B182" s="645"/>
      <c r="C182" s="645"/>
      <c r="D182" s="645"/>
      <c r="E182" s="645"/>
      <c r="F182" s="645"/>
      <c r="G182" s="645"/>
      <c r="H182" s="645"/>
      <c r="I182" s="645"/>
      <c r="J182" s="645"/>
      <c r="K182" s="645"/>
      <c r="L182" s="645"/>
      <c r="M182" s="645"/>
      <c r="N182" s="645"/>
      <c r="O182" s="645"/>
      <c r="P182" s="645"/>
      <c r="Q182" s="645"/>
      <c r="R182" s="645"/>
      <c r="S182" s="645"/>
      <c r="T182" s="645"/>
      <c r="U182" s="645"/>
      <c r="V182" s="645"/>
      <c r="W182" s="645"/>
    </row>
    <row r="183" ht="12.75" customHeight="1">
      <c r="A183" s="645"/>
      <c r="B183" s="645"/>
      <c r="C183" s="645"/>
      <c r="D183" s="645"/>
      <c r="E183" s="645"/>
      <c r="F183" s="645"/>
      <c r="G183" s="645"/>
      <c r="H183" s="645"/>
      <c r="I183" s="645"/>
      <c r="J183" s="645"/>
      <c r="K183" s="645"/>
      <c r="L183" s="645"/>
      <c r="M183" s="645"/>
      <c r="N183" s="645"/>
      <c r="O183" s="645"/>
      <c r="P183" s="645"/>
      <c r="Q183" s="645"/>
      <c r="R183" s="645"/>
      <c r="S183" s="645"/>
      <c r="T183" s="645"/>
      <c r="U183" s="645"/>
      <c r="V183" s="645"/>
      <c r="W183" s="645"/>
    </row>
    <row r="184" ht="12.75" customHeight="1">
      <c r="A184" s="645"/>
      <c r="B184" s="645"/>
      <c r="C184" s="645"/>
      <c r="D184" s="645"/>
      <c r="E184" s="645"/>
      <c r="F184" s="645"/>
      <c r="G184" s="645"/>
      <c r="H184" s="645"/>
      <c r="I184" s="645"/>
      <c r="J184" s="645"/>
      <c r="K184" s="645"/>
      <c r="L184" s="645"/>
      <c r="M184" s="645"/>
      <c r="N184" s="645"/>
      <c r="O184" s="645"/>
      <c r="P184" s="645"/>
      <c r="Q184" s="645"/>
      <c r="R184" s="645"/>
      <c r="S184" s="645"/>
      <c r="T184" s="645"/>
      <c r="U184" s="645"/>
      <c r="V184" s="645"/>
      <c r="W184" s="645"/>
    </row>
    <row r="185" ht="12.75" customHeight="1">
      <c r="A185" s="645"/>
      <c r="B185" s="645"/>
      <c r="C185" s="645"/>
      <c r="D185" s="645"/>
      <c r="E185" s="645"/>
      <c r="F185" s="645"/>
      <c r="G185" s="645"/>
      <c r="H185" s="645"/>
      <c r="I185" s="645"/>
      <c r="J185" s="645"/>
      <c r="K185" s="645"/>
      <c r="L185" s="645"/>
      <c r="M185" s="645"/>
      <c r="N185" s="645"/>
      <c r="O185" s="645"/>
      <c r="P185" s="645"/>
      <c r="Q185" s="645"/>
      <c r="R185" s="645"/>
      <c r="S185" s="645"/>
      <c r="T185" s="645"/>
      <c r="U185" s="645"/>
      <c r="V185" s="645"/>
      <c r="W185" s="645"/>
    </row>
    <row r="186" ht="12.75" customHeight="1">
      <c r="A186" s="645"/>
      <c r="B186" s="645"/>
      <c r="C186" s="645"/>
      <c r="D186" s="645"/>
      <c r="E186" s="645"/>
      <c r="F186" s="645"/>
      <c r="G186" s="645"/>
      <c r="H186" s="645"/>
      <c r="I186" s="645"/>
      <c r="J186" s="645"/>
      <c r="K186" s="645"/>
      <c r="L186" s="645"/>
      <c r="M186" s="645"/>
      <c r="N186" s="645"/>
      <c r="O186" s="645"/>
      <c r="P186" s="645"/>
      <c r="Q186" s="645"/>
      <c r="R186" s="645"/>
      <c r="S186" s="645"/>
      <c r="T186" s="645"/>
      <c r="U186" s="645"/>
      <c r="V186" s="645"/>
      <c r="W186" s="645"/>
    </row>
    <row r="187" ht="12.75" customHeight="1">
      <c r="A187" s="645"/>
      <c r="B187" s="645"/>
      <c r="C187" s="645"/>
      <c r="D187" s="645"/>
      <c r="E187" s="645"/>
      <c r="F187" s="645"/>
      <c r="G187" s="645"/>
      <c r="H187" s="645"/>
      <c r="I187" s="645"/>
      <c r="J187" s="645"/>
      <c r="K187" s="645"/>
      <c r="L187" s="645"/>
      <c r="M187" s="645"/>
      <c r="N187" s="645"/>
      <c r="O187" s="645"/>
      <c r="P187" s="645"/>
      <c r="Q187" s="645"/>
      <c r="R187" s="645"/>
      <c r="S187" s="645"/>
      <c r="T187" s="645"/>
      <c r="U187" s="645"/>
      <c r="V187" s="645"/>
      <c r="W187" s="645"/>
    </row>
    <row r="188" ht="12.75" customHeight="1">
      <c r="A188" s="645"/>
      <c r="B188" s="645"/>
      <c r="C188" s="645"/>
      <c r="D188" s="645"/>
      <c r="E188" s="645"/>
      <c r="F188" s="645"/>
      <c r="G188" s="645"/>
      <c r="H188" s="645"/>
      <c r="I188" s="645"/>
      <c r="J188" s="645"/>
      <c r="K188" s="645"/>
      <c r="L188" s="645"/>
      <c r="M188" s="645"/>
      <c r="N188" s="645"/>
      <c r="O188" s="645"/>
      <c r="P188" s="645"/>
      <c r="Q188" s="645"/>
      <c r="R188" s="645"/>
      <c r="S188" s="645"/>
      <c r="T188" s="645"/>
      <c r="U188" s="645"/>
      <c r="V188" s="645"/>
      <c r="W188" s="645"/>
    </row>
    <row r="189" ht="12.75" customHeight="1">
      <c r="A189" s="645"/>
      <c r="B189" s="645"/>
      <c r="C189" s="645"/>
      <c r="D189" s="645"/>
      <c r="E189" s="645"/>
      <c r="F189" s="645"/>
      <c r="G189" s="645"/>
      <c r="H189" s="645"/>
      <c r="I189" s="645"/>
      <c r="J189" s="645"/>
      <c r="K189" s="645"/>
      <c r="L189" s="645"/>
      <c r="M189" s="645"/>
      <c r="N189" s="645"/>
      <c r="O189" s="645"/>
      <c r="P189" s="645"/>
      <c r="Q189" s="645"/>
      <c r="R189" s="645"/>
      <c r="S189" s="645"/>
      <c r="T189" s="645"/>
      <c r="U189" s="645"/>
      <c r="V189" s="645"/>
      <c r="W189" s="645"/>
    </row>
    <row r="190" ht="12.75" customHeight="1">
      <c r="A190" s="645"/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45"/>
      <c r="T190" s="645"/>
      <c r="U190" s="645"/>
      <c r="V190" s="645"/>
      <c r="W190" s="645"/>
    </row>
    <row r="191" ht="12.75" customHeight="1">
      <c r="A191" s="645"/>
      <c r="B191" s="645"/>
      <c r="C191" s="645"/>
      <c r="D191" s="645"/>
      <c r="E191" s="645"/>
      <c r="F191" s="645"/>
      <c r="G191" s="645"/>
      <c r="H191" s="645"/>
      <c r="I191" s="645"/>
      <c r="J191" s="645"/>
      <c r="K191" s="645"/>
      <c r="L191" s="645"/>
      <c r="M191" s="645"/>
      <c r="N191" s="645"/>
      <c r="O191" s="645"/>
      <c r="P191" s="645"/>
      <c r="Q191" s="645"/>
      <c r="R191" s="645"/>
      <c r="S191" s="645"/>
      <c r="T191" s="645"/>
      <c r="U191" s="645"/>
      <c r="V191" s="645"/>
      <c r="W191" s="645"/>
    </row>
    <row r="192" ht="12.75" customHeight="1">
      <c r="A192" s="645"/>
      <c r="B192" s="645"/>
      <c r="C192" s="645"/>
      <c r="D192" s="645"/>
      <c r="E192" s="645"/>
      <c r="F192" s="645"/>
      <c r="G192" s="645"/>
      <c r="H192" s="645"/>
      <c r="I192" s="645"/>
      <c r="J192" s="645"/>
      <c r="K192" s="645"/>
      <c r="L192" s="645"/>
      <c r="M192" s="645"/>
      <c r="N192" s="645"/>
      <c r="O192" s="645"/>
      <c r="P192" s="645"/>
      <c r="Q192" s="645"/>
      <c r="R192" s="645"/>
      <c r="S192" s="645"/>
      <c r="T192" s="645"/>
      <c r="U192" s="645"/>
      <c r="V192" s="645"/>
      <c r="W192" s="645"/>
    </row>
    <row r="193" ht="12.75" customHeight="1">
      <c r="A193" s="645"/>
      <c r="B193" s="645"/>
      <c r="C193" s="645"/>
      <c r="D193" s="645"/>
      <c r="E193" s="645"/>
      <c r="F193" s="645"/>
      <c r="G193" s="645"/>
      <c r="H193" s="645"/>
      <c r="I193" s="645"/>
      <c r="J193" s="645"/>
      <c r="K193" s="645"/>
      <c r="L193" s="645"/>
      <c r="M193" s="645"/>
      <c r="N193" s="645"/>
      <c r="O193" s="645"/>
      <c r="P193" s="645"/>
      <c r="Q193" s="645"/>
      <c r="R193" s="645"/>
      <c r="S193" s="645"/>
      <c r="T193" s="645"/>
      <c r="U193" s="645"/>
      <c r="V193" s="645"/>
      <c r="W193" s="645"/>
    </row>
    <row r="194" ht="12.75" customHeight="1">
      <c r="A194" s="645"/>
      <c r="B194" s="645"/>
      <c r="C194" s="645"/>
      <c r="D194" s="645"/>
      <c r="E194" s="645"/>
      <c r="F194" s="645"/>
      <c r="G194" s="645"/>
      <c r="H194" s="645"/>
      <c r="I194" s="645"/>
      <c r="J194" s="645"/>
      <c r="K194" s="645"/>
      <c r="L194" s="645"/>
      <c r="M194" s="645"/>
      <c r="N194" s="645"/>
      <c r="O194" s="645"/>
      <c r="P194" s="645"/>
      <c r="Q194" s="645"/>
      <c r="R194" s="645"/>
      <c r="S194" s="645"/>
      <c r="T194" s="645"/>
      <c r="U194" s="645"/>
      <c r="V194" s="645"/>
      <c r="W194" s="645"/>
    </row>
    <row r="195" ht="12.75" customHeight="1">
      <c r="A195" s="645"/>
      <c r="B195" s="645"/>
      <c r="C195" s="645"/>
      <c r="D195" s="645"/>
      <c r="E195" s="645"/>
      <c r="F195" s="645"/>
      <c r="G195" s="645"/>
      <c r="H195" s="645"/>
      <c r="I195" s="645"/>
      <c r="J195" s="645"/>
      <c r="K195" s="645"/>
      <c r="L195" s="645"/>
      <c r="M195" s="645"/>
      <c r="N195" s="645"/>
      <c r="O195" s="645"/>
      <c r="P195" s="645"/>
      <c r="Q195" s="645"/>
      <c r="R195" s="645"/>
      <c r="S195" s="645"/>
      <c r="T195" s="645"/>
      <c r="U195" s="645"/>
      <c r="V195" s="645"/>
      <c r="W195" s="645"/>
    </row>
    <row r="196" ht="12.75" customHeight="1">
      <c r="A196" s="645"/>
      <c r="B196" s="645"/>
      <c r="C196" s="645"/>
      <c r="D196" s="645"/>
      <c r="E196" s="645"/>
      <c r="F196" s="645"/>
      <c r="G196" s="645"/>
      <c r="H196" s="645"/>
      <c r="I196" s="645"/>
      <c r="J196" s="645"/>
      <c r="K196" s="645"/>
      <c r="L196" s="645"/>
      <c r="M196" s="645"/>
      <c r="N196" s="645"/>
      <c r="O196" s="645"/>
      <c r="P196" s="645"/>
      <c r="Q196" s="645"/>
      <c r="R196" s="645"/>
      <c r="S196" s="645"/>
      <c r="T196" s="645"/>
      <c r="U196" s="645"/>
      <c r="V196" s="645"/>
      <c r="W196" s="645"/>
    </row>
    <row r="197" ht="12.75" customHeight="1">
      <c r="A197" s="645"/>
      <c r="B197" s="645"/>
      <c r="C197" s="645"/>
      <c r="D197" s="645"/>
      <c r="E197" s="645"/>
      <c r="F197" s="645"/>
      <c r="G197" s="645"/>
      <c r="H197" s="645"/>
      <c r="I197" s="645"/>
      <c r="J197" s="645"/>
      <c r="K197" s="645"/>
      <c r="L197" s="645"/>
      <c r="M197" s="645"/>
      <c r="N197" s="645"/>
      <c r="O197" s="645"/>
      <c r="P197" s="645"/>
      <c r="Q197" s="645"/>
      <c r="R197" s="645"/>
      <c r="S197" s="645"/>
      <c r="T197" s="645"/>
      <c r="U197" s="645"/>
      <c r="V197" s="645"/>
      <c r="W197" s="645"/>
    </row>
    <row r="198" ht="12.75" customHeight="1">
      <c r="A198" s="645"/>
      <c r="B198" s="645"/>
      <c r="C198" s="645"/>
      <c r="D198" s="645"/>
      <c r="E198" s="645"/>
      <c r="F198" s="645"/>
      <c r="G198" s="645"/>
      <c r="H198" s="645"/>
      <c r="I198" s="645"/>
      <c r="J198" s="645"/>
      <c r="K198" s="645"/>
      <c r="L198" s="645"/>
      <c r="M198" s="645"/>
      <c r="N198" s="645"/>
      <c r="O198" s="645"/>
      <c r="P198" s="645"/>
      <c r="Q198" s="645"/>
      <c r="R198" s="645"/>
      <c r="S198" s="645"/>
      <c r="T198" s="645"/>
      <c r="U198" s="645"/>
      <c r="V198" s="645"/>
      <c r="W198" s="645"/>
    </row>
    <row r="199" ht="12.75" customHeight="1">
      <c r="A199" s="645"/>
      <c r="B199" s="645"/>
      <c r="C199" s="645"/>
      <c r="D199" s="645"/>
      <c r="E199" s="645"/>
      <c r="F199" s="645"/>
      <c r="G199" s="645"/>
      <c r="H199" s="645"/>
      <c r="I199" s="645"/>
      <c r="J199" s="645"/>
      <c r="K199" s="645"/>
      <c r="L199" s="645"/>
      <c r="M199" s="645"/>
      <c r="N199" s="645"/>
      <c r="O199" s="645"/>
      <c r="P199" s="645"/>
      <c r="Q199" s="645"/>
      <c r="R199" s="645"/>
      <c r="S199" s="645"/>
      <c r="T199" s="645"/>
      <c r="U199" s="645"/>
      <c r="V199" s="645"/>
      <c r="W199" s="645"/>
    </row>
    <row r="200" ht="12.75" customHeight="1">
      <c r="A200" s="645"/>
      <c r="B200" s="645"/>
      <c r="C200" s="645"/>
      <c r="D200" s="645"/>
      <c r="E200" s="645"/>
      <c r="F200" s="645"/>
      <c r="G200" s="645"/>
      <c r="H200" s="645"/>
      <c r="I200" s="645"/>
      <c r="J200" s="645"/>
      <c r="K200" s="645"/>
      <c r="L200" s="645"/>
      <c r="M200" s="645"/>
      <c r="N200" s="645"/>
      <c r="O200" s="645"/>
      <c r="P200" s="645"/>
      <c r="Q200" s="645"/>
      <c r="R200" s="645"/>
      <c r="S200" s="645"/>
      <c r="T200" s="645"/>
      <c r="U200" s="645"/>
      <c r="V200" s="645"/>
      <c r="W200" s="645"/>
    </row>
    <row r="201" ht="12.75" customHeight="1">
      <c r="A201" s="645"/>
      <c r="B201" s="645"/>
      <c r="C201" s="645"/>
      <c r="D201" s="645"/>
      <c r="E201" s="645"/>
      <c r="F201" s="645"/>
      <c r="G201" s="645"/>
      <c r="H201" s="645"/>
      <c r="I201" s="645"/>
      <c r="J201" s="645"/>
      <c r="K201" s="645"/>
      <c r="L201" s="645"/>
      <c r="M201" s="645"/>
      <c r="N201" s="645"/>
      <c r="O201" s="645"/>
      <c r="P201" s="645"/>
      <c r="Q201" s="645"/>
      <c r="R201" s="645"/>
      <c r="S201" s="645"/>
      <c r="T201" s="645"/>
      <c r="U201" s="645"/>
      <c r="V201" s="645"/>
      <c r="W201" s="645"/>
    </row>
    <row r="202" ht="12.75" customHeight="1">
      <c r="A202" s="645"/>
      <c r="B202" s="645"/>
      <c r="C202" s="645"/>
      <c r="D202" s="645"/>
      <c r="E202" s="645"/>
      <c r="F202" s="645"/>
      <c r="G202" s="645"/>
      <c r="H202" s="645"/>
      <c r="I202" s="645"/>
      <c r="J202" s="645"/>
      <c r="K202" s="645"/>
      <c r="L202" s="645"/>
      <c r="M202" s="645"/>
      <c r="N202" s="645"/>
      <c r="O202" s="645"/>
      <c r="P202" s="645"/>
      <c r="Q202" s="645"/>
      <c r="R202" s="645"/>
      <c r="S202" s="645"/>
      <c r="T202" s="645"/>
      <c r="U202" s="645"/>
      <c r="V202" s="645"/>
      <c r="W202" s="645"/>
    </row>
    <row r="203" ht="12.75" customHeight="1">
      <c r="A203" s="645"/>
      <c r="B203" s="645"/>
      <c r="C203" s="645"/>
      <c r="D203" s="645"/>
      <c r="E203" s="645"/>
      <c r="F203" s="645"/>
      <c r="G203" s="645"/>
      <c r="H203" s="645"/>
      <c r="I203" s="645"/>
      <c r="J203" s="645"/>
      <c r="K203" s="645"/>
      <c r="L203" s="645"/>
      <c r="M203" s="645"/>
      <c r="N203" s="645"/>
      <c r="O203" s="645"/>
      <c r="P203" s="645"/>
      <c r="Q203" s="645"/>
      <c r="R203" s="645"/>
      <c r="S203" s="645"/>
      <c r="T203" s="645"/>
      <c r="U203" s="645"/>
      <c r="V203" s="645"/>
      <c r="W203" s="645"/>
    </row>
    <row r="204" ht="12.75" customHeight="1">
      <c r="A204" s="645"/>
      <c r="B204" s="645"/>
      <c r="C204" s="645"/>
      <c r="D204" s="645"/>
      <c r="E204" s="645"/>
      <c r="F204" s="645"/>
      <c r="G204" s="645"/>
      <c r="H204" s="645"/>
      <c r="I204" s="645"/>
      <c r="J204" s="645"/>
      <c r="K204" s="645"/>
      <c r="L204" s="645"/>
      <c r="M204" s="645"/>
      <c r="N204" s="645"/>
      <c r="O204" s="645"/>
      <c r="P204" s="645"/>
      <c r="Q204" s="645"/>
      <c r="R204" s="645"/>
      <c r="S204" s="645"/>
      <c r="T204" s="645"/>
      <c r="U204" s="645"/>
      <c r="V204" s="645"/>
      <c r="W204" s="645"/>
    </row>
    <row r="205" ht="12.75" customHeight="1">
      <c r="A205" s="645"/>
      <c r="B205" s="645"/>
      <c r="C205" s="645"/>
      <c r="D205" s="645"/>
      <c r="E205" s="645"/>
      <c r="F205" s="645"/>
      <c r="G205" s="645"/>
      <c r="H205" s="645"/>
      <c r="I205" s="645"/>
      <c r="J205" s="645"/>
      <c r="K205" s="645"/>
      <c r="L205" s="645"/>
      <c r="M205" s="645"/>
      <c r="N205" s="645"/>
      <c r="O205" s="645"/>
      <c r="P205" s="645"/>
      <c r="Q205" s="645"/>
      <c r="R205" s="645"/>
      <c r="S205" s="645"/>
      <c r="T205" s="645"/>
      <c r="U205" s="645"/>
      <c r="V205" s="645"/>
      <c r="W205" s="645"/>
    </row>
    <row r="206" ht="12.75" customHeight="1">
      <c r="A206" s="645"/>
      <c r="B206" s="645"/>
      <c r="C206" s="645"/>
      <c r="D206" s="645"/>
      <c r="E206" s="645"/>
      <c r="F206" s="645"/>
      <c r="G206" s="645"/>
      <c r="H206" s="645"/>
      <c r="I206" s="645"/>
      <c r="J206" s="645"/>
      <c r="K206" s="645"/>
      <c r="L206" s="645"/>
      <c r="M206" s="645"/>
      <c r="N206" s="645"/>
      <c r="O206" s="645"/>
      <c r="P206" s="645"/>
      <c r="Q206" s="645"/>
      <c r="R206" s="645"/>
      <c r="S206" s="645"/>
      <c r="T206" s="645"/>
      <c r="U206" s="645"/>
      <c r="V206" s="645"/>
      <c r="W206" s="645"/>
    </row>
    <row r="207" ht="12.75" customHeight="1">
      <c r="A207" s="645"/>
      <c r="B207" s="645"/>
      <c r="C207" s="645"/>
      <c r="D207" s="645"/>
      <c r="E207" s="645"/>
      <c r="F207" s="645"/>
      <c r="G207" s="645"/>
      <c r="H207" s="645"/>
      <c r="I207" s="645"/>
      <c r="J207" s="645"/>
      <c r="K207" s="645"/>
      <c r="L207" s="645"/>
      <c r="M207" s="645"/>
      <c r="N207" s="645"/>
      <c r="O207" s="645"/>
      <c r="P207" s="645"/>
      <c r="Q207" s="645"/>
      <c r="R207" s="645"/>
      <c r="S207" s="645"/>
      <c r="T207" s="645"/>
      <c r="U207" s="645"/>
      <c r="V207" s="645"/>
      <c r="W207" s="645"/>
    </row>
    <row r="208" ht="12.75" customHeight="1">
      <c r="A208" s="645"/>
      <c r="B208" s="645"/>
      <c r="C208" s="645"/>
      <c r="D208" s="645"/>
      <c r="E208" s="645"/>
      <c r="F208" s="645"/>
      <c r="G208" s="645"/>
      <c r="H208" s="645"/>
      <c r="I208" s="645"/>
      <c r="J208" s="645"/>
      <c r="K208" s="645"/>
      <c r="L208" s="645"/>
      <c r="M208" s="645"/>
      <c r="N208" s="645"/>
      <c r="O208" s="645"/>
      <c r="P208" s="645"/>
      <c r="Q208" s="645"/>
      <c r="R208" s="645"/>
      <c r="S208" s="645"/>
      <c r="T208" s="645"/>
      <c r="U208" s="645"/>
      <c r="V208" s="645"/>
      <c r="W208" s="645"/>
    </row>
    <row r="209" ht="12.75" customHeight="1">
      <c r="A209" s="645"/>
      <c r="B209" s="645"/>
      <c r="C209" s="645"/>
      <c r="D209" s="645"/>
      <c r="E209" s="645"/>
      <c r="F209" s="645"/>
      <c r="G209" s="645"/>
      <c r="H209" s="645"/>
      <c r="I209" s="645"/>
      <c r="J209" s="645"/>
      <c r="K209" s="645"/>
      <c r="L209" s="645"/>
      <c r="M209" s="645"/>
      <c r="N209" s="645"/>
      <c r="O209" s="645"/>
      <c r="P209" s="645"/>
      <c r="Q209" s="645"/>
      <c r="R209" s="645"/>
      <c r="S209" s="645"/>
      <c r="T209" s="645"/>
      <c r="U209" s="645"/>
      <c r="V209" s="645"/>
      <c r="W209" s="645"/>
    </row>
    <row r="210" ht="12.75" customHeight="1">
      <c r="A210" s="645"/>
      <c r="B210" s="645"/>
      <c r="C210" s="645"/>
      <c r="D210" s="645"/>
      <c r="E210" s="645"/>
      <c r="F210" s="645"/>
      <c r="G210" s="645"/>
      <c r="H210" s="645"/>
      <c r="I210" s="645"/>
      <c r="J210" s="645"/>
      <c r="K210" s="645"/>
      <c r="L210" s="645"/>
      <c r="M210" s="645"/>
      <c r="N210" s="645"/>
      <c r="O210" s="645"/>
      <c r="P210" s="645"/>
      <c r="Q210" s="645"/>
      <c r="R210" s="645"/>
      <c r="S210" s="645"/>
      <c r="T210" s="645"/>
      <c r="U210" s="645"/>
      <c r="V210" s="645"/>
      <c r="W210" s="645"/>
    </row>
    <row r="211" ht="12.75" customHeight="1">
      <c r="A211" s="645"/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45"/>
      <c r="T211" s="645"/>
      <c r="U211" s="645"/>
      <c r="V211" s="645"/>
      <c r="W211" s="645"/>
    </row>
    <row r="212" ht="12.75" customHeight="1">
      <c r="A212" s="645"/>
      <c r="B212" s="645"/>
      <c r="C212" s="645"/>
      <c r="D212" s="645"/>
      <c r="E212" s="645"/>
      <c r="F212" s="645"/>
      <c r="G212" s="645"/>
      <c r="H212" s="645"/>
      <c r="I212" s="645"/>
      <c r="J212" s="645"/>
      <c r="K212" s="645"/>
      <c r="L212" s="645"/>
      <c r="M212" s="645"/>
      <c r="N212" s="645"/>
      <c r="O212" s="645"/>
      <c r="P212" s="645"/>
      <c r="Q212" s="645"/>
      <c r="R212" s="645"/>
      <c r="S212" s="645"/>
      <c r="T212" s="645"/>
      <c r="U212" s="645"/>
      <c r="V212" s="645"/>
      <c r="W212" s="645"/>
    </row>
    <row r="213" ht="12.75" customHeight="1">
      <c r="A213" s="645"/>
      <c r="B213" s="645"/>
      <c r="C213" s="645"/>
      <c r="D213" s="645"/>
      <c r="E213" s="645"/>
      <c r="F213" s="645"/>
      <c r="G213" s="645"/>
      <c r="H213" s="645"/>
      <c r="I213" s="645"/>
      <c r="J213" s="645"/>
      <c r="K213" s="645"/>
      <c r="L213" s="645"/>
      <c r="M213" s="645"/>
      <c r="N213" s="645"/>
      <c r="O213" s="645"/>
      <c r="P213" s="645"/>
      <c r="Q213" s="645"/>
      <c r="R213" s="645"/>
      <c r="S213" s="645"/>
      <c r="T213" s="645"/>
      <c r="U213" s="645"/>
      <c r="V213" s="645"/>
      <c r="W213" s="645"/>
    </row>
    <row r="214" ht="12.75" customHeight="1">
      <c r="A214" s="645"/>
      <c r="B214" s="645"/>
      <c r="C214" s="645"/>
      <c r="D214" s="645"/>
      <c r="E214" s="645"/>
      <c r="F214" s="645"/>
      <c r="G214" s="645"/>
      <c r="H214" s="645"/>
      <c r="I214" s="645"/>
      <c r="J214" s="645"/>
      <c r="K214" s="645"/>
      <c r="L214" s="645"/>
      <c r="M214" s="645"/>
      <c r="N214" s="645"/>
      <c r="O214" s="645"/>
      <c r="P214" s="645"/>
      <c r="Q214" s="645"/>
      <c r="R214" s="645"/>
      <c r="S214" s="645"/>
      <c r="T214" s="645"/>
      <c r="U214" s="645"/>
      <c r="V214" s="645"/>
      <c r="W214" s="645"/>
    </row>
    <row r="215" ht="12.75" customHeight="1">
      <c r="A215" s="645"/>
      <c r="B215" s="645"/>
      <c r="C215" s="645"/>
      <c r="D215" s="645"/>
      <c r="E215" s="645"/>
      <c r="F215" s="645"/>
      <c r="G215" s="645"/>
      <c r="H215" s="645"/>
      <c r="I215" s="645"/>
      <c r="J215" s="645"/>
      <c r="K215" s="645"/>
      <c r="L215" s="645"/>
      <c r="M215" s="645"/>
      <c r="N215" s="645"/>
      <c r="O215" s="645"/>
      <c r="P215" s="645"/>
      <c r="Q215" s="645"/>
      <c r="R215" s="645"/>
      <c r="S215" s="645"/>
      <c r="T215" s="645"/>
      <c r="U215" s="645"/>
      <c r="V215" s="645"/>
      <c r="W215" s="645"/>
    </row>
    <row r="216" ht="12.75" customHeight="1">
      <c r="A216" s="645"/>
      <c r="B216" s="645"/>
      <c r="C216" s="645"/>
      <c r="D216" s="645"/>
      <c r="E216" s="645"/>
      <c r="F216" s="645"/>
      <c r="G216" s="645"/>
      <c r="H216" s="645"/>
      <c r="I216" s="645"/>
      <c r="J216" s="645"/>
      <c r="K216" s="645"/>
      <c r="L216" s="645"/>
      <c r="M216" s="645"/>
      <c r="N216" s="645"/>
      <c r="O216" s="645"/>
      <c r="P216" s="645"/>
      <c r="Q216" s="645"/>
      <c r="R216" s="645"/>
      <c r="S216" s="645"/>
      <c r="T216" s="645"/>
      <c r="U216" s="645"/>
      <c r="V216" s="645"/>
      <c r="W216" s="645"/>
    </row>
    <row r="217" ht="12.75" customHeight="1">
      <c r="A217" s="645"/>
      <c r="B217" s="645"/>
      <c r="C217" s="645"/>
      <c r="D217" s="645"/>
      <c r="E217" s="645"/>
      <c r="F217" s="645"/>
      <c r="G217" s="645"/>
      <c r="H217" s="645"/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45"/>
      <c r="T217" s="645"/>
      <c r="U217" s="645"/>
      <c r="V217" s="645"/>
      <c r="W217" s="645"/>
    </row>
    <row r="218" ht="12.75" customHeight="1">
      <c r="A218" s="645"/>
      <c r="B218" s="645"/>
      <c r="C218" s="645"/>
      <c r="D218" s="645"/>
      <c r="E218" s="645"/>
      <c r="F218" s="645"/>
      <c r="G218" s="645"/>
      <c r="H218" s="645"/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45"/>
      <c r="T218" s="645"/>
      <c r="U218" s="645"/>
      <c r="V218" s="645"/>
      <c r="W218" s="645"/>
    </row>
    <row r="219" ht="12.75" customHeight="1">
      <c r="A219" s="645"/>
      <c r="B219" s="645"/>
      <c r="C219" s="645"/>
      <c r="D219" s="645"/>
      <c r="E219" s="645"/>
      <c r="F219" s="645"/>
      <c r="G219" s="645"/>
      <c r="H219" s="645"/>
      <c r="I219" s="645"/>
      <c r="J219" s="645"/>
      <c r="K219" s="645"/>
      <c r="L219" s="645"/>
      <c r="M219" s="645"/>
      <c r="N219" s="645"/>
      <c r="O219" s="645"/>
      <c r="P219" s="645"/>
      <c r="Q219" s="645"/>
      <c r="R219" s="645"/>
      <c r="S219" s="645"/>
      <c r="T219" s="645"/>
      <c r="U219" s="645"/>
      <c r="V219" s="645"/>
      <c r="W219" s="645"/>
    </row>
    <row r="220" ht="12.75" customHeight="1">
      <c r="A220" s="645"/>
      <c r="B220" s="645"/>
      <c r="C220" s="645"/>
      <c r="D220" s="645"/>
      <c r="E220" s="645"/>
      <c r="F220" s="645"/>
      <c r="G220" s="645"/>
      <c r="H220" s="645"/>
      <c r="I220" s="645"/>
      <c r="J220" s="645"/>
      <c r="K220" s="645"/>
      <c r="L220" s="645"/>
      <c r="M220" s="645"/>
      <c r="N220" s="645"/>
      <c r="O220" s="645"/>
      <c r="P220" s="645"/>
      <c r="Q220" s="645"/>
      <c r="R220" s="645"/>
      <c r="S220" s="645"/>
      <c r="T220" s="645"/>
      <c r="U220" s="645"/>
      <c r="V220" s="645"/>
      <c r="W220" s="645"/>
    </row>
    <row r="221" ht="12.75" customHeight="1">
      <c r="A221" s="645"/>
      <c r="B221" s="645"/>
      <c r="C221" s="645"/>
      <c r="D221" s="645"/>
      <c r="E221" s="645"/>
      <c r="F221" s="645"/>
      <c r="G221" s="645"/>
      <c r="H221" s="645"/>
      <c r="I221" s="645"/>
      <c r="J221" s="645"/>
      <c r="K221" s="645"/>
      <c r="L221" s="645"/>
      <c r="M221" s="645"/>
      <c r="N221" s="645"/>
      <c r="O221" s="645"/>
      <c r="P221" s="645"/>
      <c r="Q221" s="645"/>
      <c r="R221" s="645"/>
      <c r="S221" s="645"/>
      <c r="T221" s="645"/>
      <c r="U221" s="645"/>
      <c r="V221" s="645"/>
      <c r="W221" s="645"/>
    </row>
    <row r="222" ht="12.75" customHeight="1">
      <c r="A222" s="645"/>
      <c r="B222" s="645"/>
      <c r="C222" s="645"/>
      <c r="D222" s="645"/>
      <c r="E222" s="645"/>
      <c r="F222" s="645"/>
      <c r="G222" s="645"/>
      <c r="H222" s="645"/>
      <c r="I222" s="645"/>
      <c r="J222" s="645"/>
      <c r="K222" s="645"/>
      <c r="L222" s="645"/>
      <c r="M222" s="645"/>
      <c r="N222" s="645"/>
      <c r="O222" s="645"/>
      <c r="P222" s="645"/>
      <c r="Q222" s="645"/>
      <c r="R222" s="645"/>
      <c r="S222" s="645"/>
      <c r="T222" s="645"/>
      <c r="U222" s="645"/>
      <c r="V222" s="645"/>
      <c r="W222" s="645"/>
    </row>
    <row r="223" ht="12.75" customHeight="1">
      <c r="A223" s="645"/>
      <c r="B223" s="645"/>
      <c r="C223" s="645"/>
      <c r="D223" s="645"/>
      <c r="E223" s="645"/>
      <c r="F223" s="645"/>
      <c r="G223" s="645"/>
      <c r="H223" s="645"/>
      <c r="I223" s="645"/>
      <c r="J223" s="645"/>
      <c r="K223" s="645"/>
      <c r="L223" s="645"/>
      <c r="M223" s="645"/>
      <c r="N223" s="645"/>
      <c r="O223" s="645"/>
      <c r="P223" s="645"/>
      <c r="Q223" s="645"/>
      <c r="R223" s="645"/>
      <c r="S223" s="645"/>
      <c r="T223" s="645"/>
      <c r="U223" s="645"/>
      <c r="V223" s="645"/>
      <c r="W223" s="645"/>
    </row>
    <row r="224" ht="12.75" customHeight="1">
      <c r="A224" s="645"/>
      <c r="B224" s="645"/>
      <c r="C224" s="645"/>
      <c r="D224" s="645"/>
      <c r="E224" s="645"/>
      <c r="F224" s="645"/>
      <c r="G224" s="645"/>
      <c r="H224" s="645"/>
      <c r="I224" s="645"/>
      <c r="J224" s="645"/>
      <c r="K224" s="645"/>
      <c r="L224" s="645"/>
      <c r="M224" s="645"/>
      <c r="N224" s="645"/>
      <c r="O224" s="645"/>
      <c r="P224" s="645"/>
      <c r="Q224" s="645"/>
      <c r="R224" s="645"/>
      <c r="S224" s="645"/>
      <c r="T224" s="645"/>
      <c r="U224" s="645"/>
      <c r="V224" s="645"/>
      <c r="W224" s="645"/>
    </row>
    <row r="225" ht="12.75" customHeight="1">
      <c r="A225" s="645"/>
      <c r="B225" s="645"/>
      <c r="C225" s="645"/>
      <c r="D225" s="645"/>
      <c r="E225" s="645"/>
      <c r="F225" s="645"/>
      <c r="G225" s="645"/>
      <c r="H225" s="645"/>
      <c r="I225" s="645"/>
      <c r="J225" s="645"/>
      <c r="K225" s="645"/>
      <c r="L225" s="645"/>
      <c r="M225" s="645"/>
      <c r="N225" s="645"/>
      <c r="O225" s="645"/>
      <c r="P225" s="645"/>
      <c r="Q225" s="645"/>
      <c r="R225" s="645"/>
      <c r="S225" s="645"/>
      <c r="T225" s="645"/>
      <c r="U225" s="645"/>
      <c r="V225" s="645"/>
      <c r="W225" s="645"/>
    </row>
    <row r="226" ht="12.75" customHeight="1">
      <c r="A226" s="645"/>
      <c r="B226" s="645"/>
      <c r="C226" s="645"/>
      <c r="D226" s="645"/>
      <c r="E226" s="645"/>
      <c r="F226" s="645"/>
      <c r="G226" s="645"/>
      <c r="H226" s="645"/>
      <c r="I226" s="645"/>
      <c r="J226" s="645"/>
      <c r="K226" s="645"/>
      <c r="L226" s="645"/>
      <c r="M226" s="645"/>
      <c r="N226" s="645"/>
      <c r="O226" s="645"/>
      <c r="P226" s="645"/>
      <c r="Q226" s="645"/>
      <c r="R226" s="645"/>
      <c r="S226" s="645"/>
      <c r="T226" s="645"/>
      <c r="U226" s="645"/>
      <c r="V226" s="645"/>
      <c r="W226" s="645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