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439\Box\Darby_Drea\manuscripts\Manuscript-sugar diet\data_stats\Fig_5\qPCR_AMPs\"/>
    </mc:Choice>
  </mc:AlternateContent>
  <xr:revisionPtr revIDLastSave="0" documentId="13_ncr:1_{FA63D25D-DECA-4A64-882B-89D373F376E7}" xr6:coauthVersionLast="47" xr6:coauthVersionMax="47" xr10:uidLastSave="{00000000-0000-0000-0000-000000000000}"/>
  <bookViews>
    <workbookView xWindow="-110" yWindow="-110" windowWidth="19420" windowHeight="10420" firstSheet="1" activeTab="1" xr2:uid="{D22E98C7-7EAF-47C8-9229-FADE047EF7DA}"/>
  </bookViews>
  <sheets>
    <sheet name="Emmeans-Providencia-rettgeri" sheetId="2" r:id="rId1"/>
    <sheet name="Emmeans_Serratia_marcesce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8" i="1"/>
  <c r="T19" i="1"/>
  <c r="S19" i="1"/>
  <c r="S18" i="1"/>
  <c r="S16" i="1"/>
  <c r="S15" i="1"/>
  <c r="S14" i="1"/>
  <c r="S16" i="2"/>
  <c r="S17" i="2"/>
  <c r="S18" i="2"/>
  <c r="S19" i="2"/>
  <c r="T19" i="2"/>
  <c r="T18" i="2"/>
  <c r="T17" i="2"/>
  <c r="T16" i="2"/>
  <c r="T15" i="2"/>
  <c r="T14" i="2"/>
  <c r="S15" i="2"/>
  <c r="S14" i="2"/>
  <c r="H28" i="1" l="1"/>
  <c r="J28" i="1" l="1"/>
  <c r="J27" i="1"/>
  <c r="J21" i="1"/>
  <c r="J20" i="1"/>
  <c r="J42" i="1"/>
  <c r="J41" i="1"/>
  <c r="J35" i="1"/>
  <c r="J34" i="1"/>
  <c r="J6" i="1"/>
  <c r="J5" i="1"/>
  <c r="J13" i="1"/>
  <c r="J21" i="2"/>
  <c r="J20" i="2"/>
  <c r="J27" i="2"/>
  <c r="J34" i="2"/>
  <c r="J42" i="2" l="1"/>
  <c r="J39" i="2"/>
  <c r="J40" i="2"/>
  <c r="J41" i="2"/>
  <c r="J13" i="2"/>
  <c r="J14" i="2"/>
  <c r="J12" i="2"/>
  <c r="J11" i="2"/>
  <c r="J5" i="2"/>
  <c r="J6" i="2"/>
  <c r="J39" i="1"/>
  <c r="J40" i="1"/>
  <c r="J32" i="1"/>
  <c r="J33" i="1"/>
  <c r="J25" i="1"/>
  <c r="J26" i="1"/>
  <c r="J18" i="1"/>
  <c r="J19" i="1"/>
  <c r="J12" i="1"/>
  <c r="J11" i="1"/>
  <c r="J3" i="1"/>
  <c r="J4" i="1"/>
  <c r="J3" i="2"/>
  <c r="J4" i="2"/>
  <c r="J32" i="2"/>
  <c r="J33" i="2"/>
  <c r="J18" i="2"/>
  <c r="J19" i="2"/>
  <c r="K33" i="2" l="1"/>
  <c r="L33" i="2" s="1"/>
  <c r="Q16" i="2" s="1"/>
  <c r="J25" i="2"/>
  <c r="K25" i="2" s="1"/>
  <c r="L25" i="2" s="1"/>
  <c r="R19" i="2" s="1"/>
  <c r="J26" i="2"/>
  <c r="K27" i="2"/>
  <c r="L27" i="2" s="1"/>
  <c r="J28" i="2"/>
  <c r="K28" i="2" s="1"/>
  <c r="L28" i="2" s="1"/>
  <c r="K20" i="2"/>
  <c r="L20" i="2" s="1"/>
  <c r="K6" i="2"/>
  <c r="L6" i="2" s="1"/>
  <c r="K42" i="2"/>
  <c r="L42" i="2" s="1"/>
  <c r="E42" i="2"/>
  <c r="G42" i="2" s="1"/>
  <c r="H42" i="2" s="1"/>
  <c r="E41" i="2"/>
  <c r="G41" i="2" s="1"/>
  <c r="H41" i="2" s="1"/>
  <c r="K40" i="2"/>
  <c r="L40" i="2" s="1"/>
  <c r="Q17" i="2" s="1"/>
  <c r="E40" i="2"/>
  <c r="G40" i="2" s="1"/>
  <c r="K39" i="2"/>
  <c r="L39" i="2" s="1"/>
  <c r="R17" i="2" s="1"/>
  <c r="E39" i="2"/>
  <c r="G39" i="2" s="1"/>
  <c r="K35" i="2"/>
  <c r="L35" i="2" s="1"/>
  <c r="E35" i="2"/>
  <c r="G35" i="2" s="1"/>
  <c r="E34" i="2"/>
  <c r="G34" i="2" s="1"/>
  <c r="H34" i="2" s="1"/>
  <c r="E33" i="2"/>
  <c r="G33" i="2" s="1"/>
  <c r="K32" i="2"/>
  <c r="E32" i="2"/>
  <c r="G32" i="2" s="1"/>
  <c r="E28" i="2"/>
  <c r="G28" i="2" s="1"/>
  <c r="E27" i="2"/>
  <c r="G27" i="2" s="1"/>
  <c r="H27" i="2" s="1"/>
  <c r="E26" i="2"/>
  <c r="G26" i="2" s="1"/>
  <c r="E25" i="2"/>
  <c r="G25" i="2" s="1"/>
  <c r="K21" i="2"/>
  <c r="L21" i="2" s="1"/>
  <c r="E21" i="2"/>
  <c r="G21" i="2" s="1"/>
  <c r="E20" i="2"/>
  <c r="G20" i="2" s="1"/>
  <c r="E19" i="2"/>
  <c r="G19" i="2" s="1"/>
  <c r="K18" i="2"/>
  <c r="L18" i="2" s="1"/>
  <c r="R18" i="2" s="1"/>
  <c r="E18" i="2"/>
  <c r="G18" i="2" s="1"/>
  <c r="K14" i="2"/>
  <c r="L14" i="2" s="1"/>
  <c r="E14" i="2"/>
  <c r="G14" i="2" s="1"/>
  <c r="E13" i="2"/>
  <c r="G13" i="2" s="1"/>
  <c r="H13" i="2" s="1"/>
  <c r="E12" i="2"/>
  <c r="G12" i="2" s="1"/>
  <c r="E11" i="2"/>
  <c r="G11" i="2" s="1"/>
  <c r="E6" i="2"/>
  <c r="F6" i="2" s="1"/>
  <c r="E5" i="2"/>
  <c r="F5" i="2" s="1"/>
  <c r="G5" i="2" s="1"/>
  <c r="H5" i="2" s="1"/>
  <c r="E4" i="2"/>
  <c r="E3" i="2"/>
  <c r="F3" i="2" s="1"/>
  <c r="K42" i="1"/>
  <c r="L42" i="1" s="1"/>
  <c r="E42" i="1"/>
  <c r="G42" i="1" s="1"/>
  <c r="K41" i="1"/>
  <c r="L41" i="1" s="1"/>
  <c r="E41" i="1"/>
  <c r="G41" i="1" s="1"/>
  <c r="E40" i="1"/>
  <c r="G40" i="1" s="1"/>
  <c r="K39" i="1"/>
  <c r="E39" i="1"/>
  <c r="G39" i="1" s="1"/>
  <c r="K35" i="1"/>
  <c r="L35" i="1" s="1"/>
  <c r="E35" i="1"/>
  <c r="G35" i="1" s="1"/>
  <c r="K34" i="1"/>
  <c r="L34" i="1" s="1"/>
  <c r="E34" i="1"/>
  <c r="G34" i="1" s="1"/>
  <c r="K33" i="1"/>
  <c r="L33" i="1" s="1"/>
  <c r="Q16" i="1" s="1"/>
  <c r="E33" i="1"/>
  <c r="G33" i="1" s="1"/>
  <c r="K32" i="1"/>
  <c r="L32" i="1" s="1"/>
  <c r="R16" i="1" s="1"/>
  <c r="E32" i="1"/>
  <c r="G32" i="1" s="1"/>
  <c r="K28" i="1"/>
  <c r="L28" i="1" s="1"/>
  <c r="E28" i="1"/>
  <c r="G28" i="1" s="1"/>
  <c r="K27" i="1"/>
  <c r="L27" i="1" s="1"/>
  <c r="E27" i="1"/>
  <c r="G27" i="1" s="1"/>
  <c r="H27" i="1" s="1"/>
  <c r="K26" i="1"/>
  <c r="L26" i="1" s="1"/>
  <c r="Q19" i="1" s="1"/>
  <c r="E26" i="1"/>
  <c r="G26" i="1" s="1"/>
  <c r="H26" i="1" s="1"/>
  <c r="E25" i="1"/>
  <c r="G25" i="1" s="1"/>
  <c r="K21" i="1"/>
  <c r="L21" i="1" s="1"/>
  <c r="E21" i="1"/>
  <c r="G21" i="1" s="1"/>
  <c r="K20" i="1"/>
  <c r="L20" i="1" s="1"/>
  <c r="E20" i="1"/>
  <c r="G20" i="1" s="1"/>
  <c r="K19" i="1"/>
  <c r="L19" i="1" s="1"/>
  <c r="Q18" i="1" s="1"/>
  <c r="E19" i="1"/>
  <c r="G19" i="1" s="1"/>
  <c r="E18" i="1"/>
  <c r="G18" i="1" s="1"/>
  <c r="J14" i="1"/>
  <c r="K14" i="1" s="1"/>
  <c r="L14" i="1" s="1"/>
  <c r="E14" i="1"/>
  <c r="G14" i="1" s="1"/>
  <c r="H14" i="1" s="1"/>
  <c r="E13" i="1"/>
  <c r="G13" i="1" s="1"/>
  <c r="H13" i="1" s="1"/>
  <c r="K12" i="1"/>
  <c r="L12" i="1" s="1"/>
  <c r="Q15" i="1" s="1"/>
  <c r="E12" i="1"/>
  <c r="G12" i="1" s="1"/>
  <c r="E11" i="1"/>
  <c r="G11" i="1" s="1"/>
  <c r="K6" i="1"/>
  <c r="L6" i="1" s="1"/>
  <c r="E6" i="1"/>
  <c r="G6" i="1" s="1"/>
  <c r="E5" i="1"/>
  <c r="G5" i="1" s="1"/>
  <c r="E4" i="1"/>
  <c r="G4" i="1" s="1"/>
  <c r="K3" i="1"/>
  <c r="L3" i="1" s="1"/>
  <c r="R14" i="1" s="1"/>
  <c r="E3" i="1"/>
  <c r="G3" i="1" s="1"/>
  <c r="H11" i="1" l="1"/>
  <c r="I11" i="1" s="1"/>
  <c r="H39" i="2"/>
  <c r="I39" i="2" s="1"/>
  <c r="H25" i="2"/>
  <c r="I25" i="2" s="1"/>
  <c r="K41" i="2"/>
  <c r="L41" i="2" s="1"/>
  <c r="F4" i="2"/>
  <c r="G4" i="2" s="1"/>
  <c r="H4" i="2" s="1"/>
  <c r="H32" i="1"/>
  <c r="I32" i="1" s="1"/>
  <c r="H34" i="1"/>
  <c r="I34" i="1" s="1"/>
  <c r="H39" i="1"/>
  <c r="I39" i="1" s="1"/>
  <c r="T17" i="1" s="1"/>
  <c r="H41" i="1"/>
  <c r="I41" i="1" s="1"/>
  <c r="H18" i="1"/>
  <c r="I18" i="1" s="1"/>
  <c r="H20" i="1"/>
  <c r="H25" i="1"/>
  <c r="I25" i="1" s="1"/>
  <c r="I28" i="1"/>
  <c r="H35" i="1"/>
  <c r="I35" i="1" s="1"/>
  <c r="H33" i="1"/>
  <c r="I33" i="1" s="1"/>
  <c r="H42" i="1"/>
  <c r="I42" i="1" s="1"/>
  <c r="H40" i="1"/>
  <c r="I40" i="1" s="1"/>
  <c r="S17" i="1" s="1"/>
  <c r="H21" i="1"/>
  <c r="I21" i="1" s="1"/>
  <c r="H19" i="1"/>
  <c r="I19" i="1" s="1"/>
  <c r="H12" i="1"/>
  <c r="I12" i="1" s="1"/>
  <c r="L39" i="1"/>
  <c r="R17" i="1" s="1"/>
  <c r="H6" i="1"/>
  <c r="I6" i="1" s="1"/>
  <c r="H4" i="1"/>
  <c r="I4" i="1" s="1"/>
  <c r="H5" i="1"/>
  <c r="I5" i="1" s="1"/>
  <c r="H3" i="1"/>
  <c r="I3" i="1" s="1"/>
  <c r="H28" i="2"/>
  <c r="I28" i="2" s="1"/>
  <c r="H35" i="2"/>
  <c r="H14" i="2"/>
  <c r="I14" i="2" s="1"/>
  <c r="H21" i="2"/>
  <c r="I21" i="2" s="1"/>
  <c r="H20" i="2"/>
  <c r="I20" i="2" s="1"/>
  <c r="H40" i="2"/>
  <c r="I40" i="2" s="1"/>
  <c r="G6" i="2"/>
  <c r="H6" i="2" s="1"/>
  <c r="H11" i="2"/>
  <c r="I11" i="2" s="1"/>
  <c r="H12" i="2"/>
  <c r="I12" i="2" s="1"/>
  <c r="H18" i="2"/>
  <c r="I18" i="2" s="1"/>
  <c r="H32" i="2"/>
  <c r="I32" i="2" s="1"/>
  <c r="G3" i="2"/>
  <c r="H3" i="2" s="1"/>
  <c r="H19" i="2"/>
  <c r="I19" i="2" s="1"/>
  <c r="H26" i="2"/>
  <c r="I26" i="2" s="1"/>
  <c r="H33" i="2"/>
  <c r="I33" i="2" s="1"/>
  <c r="L3" i="2"/>
  <c r="R14" i="2" s="1"/>
  <c r="L32" i="2"/>
  <c r="R16" i="2" s="1"/>
  <c r="K13" i="2"/>
  <c r="L13" i="2" s="1"/>
  <c r="K34" i="2"/>
  <c r="L34" i="2" s="1"/>
  <c r="K26" i="2"/>
  <c r="L26" i="2" s="1"/>
  <c r="Q19" i="2" s="1"/>
  <c r="K11" i="2"/>
  <c r="L11" i="2" s="1"/>
  <c r="R15" i="2" s="1"/>
  <c r="K3" i="2"/>
  <c r="K4" i="2"/>
  <c r="L4" i="2" s="1"/>
  <c r="Q14" i="2" s="1"/>
  <c r="K19" i="2"/>
  <c r="L19" i="2" s="1"/>
  <c r="Q18" i="2" s="1"/>
  <c r="I35" i="2"/>
  <c r="I27" i="2"/>
  <c r="I13" i="2"/>
  <c r="I34" i="2"/>
  <c r="I42" i="2"/>
  <c r="K5" i="2"/>
  <c r="L5" i="2" s="1"/>
  <c r="K12" i="2"/>
  <c r="L12" i="2" s="1"/>
  <c r="Q15" i="2" s="1"/>
  <c r="I41" i="2"/>
  <c r="I20" i="1"/>
  <c r="K40" i="1"/>
  <c r="L40" i="1" s="1"/>
  <c r="Q17" i="1" s="1"/>
  <c r="K13" i="1"/>
  <c r="L13" i="1" s="1"/>
  <c r="I13" i="1"/>
  <c r="I14" i="1"/>
  <c r="I27" i="1"/>
  <c r="I26" i="1"/>
  <c r="K5" i="1"/>
  <c r="L5" i="1" s="1"/>
  <c r="K18" i="1"/>
  <c r="L18" i="1" s="1"/>
  <c r="R18" i="1" s="1"/>
  <c r="K25" i="1"/>
  <c r="L25" i="1" s="1"/>
  <c r="R19" i="1" s="1"/>
  <c r="K4" i="1"/>
  <c r="L4" i="1" s="1"/>
  <c r="Q14" i="1" s="1"/>
  <c r="K11" i="1"/>
  <c r="L11" i="1" s="1"/>
  <c r="R15" i="1" s="1"/>
</calcChain>
</file>

<file path=xl/sharedStrings.xml><?xml version="1.0" encoding="utf-8"?>
<sst xmlns="http://schemas.openxmlformats.org/spreadsheetml/2006/main" count="286" uniqueCount="44">
  <si>
    <t>dpt</t>
  </si>
  <si>
    <t>Relative to uninfected 2%</t>
  </si>
  <si>
    <t>Serratia infection</t>
  </si>
  <si>
    <t>infection</t>
  </si>
  <si>
    <t>diet</t>
  </si>
  <si>
    <t>amp_ct</t>
  </si>
  <si>
    <t>SE</t>
  </si>
  <si>
    <t>STD</t>
  </si>
  <si>
    <t>n</t>
  </si>
  <si>
    <t>variance</t>
  </si>
  <si>
    <t>var_dCT</t>
  </si>
  <si>
    <t>std-diff</t>
  </si>
  <si>
    <t>ddCT(infected-uninfected2%)</t>
  </si>
  <si>
    <t>2(ddCT)</t>
  </si>
  <si>
    <t>Letter (p&lt;0.05)</t>
  </si>
  <si>
    <t>serratia</t>
  </si>
  <si>
    <t>a</t>
  </si>
  <si>
    <t>16% sugar</t>
  </si>
  <si>
    <t>2% sugar</t>
  </si>
  <si>
    <t>std-16%</t>
  </si>
  <si>
    <t>std-2%</t>
  </si>
  <si>
    <t>uninfected</t>
  </si>
  <si>
    <t>b</t>
  </si>
  <si>
    <t>atta</t>
  </si>
  <si>
    <t>drs</t>
  </si>
  <si>
    <t>Attacin A</t>
  </si>
  <si>
    <t>def</t>
  </si>
  <si>
    <t>cec</t>
  </si>
  <si>
    <t>Defensin</t>
  </si>
  <si>
    <t>2(ddCT)2</t>
  </si>
  <si>
    <t>dro</t>
  </si>
  <si>
    <t>Cecropin</t>
  </si>
  <si>
    <t>Drosocin</t>
  </si>
  <si>
    <t>ab</t>
  </si>
  <si>
    <t>emmean_amp_ct</t>
  </si>
  <si>
    <t>var_ddCT</t>
  </si>
  <si>
    <t>providencia</t>
  </si>
  <si>
    <t>Diptericin</t>
  </si>
  <si>
    <t>log10[2(ddCT)2</t>
  </si>
  <si>
    <t>Drosmycin</t>
  </si>
  <si>
    <t>letter diff</t>
  </si>
  <si>
    <t>log10(ddct)</t>
  </si>
  <si>
    <t>std_2%</t>
  </si>
  <si>
    <t>std_16%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</si>
</sst>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2" formatCode="0.00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</dxfs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Providencia</a:t>
            </a:r>
            <a:r>
              <a:rPr lang="en-US" baseline="0"/>
              <a:t> rettgeri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'Emmeans-Providencia-rettgeri'!$Q$13</c:f>
              <c:strCache>
                <c:ptCount val="1"/>
                <c:pt idx="0">
                  <c:v>2% sugar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'Emmeans-Providencia-rettgeri'!$T$14:$T$19</c:f>
                <c:numCache>
                  <c:formatCode>General</c:formatCode>
                  <c:ptCount val="6"/>
                  <c:pt idx="0">
                    <c:v>0.5565214242592974</c:v>
                  </c:pt>
                  <c:pt idx="1">
                    <c:v>0.78604165995312414</c:v>
                  </c:pt>
                  <c:pt idx="2">
                    <c:v>0.63717875110035171</c:v>
                  </c:pt>
                  <c:pt idx="3">
                    <c:v>0.49534638999653935</c:v>
                  </c:pt>
                  <c:pt idx="4">
                    <c:v>1.2938057692461025</c:v>
                  </c:pt>
                  <c:pt idx="5">
                    <c:v>0.63609447372286143</c:v>
                  </c:pt>
                </c:numCache>
              </c:numRef>
            </c:plus>
            <c:minus>
              <c:numRef>
                <c:f>'Emmeans-Providencia-rettgeri'!$T$14:$T$19</c:f>
                <c:numCache>
                  <c:formatCode>General</c:formatCode>
                  <c:ptCount val="6"/>
                  <c:pt idx="0">
                    <c:v>0.5565214242592974</c:v>
                  </c:pt>
                  <c:pt idx="1">
                    <c:v>0.78604165995312414</c:v>
                  </c:pt>
                  <c:pt idx="2">
                    <c:v>0.63717875110035171</c:v>
                  </c:pt>
                  <c:pt idx="3">
                    <c:v>0.49534638999653935</c:v>
                  </c:pt>
                  <c:pt idx="4">
                    <c:v>1.2938057692461025</c:v>
                  </c:pt>
                  <c:pt idx="5">
                    <c:v>0.63609447372286143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'Emmeans-Providencia-rettgeri'!$P$14:$P$19</c:f>
              <c:strCache>
                <c:ptCount val="6"/>
                <c:pt idx="0">
                  <c:v>Diptericin</c:v>
                </c:pt>
                <c:pt idx="1">
                  <c:v>Attacin A</c:v>
                </c:pt>
                <c:pt idx="2">
                  <c:v>Cecropin</c:v>
                </c:pt>
                <c:pt idx="3">
                  <c:v>Drosocin</c:v>
                </c:pt>
                <c:pt idx="4">
                  <c:v>Drosmycin</c:v>
                </c:pt>
                <c:pt idx="5">
                  <c:v>Defensin</c:v>
                </c:pt>
              </c:strCache>
            </c:strRef>
          </c:cat>
          <c:val>
            <c:numRef>
              <c:f>'Emmeans-Providencia-rettgeri'!$Q$14:$Q$19</c:f>
              <c:numCache>
                <c:formatCode>General</c:formatCode>
                <c:ptCount val="6"/>
                <c:pt idx="0">
                  <c:v>3.3414329518701904</c:v>
                </c:pt>
                <c:pt idx="1">
                  <c:v>2.7995789596750247</c:v>
                </c:pt>
                <c:pt idx="2">
                  <c:v>3.67256594710057</c:v>
                </c:pt>
                <c:pt idx="3">
                  <c:v>2.7694759601086263</c:v>
                </c:pt>
                <c:pt idx="4">
                  <c:v>1.4750469787535074</c:v>
                </c:pt>
                <c:pt idx="5">
                  <c:v>1.6857679757182948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6-4811-ADE2-6BECF1D98C98}"/>
            </c:ext>
          </c:extLst>
        </c:ser>
        <c:ser>
          <c:idx val="1"/>
          <c:order val="1"/>
          <c:tx>
            <c:strRef>
              <c:f>'Emmeans-Providencia-rettgeri'!$R$13</c:f>
              <c:strCache>
                <c:ptCount val="1"/>
                <c:pt idx="0">
                  <c:v>16% sugar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'Emmeans-Providencia-rettgeri'!$S$14:$S$19</c:f>
                <c:numCache>
                  <c:formatCode>General</c:formatCode>
                  <c:ptCount val="6"/>
                  <c:pt idx="0">
                    <c:v>0.55568473845339905</c:v>
                  </c:pt>
                  <c:pt idx="1">
                    <c:v>0.78475962169921576</c:v>
                  </c:pt>
                  <c:pt idx="2">
                    <c:v>0.63638210996004207</c:v>
                  </c:pt>
                  <c:pt idx="3">
                    <c:v>0.49446602837615872</c:v>
                  </c:pt>
                  <c:pt idx="4">
                    <c:v>1.2946599837628261</c:v>
                  </c:pt>
                  <c:pt idx="5">
                    <c:v>0.63421254964249163</c:v>
                  </c:pt>
                </c:numCache>
              </c:numRef>
            </c:plus>
            <c:minus>
              <c:numRef>
                <c:f>'Emmeans-Providencia-rettgeri'!$S$14:$S$19</c:f>
                <c:numCache>
                  <c:formatCode>General</c:formatCode>
                  <c:ptCount val="6"/>
                  <c:pt idx="0">
                    <c:v>0.55568473845339905</c:v>
                  </c:pt>
                  <c:pt idx="1">
                    <c:v>0.78475962169921576</c:v>
                  </c:pt>
                  <c:pt idx="2">
                    <c:v>0.63638210996004207</c:v>
                  </c:pt>
                  <c:pt idx="3">
                    <c:v>0.49446602837615872</c:v>
                  </c:pt>
                  <c:pt idx="4">
                    <c:v>1.2946599837628261</c:v>
                  </c:pt>
                  <c:pt idx="5">
                    <c:v>0.63421254964249163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'Emmeans-Providencia-rettgeri'!$P$14:$P$19</c:f>
              <c:strCache>
                <c:ptCount val="6"/>
                <c:pt idx="0">
                  <c:v>Diptericin</c:v>
                </c:pt>
                <c:pt idx="1">
                  <c:v>Attacin A</c:v>
                </c:pt>
                <c:pt idx="2">
                  <c:v>Cecropin</c:v>
                </c:pt>
                <c:pt idx="3">
                  <c:v>Drosocin</c:v>
                </c:pt>
                <c:pt idx="4">
                  <c:v>Drosmycin</c:v>
                </c:pt>
                <c:pt idx="5">
                  <c:v>Defensin</c:v>
                </c:pt>
              </c:strCache>
            </c:strRef>
          </c:cat>
          <c:val>
            <c:numRef>
              <c:f>'Emmeans-Providencia-rettgeri'!$R$14:$R$19</c:f>
              <c:numCache>
                <c:formatCode>General</c:formatCode>
                <c:ptCount val="6"/>
                <c:pt idx="0">
                  <c:v>3.8531839444989577</c:v>
                </c:pt>
                <c:pt idx="1">
                  <c:v>3.1307119549054039</c:v>
                </c:pt>
                <c:pt idx="2">
                  <c:v>3.8531839444989577</c:v>
                </c:pt>
                <c:pt idx="3">
                  <c:v>3.100608955339005</c:v>
                </c:pt>
                <c:pt idx="4">
                  <c:v>1.0235019852575356</c:v>
                </c:pt>
                <c:pt idx="5">
                  <c:v>1.5954589770191003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6-4811-ADE2-6BECF1D9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847615"/>
        <c:axId val="442848863"/>
      </c:barChart>
      <c:catAx>
        <c:axId val="44284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Antimicrobial</a:t>
                </a:r>
                <a:r>
                  <a:rPr lang="en-US" baseline="0"/>
                  <a:t> Peptide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8863"/>
        <c:crosses val="autoZero"/>
        <c:auto val="1"/>
        <c:lblAlgn val="ctr"/>
        <c:lblOffset val="100"/>
        <c:noMultiLvlLbl val="0"/>
      </c:catAx>
      <c:valAx>
        <c:axId val="442848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Infection Induce</a:t>
                </a:r>
                <a:r>
                  <a:rPr lang="en-US" baseline="0"/>
                  <a:t>d  Expression (log10)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'Emmeans-Providencia-rettgeri'!$Q$13</c:f>
              <c:strCache>
                <c:ptCount val="1"/>
                <c:pt idx="0">
                  <c:v>2% sugar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'Emmeans-Providencia-rettgeri'!$T$14:$T$19</c:f>
                <c:numCache>
                  <c:formatCode>General</c:formatCode>
                  <c:ptCount val="6"/>
                  <c:pt idx="0">
                    <c:v>0.5565214242592974</c:v>
                  </c:pt>
                  <c:pt idx="1">
                    <c:v>0.78604165995312414</c:v>
                  </c:pt>
                  <c:pt idx="2">
                    <c:v>0.63717875110035171</c:v>
                  </c:pt>
                  <c:pt idx="3">
                    <c:v>0.49534638999653935</c:v>
                  </c:pt>
                  <c:pt idx="4">
                    <c:v>1.2938057692461025</c:v>
                  </c:pt>
                  <c:pt idx="5">
                    <c:v>0.63609447372286143</c:v>
                  </c:pt>
                </c:numCache>
              </c:numRef>
            </c:plus>
            <c:minus>
              <c:numRef>
                <c:f>'Emmeans-Providencia-rettgeri'!$T$14:$T$19</c:f>
                <c:numCache>
                  <c:formatCode>General</c:formatCode>
                  <c:ptCount val="6"/>
                  <c:pt idx="0">
                    <c:v>0.5565214242592974</c:v>
                  </c:pt>
                  <c:pt idx="1">
                    <c:v>0.78604165995312414</c:v>
                  </c:pt>
                  <c:pt idx="2">
                    <c:v>0.63717875110035171</c:v>
                  </c:pt>
                  <c:pt idx="3">
                    <c:v>0.49534638999653935</c:v>
                  </c:pt>
                  <c:pt idx="4">
                    <c:v>1.2938057692461025</c:v>
                  </c:pt>
                  <c:pt idx="5">
                    <c:v>0.63609447372286143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'Emmeans-Providencia-rettgeri'!$P$14:$P$19</c:f>
              <c:strCache>
                <c:ptCount val="6"/>
                <c:pt idx="0">
                  <c:v>Diptericin</c:v>
                </c:pt>
                <c:pt idx="1">
                  <c:v>Attacin A</c:v>
                </c:pt>
                <c:pt idx="2">
                  <c:v>Cecropin</c:v>
                </c:pt>
                <c:pt idx="3">
                  <c:v>Drosocin</c:v>
                </c:pt>
                <c:pt idx="4">
                  <c:v>Drosmycin</c:v>
                </c:pt>
                <c:pt idx="5">
                  <c:v>Defensin</c:v>
                </c:pt>
              </c:strCache>
            </c:strRef>
          </c:cat>
          <c:val>
            <c:numRef>
              <c:f>'Emmeans-Providencia-rettgeri'!$Q$14:$Q$19</c:f>
              <c:numCache>
                <c:formatCode>General</c:formatCode>
                <c:ptCount val="6"/>
                <c:pt idx="0">
                  <c:v>3.3414329518701904</c:v>
                </c:pt>
                <c:pt idx="1">
                  <c:v>2.7995789596750247</c:v>
                </c:pt>
                <c:pt idx="2">
                  <c:v>3.67256594710057</c:v>
                </c:pt>
                <c:pt idx="3">
                  <c:v>2.7694759601086263</c:v>
                </c:pt>
                <c:pt idx="4">
                  <c:v>1.4750469787535074</c:v>
                </c:pt>
                <c:pt idx="5">
                  <c:v>1.6857679757182948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8-497D-A84E-A381D8414733}"/>
            </c:ext>
          </c:extLst>
        </c:ser>
        <c:ser>
          <c:idx val="1"/>
          <c:order val="1"/>
          <c:tx>
            <c:strRef>
              <c:f>'Emmeans-Providencia-rettgeri'!$R$13</c:f>
              <c:strCache>
                <c:ptCount val="1"/>
                <c:pt idx="0">
                  <c:v>16% sugar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'Emmeans-Providencia-rettgeri'!$S$14:$S$19</c:f>
                <c:numCache>
                  <c:formatCode>General</c:formatCode>
                  <c:ptCount val="6"/>
                  <c:pt idx="0">
                    <c:v>0.55568473845339905</c:v>
                  </c:pt>
                  <c:pt idx="1">
                    <c:v>0.78475962169921576</c:v>
                  </c:pt>
                  <c:pt idx="2">
                    <c:v>0.63638210996004207</c:v>
                  </c:pt>
                  <c:pt idx="3">
                    <c:v>0.49446602837615872</c:v>
                  </c:pt>
                  <c:pt idx="4">
                    <c:v>1.2946599837628261</c:v>
                  </c:pt>
                  <c:pt idx="5">
                    <c:v>0.63421254964249163</c:v>
                  </c:pt>
                </c:numCache>
              </c:numRef>
            </c:plus>
            <c:minus>
              <c:numRef>
                <c:f>'Emmeans-Providencia-rettgeri'!$S$14:$S$19</c:f>
                <c:numCache>
                  <c:formatCode>General</c:formatCode>
                  <c:ptCount val="6"/>
                  <c:pt idx="0">
                    <c:v>0.55568473845339905</c:v>
                  </c:pt>
                  <c:pt idx="1">
                    <c:v>0.78475962169921576</c:v>
                  </c:pt>
                  <c:pt idx="2">
                    <c:v>0.63638210996004207</c:v>
                  </c:pt>
                  <c:pt idx="3">
                    <c:v>0.49446602837615872</c:v>
                  </c:pt>
                  <c:pt idx="4">
                    <c:v>1.2946599837628261</c:v>
                  </c:pt>
                  <c:pt idx="5">
                    <c:v>0.63421254964249163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'Emmeans-Providencia-rettgeri'!$P$14:$P$19</c:f>
              <c:strCache>
                <c:ptCount val="6"/>
                <c:pt idx="0">
                  <c:v>Diptericin</c:v>
                </c:pt>
                <c:pt idx="1">
                  <c:v>Attacin A</c:v>
                </c:pt>
                <c:pt idx="2">
                  <c:v>Cecropin</c:v>
                </c:pt>
                <c:pt idx="3">
                  <c:v>Drosocin</c:v>
                </c:pt>
                <c:pt idx="4">
                  <c:v>Drosmycin</c:v>
                </c:pt>
                <c:pt idx="5">
                  <c:v>Defensin</c:v>
                </c:pt>
              </c:strCache>
            </c:strRef>
          </c:cat>
          <c:val>
            <c:numRef>
              <c:f>'Emmeans-Providencia-rettgeri'!$R$14:$R$19</c:f>
              <c:numCache>
                <c:formatCode>General</c:formatCode>
                <c:ptCount val="6"/>
                <c:pt idx="0">
                  <c:v>3.8531839444989577</c:v>
                </c:pt>
                <c:pt idx="1">
                  <c:v>3.1307119549054039</c:v>
                </c:pt>
                <c:pt idx="2">
                  <c:v>3.8531839444989577</c:v>
                </c:pt>
                <c:pt idx="3">
                  <c:v>3.100608955339005</c:v>
                </c:pt>
                <c:pt idx="4">
                  <c:v>1.0235019852575356</c:v>
                </c:pt>
                <c:pt idx="5">
                  <c:v>1.5954589770191003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8-497D-A84E-A381D841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847615"/>
        <c:axId val="442848863"/>
      </c:barChart>
      <c:catAx>
        <c:axId val="44284761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8863"/>
        <c:crosses val="autoZero"/>
        <c:auto val="1"/>
        <c:lblAlgn val="ctr"/>
        <c:lblOffset val="100"/>
        <c:noMultiLvlLbl val="0"/>
      </c:catAx>
      <c:valAx>
        <c:axId val="4428488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Serratia marcescens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Emmeans_Serratia_marcescens!$Q$13</c:f>
              <c:strCache>
                <c:ptCount val="1"/>
                <c:pt idx="0">
                  <c:v>2% sugar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Emmeans_Serratia_marcescens!$S$14:$S$19</c:f>
                <c:numCache>
                  <c:formatCode>General</c:formatCode>
                  <c:ptCount val="6"/>
                  <c:pt idx="0">
                    <c:v>0.56751875036858479</c:v>
                  </c:pt>
                  <c:pt idx="1">
                    <c:v>0.83768421255289882</c:v>
                  </c:pt>
                  <c:pt idx="2">
                    <c:v>0.60604695194603986</c:v>
                  </c:pt>
                  <c:pt idx="3">
                    <c:v>0.43906078826792572</c:v>
                  </c:pt>
                  <c:pt idx="4">
                    <c:v>1.3412972407457782</c:v>
                  </c:pt>
                  <c:pt idx="5">
                    <c:v>0.65091045696328154</c:v>
                  </c:pt>
                </c:numCache>
              </c:numRef>
            </c:plus>
            <c:minus>
              <c:numRef>
                <c:f>Emmeans_Serratia_marcescens!$S$14:$S$19</c:f>
                <c:numCache>
                  <c:formatCode>General</c:formatCode>
                  <c:ptCount val="6"/>
                  <c:pt idx="0">
                    <c:v>0.56751875036858479</c:v>
                  </c:pt>
                  <c:pt idx="1">
                    <c:v>0.83768421255289882</c:v>
                  </c:pt>
                  <c:pt idx="2">
                    <c:v>0.60604695194603986</c:v>
                  </c:pt>
                  <c:pt idx="3">
                    <c:v>0.43906078826792572</c:v>
                  </c:pt>
                  <c:pt idx="4">
                    <c:v>1.3412972407457782</c:v>
                  </c:pt>
                  <c:pt idx="5">
                    <c:v>0.65091045696328154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95000"/>
                    <a:lumOff val="5000"/>
                    <a:alpha val="99000"/>
                  </a:schemeClr>
                </a:solidFill>
                <a:round/>
              </a:ln>
              <a:effectLst/>
            </c:spPr>
          </c:errBars>
          <c:cat>
            <c:strRef>
              <c:f>Emmeans_Serratia_marcescens!$P$14:$P$19</c:f>
              <c:strCache>
                <c:ptCount val="6"/>
                <c:pt idx="0">
                  <c:v>Diptericin</c:v>
                </c:pt>
                <c:pt idx="1">
                  <c:v>Attacin A</c:v>
                </c:pt>
                <c:pt idx="2">
                  <c:v>Cecropin</c:v>
                </c:pt>
                <c:pt idx="3">
                  <c:v>Drosocin</c:v>
                </c:pt>
                <c:pt idx="4">
                  <c:v>Drosmycin</c:v>
                </c:pt>
                <c:pt idx="5">
                  <c:v>Defensin</c:v>
                </c:pt>
              </c:strCache>
            </c:strRef>
          </c:cat>
          <c:val>
            <c:numRef>
              <c:f>Emmeans_Serratia_marcescens!$Q$14:$Q$19</c:f>
              <c:numCache>
                <c:formatCode>General</c:formatCode>
                <c:ptCount val="6"/>
                <c:pt idx="0">
                  <c:v>4.1542139401629399</c:v>
                </c:pt>
                <c:pt idx="1">
                  <c:v>3.3715359514365888</c:v>
                </c:pt>
                <c:pt idx="2">
                  <c:v>4.0639049414637469</c:v>
                </c:pt>
                <c:pt idx="3">
                  <c:v>2.7393729605422279</c:v>
                </c:pt>
                <c:pt idx="4">
                  <c:v>1.1138109839567301</c:v>
                </c:pt>
                <c:pt idx="5">
                  <c:v>1.4750469787535083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D-49BF-BE27-1F34B0C249BC}"/>
            </c:ext>
          </c:extLst>
        </c:ser>
        <c:ser>
          <c:idx val="1"/>
          <c:order val="1"/>
          <c:tx>
            <c:strRef>
              <c:f>Emmeans_Serratia_marcescens!$R$13</c:f>
              <c:strCache>
                <c:ptCount val="1"/>
                <c:pt idx="0">
                  <c:v>16% sugar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Emmeans_Serratia_marcescens!$T$14:$T$19</c:f>
                <c:numCache>
                  <c:formatCode>General</c:formatCode>
                  <c:ptCount val="6"/>
                  <c:pt idx="0">
                    <c:v>0.56531253160733741</c:v>
                  </c:pt>
                  <c:pt idx="1">
                    <c:v>0.83772915933361702</c:v>
                  </c:pt>
                  <c:pt idx="2">
                    <c:v>0.64054472237324811</c:v>
                  </c:pt>
                  <c:pt idx="3">
                    <c:v>0.4369784016768189</c:v>
                  </c:pt>
                  <c:pt idx="4">
                    <c:v>1.3319412254091199</c:v>
                  </c:pt>
                  <c:pt idx="5">
                    <c:v>0.91725632800251422</c:v>
                  </c:pt>
                </c:numCache>
              </c:numRef>
            </c:plus>
            <c:minus>
              <c:numRef>
                <c:f>Emmeans_Serratia_marcescens!$T$14:$T$19</c:f>
                <c:numCache>
                  <c:formatCode>General</c:formatCode>
                  <c:ptCount val="6"/>
                  <c:pt idx="0">
                    <c:v>0.56531253160733741</c:v>
                  </c:pt>
                  <c:pt idx="1">
                    <c:v>0.83772915933361702</c:v>
                  </c:pt>
                  <c:pt idx="2">
                    <c:v>0.64054472237324811</c:v>
                  </c:pt>
                  <c:pt idx="3">
                    <c:v>0.4369784016768189</c:v>
                  </c:pt>
                  <c:pt idx="4">
                    <c:v>1.3319412254091199</c:v>
                  </c:pt>
                  <c:pt idx="5">
                    <c:v>0.91725632800251422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Emmeans_Serratia_marcescens!$P$14:$P$19</c:f>
              <c:strCache>
                <c:ptCount val="6"/>
                <c:pt idx="0">
                  <c:v>Diptericin</c:v>
                </c:pt>
                <c:pt idx="1">
                  <c:v>Attacin A</c:v>
                </c:pt>
                <c:pt idx="2">
                  <c:v>Cecropin</c:v>
                </c:pt>
                <c:pt idx="3">
                  <c:v>Drosocin</c:v>
                </c:pt>
                <c:pt idx="4">
                  <c:v>Drosmycin</c:v>
                </c:pt>
                <c:pt idx="5">
                  <c:v>Defensin</c:v>
                </c:pt>
              </c:strCache>
            </c:strRef>
          </c:cat>
          <c:val>
            <c:numRef>
              <c:f>Emmeans_Serratia_marcescens!$R$14:$R$19</c:f>
              <c:numCache>
                <c:formatCode>General</c:formatCode>
                <c:ptCount val="6"/>
                <c:pt idx="0">
                  <c:v>4.2445229388621337</c:v>
                </c:pt>
                <c:pt idx="1">
                  <c:v>3.2511239531709966</c:v>
                </c:pt>
                <c:pt idx="2">
                  <c:v>3.8832869440653566</c:v>
                </c:pt>
                <c:pt idx="3">
                  <c:v>3.3113299523037929</c:v>
                </c:pt>
                <c:pt idx="4">
                  <c:v>1.5051499783199058</c:v>
                </c:pt>
                <c:pt idx="5">
                  <c:v>2.0169009709486736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D-49BF-BE27-1F34B0C2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506511"/>
        <c:axId val="437506927"/>
      </c:barChart>
      <c:catAx>
        <c:axId val="43750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Antimicrobial Peptide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6927"/>
        <c:crosses val="autoZero"/>
        <c:auto val="1"/>
        <c:lblAlgn val="ctr"/>
        <c:lblOffset val="100"/>
        <c:noMultiLvlLbl val="0"/>
      </c:catAx>
      <c:valAx>
        <c:axId val="437506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Infection-Induced</a:t>
                </a:r>
                <a:r>
                  <a:rPr lang="en-US" baseline="0"/>
                  <a:t> AMP Expression (log10)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281694</xdr:colOff>
      <xdr:row>20</xdr:row>
      <xdr:rowOff>175769</xdr:rowOff>
    </xdr:from>
    <xdr:to>
      <xdr:col>21</xdr:col>
      <xdr:colOff>554696</xdr:colOff>
      <xdr:row>35</xdr:row>
      <xdr:rowOff>176715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C6FB34-FE1F-6282-7441-56B3CDDD6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517072</xdr:colOff>
      <xdr:row>39</xdr:row>
      <xdr:rowOff>9071</xdr:rowOff>
    </xdr:from>
    <xdr:to>
      <xdr:col>21</xdr:col>
      <xdr:colOff>182288</xdr:colOff>
      <xdr:row>54</xdr:row>
      <xdr:rowOff>10017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BC678-5FA0-488F-9677-300B185C9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603031</xdr:colOff>
      <xdr:row>22</xdr:row>
      <xdr:rowOff>157530</xdr:rowOff>
    </xdr:from>
    <xdr:to>
      <xdr:col>22</xdr:col>
      <xdr:colOff>603771</xdr:colOff>
      <xdr:row>43</xdr:row>
      <xdr:rowOff>104098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229ED-3D39-FD17-0ABB-9A88D52C5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F4B6F7-7C1D-41CF-8518-E84A7CAD9A53}" name="Table11728" displayName="Table11728" ref="A2:M6" totalsRowShown="0">
  <autoFilter ref="A2:M6" xr:uid="{C7A52AD3-EC3D-46A3-850C-9DE5BB2B2B7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3:L6">
    <sortCondition ref="A3:A6"/>
  </sortState>
  <tableColumns count="13">
    <tableColumn id="1" xr3:uid="{D2942FCC-07AE-47BE-93E4-7FF8B5AFD493}" name="infection"/>
    <tableColumn id="2" xr3:uid="{6F133BF1-643E-4058-A14A-66810479EA22}" name="diet" dataDxfId="96"/>
    <tableColumn id="3" xr3:uid="{1993EF23-C25F-4CEA-B056-2EF70B5AF54C}" name="amp_ct"/>
    <tableColumn id="4" xr3:uid="{DC0ED011-C5B8-468B-B7BA-FD258FBD8220}" name="SE"/>
    <tableColumn id="5" xr3:uid="{682E4EF1-B8ED-4406-9372-09F34F6E8CE3}" name="STD">
      <calculatedColumnFormula>D3*SQRT(I3)</calculatedColumnFormula>
    </tableColumn>
    <tableColumn id="13" xr3:uid="{3AF0512C-06BD-4ED5-BF83-2D5DA2683A88}" name="variance" dataDxfId="95">
      <calculatedColumnFormula>Table11728[[#This Row],[STD]]*Table11728[[#This Row],[STD]]</calculatedColumnFormula>
    </tableColumn>
    <tableColumn id="14" xr3:uid="{0F5F295B-C908-48AC-9C1C-44A2F7D8E670}" name="var_ddCT" dataDxfId="94">
      <calculatedColumnFormula>Table11728[[#This Row],[variance]]+F5</calculatedColumnFormula>
    </tableColumn>
    <tableColumn id="15" xr3:uid="{93E6CED3-0CD0-4CE9-A807-8A740D5972F9}" name="std-diff" dataDxfId="93">
      <calculatedColumnFormula>SQRT(Table11728[[#This Row],[var_ddCT]])</calculatedColumnFormula>
    </tableColumn>
    <tableColumn id="6" xr3:uid="{6A9F06D5-5F86-4863-93DE-71E0A81BD61F}" name="n"/>
    <tableColumn id="9" xr3:uid="{17DA0AD9-D9B7-4E6E-BFC9-D20BF70FCFB0}" name="ddCT(infected-uninfected2%)" dataDxfId="92">
      <calculatedColumnFormula>-(Table11728[[#This Row],[amp_ct]]-C5)</calculatedColumnFormula>
    </tableColumn>
    <tableColumn id="10" xr3:uid="{29DEAB56-DB57-4FF8-BDCA-13D1A03E6689}" name="2(ddCT)" dataDxfId="91">
      <calculatedColumnFormula>(POWER(2,J3))</calculatedColumnFormula>
    </tableColumn>
    <tableColumn id="11" xr3:uid="{CB91F6E2-1EC4-41DE-B241-DAC4F04695F4}" name="log10[2(ddCT)2" dataDxfId="90">
      <calculatedColumnFormula>LOG(Table11728[[#This Row],[ddCT(infected-uninfected2%)]],2)</calculatedColumnFormula>
    </tableColumn>
    <tableColumn id="7" xr3:uid="{309F7E00-3019-4C68-868B-F2E5DA0DA36F}" name="letter diff" dataDxfId="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41BA54-50E9-4695-8DCF-E4412CA019F4}" name="Table47121525" displayName="Table47121525" ref="A24:M28" totalsRowShown="0">
  <autoFilter ref="A24:M28" xr:uid="{6DB76BAF-B4CD-497C-A61C-69203E076B63}"/>
  <sortState xmlns:xlrd2="http://schemas.microsoft.com/office/spreadsheetml/2017/richdata2" ref="A25:K28">
    <sortCondition ref="A11:A14"/>
  </sortState>
  <tableColumns count="13">
    <tableColumn id="1" xr3:uid="{D94AC646-A816-4060-A963-DC8A103C4B42}" name="infection"/>
    <tableColumn id="2" xr3:uid="{1AD7B844-FECE-48E7-A26F-E71E07F95FF9}" name="diet" dataDxfId="32"/>
    <tableColumn id="3" xr3:uid="{C81F7394-A1E2-4518-BD17-575E8BAC7056}" name="emmean_amp_ct"/>
    <tableColumn id="4" xr3:uid="{21D2434E-807A-4ED5-8A1E-4A6DC0583860}" name="SE"/>
    <tableColumn id="5" xr3:uid="{D90E461A-6201-40CD-BA18-F9CBD7DB0ED1}" name="STD">
      <calculatedColumnFormula>D25*SQRT(F25)</calculatedColumnFormula>
    </tableColumn>
    <tableColumn id="6" xr3:uid="{A126ED92-BDF8-48E1-BA25-C3ECDB68D32E}" name="n"/>
    <tableColumn id="7" xr3:uid="{93FD6082-67F7-4BE2-A8AB-E22D0DDB52EF}" name="variance" dataDxfId="31">
      <calculatedColumnFormula>POWER(Table47121525[[#This Row],[STD]],2)</calculatedColumnFormula>
    </tableColumn>
    <tableColumn id="8" xr3:uid="{DC6EDBC8-5FE9-493B-99F6-BA1B1D75C6C1}" name="var_dCT" dataDxfId="30">
      <calculatedColumnFormula>Table47121525[[#This Row],[variance]]+G28</calculatedColumnFormula>
    </tableColumn>
    <tableColumn id="9" xr3:uid="{CA5C94F3-EAA9-4C56-8E30-8DC71356F47A}" name="std-diff" dataDxfId="29">
      <calculatedColumnFormula>SQRT(Table47121525[[#This Row],[var_dCT]])</calculatedColumnFormula>
    </tableColumn>
    <tableColumn id="10" xr3:uid="{6AD67D4C-EB8C-432D-85AC-45FFDC7A68EA}" name="ddCT(infected-uninfected2%)" dataDxfId="28">
      <calculatedColumnFormula>-(Table47121525[[#This Row],[emmean_amp_ct]]-C27)</calculatedColumnFormula>
    </tableColumn>
    <tableColumn id="11" xr3:uid="{7E28267C-EF4D-4C86-B041-86573C813B60}" name="2(ddCT)2" dataDxfId="27">
      <calculatedColumnFormula>(POWER(2,J25))</calculatedColumnFormula>
    </tableColumn>
    <tableColumn id="12" xr3:uid="{DB2F9D3B-4031-499F-A6C0-9307913D9935}" name="log10(ddct)" dataDxfId="26">
      <calculatedColumnFormula>LOG(K25,10)</calculatedColumnFormula>
    </tableColumn>
    <tableColumn id="13" xr3:uid="{BCF13D9A-98B6-427C-B503-0404140443B9}" name="Letter (p&lt;0.05)" dataDxfId="25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798BA3-0422-45E7-99A5-8B46A5D52B08}" name="Table478131626" displayName="Table478131626" ref="A31:M35" totalsRowShown="0">
  <autoFilter ref="A31:M35" xr:uid="{E34E8596-E4C1-4584-B69D-97DBE79EF467}"/>
  <sortState xmlns:xlrd2="http://schemas.microsoft.com/office/spreadsheetml/2017/richdata2" ref="A32:K35">
    <sortCondition ref="A11:A14"/>
  </sortState>
  <tableColumns count="13">
    <tableColumn id="1" xr3:uid="{D8CD650F-4505-48F3-B6BB-EF2C2A765EC8}" name="infection"/>
    <tableColumn id="2" xr3:uid="{7A8181EF-DE4B-42F4-93DF-DAE1CBA97F93}" name="diet" dataDxfId="24"/>
    <tableColumn id="3" xr3:uid="{8FB62EFF-2B97-481F-B9A8-7A1D34759F5C}" name="emmean_amp_ct"/>
    <tableColumn id="4" xr3:uid="{F8D2EE3B-8A7D-4C6B-ACF5-5C5EBABDD25C}" name="SE"/>
    <tableColumn id="5" xr3:uid="{BF4A94E5-6644-4256-BECE-0ECABD3ADFAE}" name="STD">
      <calculatedColumnFormula>D32*SQRT(F32)</calculatedColumnFormula>
    </tableColumn>
    <tableColumn id="6" xr3:uid="{6F4B4CE7-7CBE-48E3-92B2-43ADE30BF0EF}" name="n"/>
    <tableColumn id="7" xr3:uid="{1F34B552-00B7-4858-956F-58F5DCE46716}" name="variance" dataDxfId="23">
      <calculatedColumnFormula>POWER(Table478131626[[#This Row],[STD]],2)</calculatedColumnFormula>
    </tableColumn>
    <tableColumn id="8" xr3:uid="{0E9E4A06-43A4-47FE-8608-D91D34FA2556}" name="var_dCT" dataDxfId="22">
      <calculatedColumnFormula>Table478131626[[#This Row],[variance]]+G34</calculatedColumnFormula>
    </tableColumn>
    <tableColumn id="9" xr3:uid="{A04C4CFA-5407-4A31-8CE2-BFB748528AB0}" name="std-diff" dataDxfId="21">
      <calculatedColumnFormula>SQRT(Table478131626[[#This Row],[var_dCT]])</calculatedColumnFormula>
    </tableColumn>
    <tableColumn id="10" xr3:uid="{9D1A40B5-D5CE-4F06-952E-E15184AD80A8}" name="ddCT(infected-uninfected2%)" dataDxfId="20">
      <calculatedColumnFormula>-(Table478131626[[#This Row],[emmean_amp_ct]]-C34)</calculatedColumnFormula>
    </tableColumn>
    <tableColumn id="11" xr3:uid="{494CDFA7-86A8-492B-9399-9E63A51BBCF1}" name="2(ddCT)2" dataDxfId="19">
      <calculatedColumnFormula>(POWER(2,J32))</calculatedColumnFormula>
    </tableColumn>
    <tableColumn id="12" xr3:uid="{8243ACCB-7D7F-476C-8130-5CB6845BF451}" name="log10(ddct)" dataDxfId="18">
      <calculatedColumnFormula>LOG(K32,10)</calculatedColumnFormula>
    </tableColumn>
    <tableColumn id="13" xr3:uid="{8570827B-895B-40F6-AC7F-9738679B7E62}" name="Letter (p&lt;0.05)" dataDxfId="17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32976A-4EAB-4566-9841-EA65E290296A}" name="Table47813162627" displayName="Table47813162627" ref="A38:M42" totalsRowShown="0">
  <autoFilter ref="A38:M42" xr:uid="{A603416E-B799-41CE-BE64-EA24100FA3E9}"/>
  <sortState xmlns:xlrd2="http://schemas.microsoft.com/office/spreadsheetml/2017/richdata2" ref="A39:K42">
    <sortCondition ref="A11:A14"/>
  </sortState>
  <tableColumns count="13">
    <tableColumn id="1" xr3:uid="{F262CD84-94A1-43C3-8E06-B4B063375E85}" name="infection"/>
    <tableColumn id="2" xr3:uid="{188433B9-8EA9-444D-9127-6D98483952B6}" name="diet" dataDxfId="16"/>
    <tableColumn id="3" xr3:uid="{20E32A1F-E1F0-4CF0-8C65-44C47981D251}" name="emmean_amp_ct"/>
    <tableColumn id="4" xr3:uid="{923CD11F-DFE9-4A92-B59E-2B0628367E32}" name="SE"/>
    <tableColumn id="5" xr3:uid="{C5F1BE42-FB88-4926-BB69-DB02F9EF44F1}" name="STD">
      <calculatedColumnFormula>D39*SQRT(F39)</calculatedColumnFormula>
    </tableColumn>
    <tableColumn id="6" xr3:uid="{E7B79D89-0432-43F1-9A58-83DB109A88CA}" name="n"/>
    <tableColumn id="7" xr3:uid="{4DA64671-917F-4139-98B6-77CE3CB07E06}" name="variance" dataDxfId="15">
      <calculatedColumnFormula>POWER(Table47813162627[[#This Row],[STD]],2)</calculatedColumnFormula>
    </tableColumn>
    <tableColumn id="8" xr3:uid="{0AE5B6FC-C8E8-4B4D-B97E-9595E9E8E890}" name="var_dCT" dataDxfId="14">
      <calculatedColumnFormula>Table47813162627[[#This Row],[variance]]+G41</calculatedColumnFormula>
    </tableColumn>
    <tableColumn id="9" xr3:uid="{FDAD7436-DA1E-4FF7-A96B-DEE7CF96AAEB}" name="std-diff" dataDxfId="13">
      <calculatedColumnFormula>SQRT(Table47813162627[[#This Row],[var_dCT]])</calculatedColumnFormula>
    </tableColumn>
    <tableColumn id="10" xr3:uid="{6A386D6D-8B05-4E08-BC40-7D1B0E0328BE}" name="2(ddCT)" dataDxfId="12">
      <calculatedColumnFormula>-(Table47813162627[[#This Row],[emmean_amp_ct]]-C41)</calculatedColumnFormula>
    </tableColumn>
    <tableColumn id="11" xr3:uid="{7EEC19C0-C7A4-427E-A56F-FBECF68926CC}" name="2(ddCT)2" dataDxfId="11">
      <calculatedColumnFormula>(POWER(2,J39))</calculatedColumnFormula>
    </tableColumn>
    <tableColumn id="12" xr3:uid="{6AEEEB5E-9DD5-4369-A1B4-8ED66E994F1C}" name="log10(ddct)" dataDxfId="10">
      <calculatedColumnFormula>LOG(K39,10)</calculatedColumnFormula>
    </tableColumn>
    <tableColumn id="13" xr3:uid="{8C1CA382-8991-4C98-A97D-77642C386E04}" name="Letter (p&lt;0.05)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4DD57D-8ACB-4C06-B759-E9BDC85C91A5}" name="Table41829" displayName="Table41829" ref="A10:M14" totalsRowShown="0">
  <autoFilter ref="A10:M14" xr:uid="{C1A899AD-4F07-49DB-912F-65B6FC81CA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11:K14">
    <sortCondition ref="A11:A14"/>
  </sortState>
  <tableColumns count="13">
    <tableColumn id="1" xr3:uid="{7B5A0BE3-29FF-4DF6-AA8C-414C17315726}" name="infection"/>
    <tableColumn id="2" xr3:uid="{5C6CEFE1-9C7B-413A-947A-410966A6A9EF}" name="diet" dataDxfId="89"/>
    <tableColumn id="3" xr3:uid="{79731A10-DF6B-4F4E-9AEA-5DED8D9BF6DC}" name="amp_ct"/>
    <tableColumn id="4" xr3:uid="{083D4EA2-1135-4BC7-A95D-773C85F0D092}" name="SE"/>
    <tableColumn id="5" xr3:uid="{E829D119-CA76-41CF-B457-1261ECBBBDE2}" name="STD">
      <calculatedColumnFormula>D11*SQRT(F11)</calculatedColumnFormula>
    </tableColumn>
    <tableColumn id="6" xr3:uid="{59A6B0C9-BA71-47F5-9549-39C6800E271B}" name="n"/>
    <tableColumn id="7" xr3:uid="{C29948B0-8F7E-4D9F-A589-BF046B3E08F8}" name="variance" dataDxfId="88">
      <calculatedColumnFormula>POWER(Table41829[[#This Row],[STD]],2)</calculatedColumnFormula>
    </tableColumn>
    <tableColumn id="8" xr3:uid="{C81D0748-3A41-4AC9-8AA4-4BE01C4C5EEA}" name="var_dCT" dataDxfId="87">
      <calculatedColumnFormula>Table41829[[#This Row],[variance]]+G13</calculatedColumnFormula>
    </tableColumn>
    <tableColumn id="9" xr3:uid="{33981943-B39B-4DF7-A24C-AF38EA9BDDC0}" name="std-diff" dataDxfId="86">
      <calculatedColumnFormula>SQRT(Table41829[[#This Row],[var_dCT]])</calculatedColumnFormula>
    </tableColumn>
    <tableColumn id="10" xr3:uid="{8096F0A2-5BCC-4E05-819C-B8239A895438}" name="2(ddCT)" dataDxfId="85">
      <calculatedColumnFormula>-(Table41829[[#This Row],[amp_ct]]-$C$14)</calculatedColumnFormula>
    </tableColumn>
    <tableColumn id="11" xr3:uid="{47D439F3-B8AA-4C3D-AB38-70F65BB1FE1D}" name="2(ddCT)2" dataDxfId="84">
      <calculatedColumnFormula>(POWER(2,J11))</calculatedColumnFormula>
    </tableColumn>
    <tableColumn id="12" xr3:uid="{6DC9FF42-85B4-4BA1-A574-B8E523B52DA6}" name="log10[2(ddCT)2" dataDxfId="83">
      <calculatedColumnFormula>LOG(J11,2)</calculatedColumnFormula>
    </tableColumn>
    <tableColumn id="13" xr3:uid="{864A2B54-142F-478A-93C6-37F49BF6BA8D}" name="letter diff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4E2A37F-E44C-40E3-96EC-476E50CB1CA3}" name="Table51930" displayName="Table51930" ref="A17:M21" totalsRowShown="0">
  <autoFilter ref="A17:M21" xr:uid="{DFA67475-F13B-4310-A323-764A2D916D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18:K21">
    <sortCondition ref="A19:A21"/>
  </sortState>
  <tableColumns count="13">
    <tableColumn id="1" xr3:uid="{5F509DF6-D0FC-45AE-91A9-16B8ACF4D315}" name="infection"/>
    <tableColumn id="2" xr3:uid="{C2F4708B-5C3F-4A28-A1BB-DEF7624EF813}" name="diet" dataDxfId="82"/>
    <tableColumn id="3" xr3:uid="{0DA8A681-1540-47D1-85EC-9AE88FA610AB}" name="amp_ct"/>
    <tableColumn id="4" xr3:uid="{C1795267-9554-417E-8FB3-D1F3DE56686B}" name="SE"/>
    <tableColumn id="5" xr3:uid="{F4035593-4674-483E-882B-E6032353B39B}" name="STD">
      <calculatedColumnFormula>D18*SQRT(F18)</calculatedColumnFormula>
    </tableColumn>
    <tableColumn id="6" xr3:uid="{EB9363FC-4A2A-4C5D-8FFE-1539DAC0D990}" name="n"/>
    <tableColumn id="7" xr3:uid="{A5DAA760-FC48-4706-9BBC-6934556BFE01}" name="variance" dataDxfId="81">
      <calculatedColumnFormula>POWER(Table51930[[#This Row],[STD]], 2)</calculatedColumnFormula>
    </tableColumn>
    <tableColumn id="8" xr3:uid="{D75A0CCE-A523-4385-86B1-CFAD26E9E657}" name="var_dCT" dataDxfId="80">
      <calculatedColumnFormula>Table51930[[#This Row],[variance]]+G20</calculatedColumnFormula>
    </tableColumn>
    <tableColumn id="9" xr3:uid="{AD990784-A5A0-4E0F-9904-8E3D9B030BE1}" name="std-diff" dataDxfId="79">
      <calculatedColumnFormula>SQRT(Table51930[[#This Row],[var_dCT]])</calculatedColumnFormula>
    </tableColumn>
    <tableColumn id="10" xr3:uid="{4092B11B-C38C-4CE9-AEB6-7E50ACB1C319}" name="2(ddCT)" dataDxfId="78">
      <calculatedColumnFormula>-(Table51930[[#This Row],[amp_ct]]-C20)</calculatedColumnFormula>
    </tableColumn>
    <tableColumn id="11" xr3:uid="{28500AAA-71A3-4ED3-8065-06715A6BCC49}" name="2(ddCT)2" dataDxfId="77">
      <calculatedColumnFormula>(POWER(2,J18))</calculatedColumnFormula>
    </tableColumn>
    <tableColumn id="12" xr3:uid="{281E4ACB-24F5-4EA0-8D7E-2BDF6A3D16B6}" name="log10[2(ddCT)2" dataDxfId="76">
      <calculatedColumnFormula>LOG(J18,2)</calculatedColumnFormula>
    </tableColumn>
    <tableColumn id="13" xr3:uid="{A17CBB18-E870-48FF-BB07-31C9C3D9CA72}" name="letter diff" dataDxfId="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EBDBBFB-C251-4AB4-9B9D-C5BBB89BED58}" name="Table472031" displayName="Table472031" ref="A24:M28" totalsRowShown="0">
  <autoFilter ref="A24:M28" xr:uid="{6DB76BAF-B4CD-497C-A61C-69203E076B63}"/>
  <sortState xmlns:xlrd2="http://schemas.microsoft.com/office/spreadsheetml/2017/richdata2" ref="A25:K28">
    <sortCondition ref="A11:A14"/>
  </sortState>
  <tableColumns count="13">
    <tableColumn id="1" xr3:uid="{85844E2E-4CC7-43CD-AB38-4B88CD444049}" name="infection"/>
    <tableColumn id="2" xr3:uid="{5E671CC9-C0BE-4AE2-A292-34AEC600DF33}" name="diet" dataDxfId="75"/>
    <tableColumn id="3" xr3:uid="{57CFF7C9-AAC1-48A0-9566-C026DFAE1BE4}" name="amp_ct"/>
    <tableColumn id="4" xr3:uid="{F7DED9B0-BC99-4945-B53C-A09A82E6C5D3}" name="SE"/>
    <tableColumn id="5" xr3:uid="{0E2DA573-F839-468B-B90F-F397BD0D0D19}" name="STD">
      <calculatedColumnFormula>D25*SQRT(F25)</calculatedColumnFormula>
    </tableColumn>
    <tableColumn id="6" xr3:uid="{429EA3B3-1A45-4D68-BEB1-2F8075E1A3DC}" name="n"/>
    <tableColumn id="7" xr3:uid="{BE68BE4B-D828-496B-A21C-6B52FD87F527}" name="variance" dataDxfId="74">
      <calculatedColumnFormula>POWER(Table472031[[#This Row],[STD]], 2)</calculatedColumnFormula>
    </tableColumn>
    <tableColumn id="8" xr3:uid="{CE71B61C-8F13-4F54-8267-C11BD8447E55}" name="var_dCT" dataDxfId="73">
      <calculatedColumnFormula>Table472031[[#This Row],[variance]]+G27</calculatedColumnFormula>
    </tableColumn>
    <tableColumn id="9" xr3:uid="{E1E5CA3E-B0A6-4185-BE4D-F93747292118}" name="std-diff" dataDxfId="72">
      <calculatedColumnFormula>SQRT(Table472031[[#This Row],[var_dCT]])</calculatedColumnFormula>
    </tableColumn>
    <tableColumn id="10" xr3:uid="{24A18E05-1BE1-4590-B68A-577617C60893}" name="2(ddCT)" dataDxfId="71">
      <calculatedColumnFormula>-(Table472031[[#This Row],[amp_ct]]-$C$28)</calculatedColumnFormula>
    </tableColumn>
    <tableColumn id="11" xr3:uid="{CFEE3132-30E4-49DF-AF28-91E53725DB31}" name="2(ddCT)2" dataDxfId="70">
      <calculatedColumnFormula>(POWER(2,J25))</calculatedColumnFormula>
    </tableColumn>
    <tableColumn id="12" xr3:uid="{3E9F5CCB-F315-4B12-A88E-380A6AC7EB88}" name="log10[2(ddCT)2" dataDxfId="69">
      <calculatedColumnFormula>LOG(J25,2)</calculatedColumnFormula>
    </tableColumn>
    <tableColumn id="13" xr3:uid="{BABB9197-6478-4320-8051-9D805D2318F0}" name="letter diff" dataDxfId="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F235CE-BF3C-4DD9-918A-98FC89352DCC}" name="Table4782132" displayName="Table4782132" ref="A31:M35" totalsRowShown="0">
  <autoFilter ref="A31:M35" xr:uid="{E34E8596-E4C1-4584-B69D-97DBE79EF467}"/>
  <sortState xmlns:xlrd2="http://schemas.microsoft.com/office/spreadsheetml/2017/richdata2" ref="A32:K35">
    <sortCondition ref="A11:A14"/>
  </sortState>
  <tableColumns count="13">
    <tableColumn id="1" xr3:uid="{48D2420B-48A8-4A77-B36B-A2D9D97A1884}" name="infection"/>
    <tableColumn id="2" xr3:uid="{5A65C6CD-CCF1-4D82-B754-F43A315562B8}" name="diet" dataDxfId="68"/>
    <tableColumn id="3" xr3:uid="{A04FCD42-EA09-4DD6-BE3A-CAA45C6F7198}" name="amp_ct"/>
    <tableColumn id="4" xr3:uid="{2ABDF813-5209-40A3-897C-D25770D8CA96}" name="SE"/>
    <tableColumn id="5" xr3:uid="{7D23037A-74C8-41C1-B3A9-97AEE3BB77E2}" name="STD">
      <calculatedColumnFormula>D32*SQRT(F32)</calculatedColumnFormula>
    </tableColumn>
    <tableColumn id="6" xr3:uid="{223F83C2-EA64-4560-8361-231A4F8BDCCE}" name="n"/>
    <tableColumn id="7" xr3:uid="{9CF9BD01-C0BD-4E93-B3EC-1467AE78EBD7}" name="variance" dataDxfId="67">
      <calculatedColumnFormula>POWER(Table4782132[[#This Row],[STD]],2)</calculatedColumnFormula>
    </tableColumn>
    <tableColumn id="8" xr3:uid="{C2F3AC71-BD6D-4974-8AA7-5B8164DF6DC5}" name="var_dCT" dataDxfId="66">
      <calculatedColumnFormula>Table4782132[[#This Row],[variance]]+G34</calculatedColumnFormula>
    </tableColumn>
    <tableColumn id="9" xr3:uid="{D81FC2CB-CAC6-45A4-BA75-57555AAB9DE2}" name="std-diff" dataDxfId="65">
      <calculatedColumnFormula>SQRT(Table4782132[[#This Row],[var_dCT]])</calculatedColumnFormula>
    </tableColumn>
    <tableColumn id="10" xr3:uid="{5E291211-F50E-468D-A51F-351998A0B938}" name="2(ddCT)" dataDxfId="64">
      <calculatedColumnFormula>-(Table4782132[[#This Row],[amp_ct]]-C34)</calculatedColumnFormula>
    </tableColumn>
    <tableColumn id="11" xr3:uid="{6F1F23D5-E136-43BF-83B5-E6AD6810E631}" name="2(ddCT)2">
      <calculatedColumnFormula>(POWER(2,-J32))</calculatedColumnFormula>
    </tableColumn>
    <tableColumn id="12" xr3:uid="{0C03406D-5596-43AC-8532-6FC91EF690F0}" name="log10[2(ddCT)2" dataDxfId="63">
      <calculatedColumnFormula>LOG(J32,2)</calculatedColumnFormula>
    </tableColumn>
    <tableColumn id="13" xr3:uid="{EA75CD20-7408-4CD9-B748-979DE40DFD46}" name="letter diff" dataDxfId="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EAEE97-9D1F-46CC-A5D7-94C3A71AD5B7}" name="Table478213233" displayName="Table478213233" ref="A38:M42" totalsRowShown="0">
  <autoFilter ref="A38:M42" xr:uid="{63D0460E-4106-4DCA-90C2-1B5892C6EB35}"/>
  <sortState xmlns:xlrd2="http://schemas.microsoft.com/office/spreadsheetml/2017/richdata2" ref="A39:K42">
    <sortCondition ref="A11:A14"/>
  </sortState>
  <tableColumns count="13">
    <tableColumn id="1" xr3:uid="{856A4E21-A21C-4D4C-B090-642CB76AF540}" name="infection"/>
    <tableColumn id="2" xr3:uid="{7EB505D3-9FF0-499D-899E-0A9B4985E7B5}" name="diet" dataDxfId="62"/>
    <tableColumn id="3" xr3:uid="{817236A9-69C5-478F-8F2E-380EFF28D1A2}" name="amp_ct"/>
    <tableColumn id="4" xr3:uid="{42C5BD11-CB2A-4BFE-B1FE-949A338EF30E}" name="SE"/>
    <tableColumn id="5" xr3:uid="{5EEE3378-9B00-4178-8B86-B659F37333BD}" name="STD">
      <calculatedColumnFormula>D39*SQRT(F39)</calculatedColumnFormula>
    </tableColumn>
    <tableColumn id="6" xr3:uid="{AAE8BF45-16F4-4473-A895-C25A62ECB393}" name="n"/>
    <tableColumn id="7" xr3:uid="{E6765589-8A3A-4AB0-9C9F-36CFB27616A7}" name="variance" dataDxfId="61">
      <calculatedColumnFormula>POWER(Table478213233[[#This Row],[STD]],2)</calculatedColumnFormula>
    </tableColumn>
    <tableColumn id="8" xr3:uid="{AE074D5E-F83B-44F9-B496-56A306B6110E}" name="var_dCT" dataDxfId="60">
      <calculatedColumnFormula>Table478213233[[#This Row],[variance]]+G41</calculatedColumnFormula>
    </tableColumn>
    <tableColumn id="9" xr3:uid="{70EC21E6-5677-49C7-89E1-8DD2D375E8E5}" name="std-diff" dataDxfId="59">
      <calculatedColumnFormula>SQRT(Table478213233[[#This Row],[var_dCT]])</calculatedColumnFormula>
    </tableColumn>
    <tableColumn id="10" xr3:uid="{38F8C046-E145-4ABF-8D0B-32604399196D}" name="2(ddCT)" dataDxfId="58">
      <calculatedColumnFormula>-(Table478213233[[#This Row],[amp_ct]]-$C$41)</calculatedColumnFormula>
    </tableColumn>
    <tableColumn id="11" xr3:uid="{F54D7B3D-A6FB-4B23-9C5F-50DCE56ABF64}" name="2(ddCT)2">
      <calculatedColumnFormula>(POWER(2,-J39))</calculatedColumnFormula>
    </tableColumn>
    <tableColumn id="12" xr3:uid="{3A625985-4023-4F90-B366-1FB477169D41}" name="log10[2(ddCT)2" dataDxfId="57">
      <calculatedColumnFormula>LOG(J39,2)</calculatedColumnFormula>
    </tableColumn>
    <tableColumn id="13" xr3:uid="{3B41669A-65A3-484B-AE07-FAA53B3308C2}" name="letter diff" dataDxfId="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DA0C5-F2B9-4841-A81E-F435953C6314}" name="Table19322" displayName="Table19322" ref="A2:M7" totalsRowCount="1">
  <autoFilter ref="A2:M6" xr:uid="{C7A52AD3-EC3D-46A3-850C-9DE5BB2B2B7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3:L6">
    <sortCondition ref="A3:A6"/>
  </sortState>
  <tableColumns count="13">
    <tableColumn id="1" xr3:uid="{665D0990-5FE1-411B-AF3C-C8319C1AB3CB}" name="infection"/>
    <tableColumn id="2" xr3:uid="{153E60D2-0748-4B67-B591-B876400564F2}" name="diet" dataDxfId="56" totalsRowDxfId="2"/>
    <tableColumn id="3" xr3:uid="{9B90FBF9-0ABD-43C7-A418-5FA4C112C9A1}" name="emmean_amp_ct"/>
    <tableColumn id="4" xr3:uid="{CADF64D6-B01C-4A4B-9CE3-FF13CA2A4A50}" name="SE"/>
    <tableColumn id="5" xr3:uid="{3BE1ED7D-1BFC-4F3D-8CC9-B4A72BEFBDC4}" name="STD">
      <calculatedColumnFormula>D3*SQRT(F3)</calculatedColumnFormula>
    </tableColumn>
    <tableColumn id="6" xr3:uid="{F259053A-6A46-43B2-B9AF-DF88B56D9C76}" name="n"/>
    <tableColumn id="7" xr3:uid="{083153EA-0907-4CA5-B6A4-A3C7E7A8EF8F}" name="variance" dataDxfId="55">
      <calculatedColumnFormula>POWER(Table19322[[#This Row],[STD]],2)</calculatedColumnFormula>
    </tableColumn>
    <tableColumn id="12" xr3:uid="{2BCBEFB1-0695-446A-A9A1-8EA05A1E330C}" name="var_dCT" dataDxfId="54">
      <calculatedColumnFormula>Table19322[[#This Row],[variance]]+G5</calculatedColumnFormula>
    </tableColumn>
    <tableColumn id="8" xr3:uid="{2E459E51-1616-4BD9-ACE7-06D5F4012D3D}" name="std-diff" dataDxfId="53" totalsRowDxfId="1">
      <calculatedColumnFormula>SQRT(Table19322[[#This Row],[var_dCT]])</calculatedColumnFormula>
    </tableColumn>
    <tableColumn id="9" xr3:uid="{306F79EB-D15A-44EA-9C2A-9374EB935E1D}" name="ddCT(infected-uninfected2%)" dataDxfId="52">
      <calculatedColumnFormula>-(Table19322[[#This Row],[emmean_amp_ct]]-C5)</calculatedColumnFormula>
    </tableColumn>
    <tableColumn id="10" xr3:uid="{070F222D-CF26-4CDD-AC69-2E98956F87F3}" name="2(ddCT)" dataDxfId="51">
      <calculatedColumnFormula>(POWER(2,J3))</calculatedColumnFormula>
    </tableColumn>
    <tableColumn id="11" xr3:uid="{6128356F-EE38-44E3-86AB-20876EAA774E}" name="log10(ddct)" dataDxfId="50" totalsRowDxfId="0">
      <calculatedColumnFormula>LOG(Table19322[[#This Row],[2(ddCT)]],10)</calculatedColumnFormula>
    </tableColumn>
    <tableColumn id="13" xr3:uid="{321AD9E7-A4CB-485F-94AA-2BBC8C451476}" name="Letter (p&lt;0.05)" dataDxfId="4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FCA8B8-18FF-4BDD-803D-1C8BE855575A}" name="Table410423" displayName="Table410423" ref="A10:M14" totalsRowShown="0">
  <autoFilter ref="A10:M14" xr:uid="{C1A899AD-4F07-49DB-912F-65B6FC81CA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11:K14">
    <sortCondition ref="A11:A14"/>
  </sortState>
  <tableColumns count="13">
    <tableColumn id="1" xr3:uid="{4275ABFE-475F-4AA2-B958-41FE1DC20ED8}" name="infection"/>
    <tableColumn id="2" xr3:uid="{A0FE42E3-C6B3-4513-B175-6F88089F0E01}" name="diet" dataDxfId="48"/>
    <tableColumn id="3" xr3:uid="{99835FA7-17D2-46AB-BF40-719C60C76DBC}" name="emmean_amp_ct"/>
    <tableColumn id="4" xr3:uid="{6962B034-87F3-4613-9A14-198664811B06}" name="SE"/>
    <tableColumn id="5" xr3:uid="{D57E8E81-8DF3-40B1-B96A-D3D00878BFF6}" name="STD">
      <calculatedColumnFormula>D11*SQRT(F11)</calculatedColumnFormula>
    </tableColumn>
    <tableColumn id="6" xr3:uid="{E3F83A86-CBA9-47A9-9111-F046E8530526}" name="n"/>
    <tableColumn id="7" xr3:uid="{3F6D359B-0974-4BCA-A42F-0ECABB73489C}" name="variance" dataDxfId="47">
      <calculatedColumnFormula>POWER(Table410423[[#This Row],[STD]],2)</calculatedColumnFormula>
    </tableColumn>
    <tableColumn id="8" xr3:uid="{E99CB2B3-6E9A-428B-93B9-4D8D3B68C48E}" name="var_dCT" dataDxfId="46">
      <calculatedColumnFormula>Table410423[[#This Row],[variance]]+G13</calculatedColumnFormula>
    </tableColumn>
    <tableColumn id="9" xr3:uid="{FE8AC33A-9CE5-4AD5-ABF6-C375F1B9786C}" name="std-diff" dataDxfId="45">
      <calculatedColumnFormula>SQRT(Table410423[[#This Row],[var_dCT]])</calculatedColumnFormula>
    </tableColumn>
    <tableColumn id="10" xr3:uid="{613DF7C5-E282-496D-82EE-44304EC99C20}" name="ddCT(infected-uninfected2%)" dataDxfId="44">
      <calculatedColumnFormula>-(Table410423[[#This Row],[emmean_amp_ct]]-$C$14)</calculatedColumnFormula>
    </tableColumn>
    <tableColumn id="11" xr3:uid="{20FB60F9-035C-4B88-845C-2E7C6C9CDC9D}" name="2(ddCT)2" dataDxfId="43">
      <calculatedColumnFormula>(POWER(2,J11))</calculatedColumnFormula>
    </tableColumn>
    <tableColumn id="12" xr3:uid="{89F23FBB-037F-4AF6-9D82-5B0CD51B68DD}" name="log10(ddct)" dataDxfId="42">
      <calculatedColumnFormula>LOG(K11,10)</calculatedColumnFormula>
    </tableColumn>
    <tableColumn id="13" xr3:uid="{E5CD8A2F-24D6-4470-8F8F-A4A664A82174}" name="Letter (p&lt;0.05)" dataDxfId="4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2B46DD-6A5E-4D39-BE0C-F01E391072A6}" name="Table5111424" displayName="Table5111424" ref="A17:M21" totalsRowShown="0">
  <autoFilter ref="A17:M21" xr:uid="{DFA67475-F13B-4310-A323-764A2D916D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18:K21">
    <sortCondition ref="A19:A21"/>
  </sortState>
  <tableColumns count="13">
    <tableColumn id="1" xr3:uid="{9C853DAB-EC11-4D5B-864A-1435B1F229B4}" name="infection"/>
    <tableColumn id="2" xr3:uid="{01E4499C-821A-456C-B5A0-1204A6D064E0}" name="diet" dataDxfId="40"/>
    <tableColumn id="3" xr3:uid="{052C35AC-C0D0-47D9-A02A-2871D25F90FB}" name="emmean_amp_ct"/>
    <tableColumn id="4" xr3:uid="{CC2949AC-D400-4010-877E-6FE5889AC612}" name="SE"/>
    <tableColumn id="5" xr3:uid="{6E44A9C4-5442-48F7-BFE8-38B7818B46D9}" name="STD">
      <calculatedColumnFormula>D18*SQRT(F18)</calculatedColumnFormula>
    </tableColumn>
    <tableColumn id="6" xr3:uid="{E7B40345-C14F-4998-8BD6-B5CFE183AE63}" name="n"/>
    <tableColumn id="7" xr3:uid="{A407E105-0359-4586-8A47-1AE390690BA5}" name="variance" dataDxfId="39">
      <calculatedColumnFormula>POWER(Table5111424[[#This Row],[STD]],2)</calculatedColumnFormula>
    </tableColumn>
    <tableColumn id="8" xr3:uid="{72A29EBB-5147-4D39-81E4-58E0C2D75B1F}" name="var_dCT" dataDxfId="38">
      <calculatedColumnFormula>Table5111424[[#This Row],[variance]]+G20</calculatedColumnFormula>
    </tableColumn>
    <tableColumn id="9" xr3:uid="{5FCF3283-F07F-4B2F-BD4A-9F841A9A77C6}" name="std-diff" dataDxfId="37">
      <calculatedColumnFormula>SQRT(Table5111424[[#This Row],[var_dCT]])</calculatedColumnFormula>
    </tableColumn>
    <tableColumn id="10" xr3:uid="{AE866F26-ACB9-4ADC-B141-0711BCD84E3A}" name="ddCT(infected-uninfected2%)" dataDxfId="36">
      <calculatedColumnFormula>-(C18-C20)</calculatedColumnFormula>
    </tableColumn>
    <tableColumn id="11" xr3:uid="{A438D19D-5F4E-409A-AC87-F2F382701B23}" name="2(ddCT)2" dataDxfId="35">
      <calculatedColumnFormula>(POWER(2,J18))</calculatedColumnFormula>
    </tableColumn>
    <tableColumn id="12" xr3:uid="{B49A91D5-9139-4961-99A5-95CDEC253C27}" name="log10(ddct)" dataDxfId="34">
      <calculatedColumnFormula>LOG(K18,10)</calculatedColumnFormula>
    </tableColumn>
    <tableColumn id="13" xr3:uid="{AB90BB42-81AA-4EB1-9C2A-DCAD5341063A}" name="Letter (p&lt;0.05)" dataDxfId="3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6433-EF3C-4616-A15D-CE86CDF0F1AD}">
  <dimension ref="A1:AB44"/>
  <sheetViews>
    <sheetView zoomScale="70" zoomScaleNormal="100" workbookViewId="0">
      <selection activeCell="O8" sqref="O8"/>
    </sheetView>
  </sheetViews>
  <sheetFormatPr defaultRowHeight="14.5" x14ac:dyDescent="0.35"/>
  <cols>
    <col min="1" max="1" width="10.08984375" customWidth="1"/>
    <col min="2" max="2" width="8.81640625" bestFit="1" customWidth="1"/>
    <col min="3" max="3" width="9" customWidth="1"/>
    <col min="4" max="6" width="8.81640625" bestFit="1" customWidth="1"/>
    <col min="7" max="7" width="10.7265625" customWidth="1"/>
    <col min="8" max="8" width="10.26953125" customWidth="1"/>
    <col min="9" max="9" width="14.90625" bestFit="1" customWidth="1"/>
    <col min="10" max="10" width="26.26953125" bestFit="1" customWidth="1"/>
    <col min="11" max="11" width="11.81640625" bestFit="1" customWidth="1"/>
    <col min="12" max="12" width="12.90625" customWidth="1"/>
    <col min="16" max="19" width="8.81640625" bestFit="1" customWidth="1"/>
    <col min="22" max="25" width="8.81640625" bestFit="1" customWidth="1"/>
    <col min="28" max="29" width="8.81640625" bestFit="1" customWidth="1"/>
  </cols>
  <sheetData>
    <row r="1" spans="1:28" x14ac:dyDescent="0.35">
      <c r="A1" t="s">
        <v>0</v>
      </c>
      <c r="B1" t="s">
        <v>1</v>
      </c>
    </row>
    <row r="2" spans="1:28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9</v>
      </c>
      <c r="G2" t="s">
        <v>35</v>
      </c>
      <c r="H2" t="s">
        <v>11</v>
      </c>
      <c r="I2" t="s">
        <v>8</v>
      </c>
      <c r="J2" t="s">
        <v>12</v>
      </c>
      <c r="K2" t="s">
        <v>13</v>
      </c>
      <c r="L2" t="s">
        <v>38</v>
      </c>
      <c r="M2" t="s">
        <v>40</v>
      </c>
    </row>
    <row r="3" spans="1:28" x14ac:dyDescent="0.35">
      <c r="A3" t="s">
        <v>36</v>
      </c>
      <c r="B3" s="1">
        <v>0.16</v>
      </c>
      <c r="C3">
        <v>20.7</v>
      </c>
      <c r="D3">
        <v>0.53</v>
      </c>
      <c r="E3">
        <f>D3*SQRT(I3)</f>
        <v>1.2982295636750842</v>
      </c>
      <c r="F3">
        <f>Table11728[[#This Row],[STD]]*Table11728[[#This Row],[STD]]</f>
        <v>1.6853999999999996</v>
      </c>
      <c r="G3">
        <f>Table11728[[#This Row],[variance]]+F5</f>
        <v>3.4075119999999997</v>
      </c>
      <c r="H3">
        <f>SQRT(Table11728[[#This Row],[var_ddCT]])</f>
        <v>1.8459447445684825</v>
      </c>
      <c r="I3">
        <v>6</v>
      </c>
      <c r="J3">
        <f>-(Table11728[[#This Row],[amp_ct]]-C5)</f>
        <v>13.3</v>
      </c>
      <c r="K3">
        <f t="shared" ref="K3:K6" si="0">(POWER(2,J3))</f>
        <v>10085.535034121556</v>
      </c>
      <c r="L3">
        <f>LOG(K32,10)</f>
        <v>3.8531839444989577</v>
      </c>
      <c r="M3" s="4" t="s">
        <v>16</v>
      </c>
      <c r="Q3" s="1"/>
      <c r="R3" s="1"/>
    </row>
    <row r="4" spans="1:28" x14ac:dyDescent="0.35">
      <c r="A4" t="s">
        <v>36</v>
      </c>
      <c r="B4" s="1">
        <v>0.02</v>
      </c>
      <c r="C4">
        <v>21.8</v>
      </c>
      <c r="D4">
        <v>0.53700000000000003</v>
      </c>
      <c r="E4">
        <f>D4*SQRT(I4)</f>
        <v>1.3153759918745667</v>
      </c>
      <c r="F4">
        <f>Table11728[[#This Row],[STD]]*Table11728[[#This Row],[STD]]</f>
        <v>1.7302140000000001</v>
      </c>
      <c r="G4">
        <f>Table11728[[#This Row],[variance]]+F6</f>
        <v>3.4177809999999997</v>
      </c>
      <c r="H4">
        <f>SQRT(Table11728[[#This Row],[var_ddCT]])</f>
        <v>1.8487241546536897</v>
      </c>
      <c r="I4">
        <v>6</v>
      </c>
      <c r="J4">
        <f>-(Table11728[[#This Row],[amp_ct]]-C6)</f>
        <v>11.099999999999998</v>
      </c>
      <c r="K4">
        <f t="shared" si="0"/>
        <v>2194.9920512743247</v>
      </c>
      <c r="L4">
        <f>LOG(Table11728[[#This Row],[2(ddCT)]],10)</f>
        <v>3.3414329518701904</v>
      </c>
      <c r="M4" s="4" t="s">
        <v>16</v>
      </c>
    </row>
    <row r="5" spans="1:28" x14ac:dyDescent="0.35">
      <c r="A5" t="s">
        <v>21</v>
      </c>
      <c r="B5" s="1">
        <v>0.16</v>
      </c>
      <c r="C5">
        <v>34</v>
      </c>
      <c r="D5">
        <v>0.496</v>
      </c>
      <c r="E5">
        <f>D5*SQRT(I5)</f>
        <v>1.312292650288037</v>
      </c>
      <c r="F5">
        <f>Table11728[[#This Row],[STD]]*Table11728[[#This Row],[STD]]</f>
        <v>1.7221120000000001</v>
      </c>
      <c r="G5">
        <f>Table11728[[#This Row],[variance]]+F7</f>
        <v>1.7221120000000001</v>
      </c>
      <c r="H5">
        <f>SQRT(Table11728[[#This Row],[var_ddCT]])</f>
        <v>1.312292650288037</v>
      </c>
      <c r="I5">
        <v>7</v>
      </c>
      <c r="J5">
        <f>-(Table11728[[#This Row],[amp_ct]]-C5)</f>
        <v>0</v>
      </c>
      <c r="K5">
        <f t="shared" si="0"/>
        <v>1</v>
      </c>
      <c r="L5">
        <f>LOG(Table11728[[#This Row],[2(ddCT)]],10)</f>
        <v>0</v>
      </c>
      <c r="M5" s="4" t="s">
        <v>22</v>
      </c>
      <c r="P5" s="1"/>
      <c r="V5" s="1"/>
      <c r="AB5" s="1"/>
    </row>
    <row r="6" spans="1:28" x14ac:dyDescent="0.35">
      <c r="A6" t="s">
        <v>21</v>
      </c>
      <c r="B6" s="1">
        <v>0.02</v>
      </c>
      <c r="C6">
        <v>32.9</v>
      </c>
      <c r="D6">
        <v>0.49099999999999999</v>
      </c>
      <c r="E6">
        <f>D6*SQRT(I6)</f>
        <v>1.2990638937327139</v>
      </c>
      <c r="F6">
        <f>Table11728[[#This Row],[STD]]*Table11728[[#This Row],[STD]]</f>
        <v>1.6875669999999998</v>
      </c>
      <c r="G6">
        <f>Table11728[[#This Row],[variance]]+F8</f>
        <v>1.6875669999999998</v>
      </c>
      <c r="H6">
        <f>SQRT(Table11728[[#This Row],[var_ddCT]])</f>
        <v>1.2990638937327139</v>
      </c>
      <c r="I6">
        <v>7</v>
      </c>
      <c r="J6">
        <f>-(Table11728[[#This Row],[amp_ct]]-C6)</f>
        <v>0</v>
      </c>
      <c r="K6">
        <f t="shared" si="0"/>
        <v>1</v>
      </c>
      <c r="L6">
        <f>LOG(Table11728[[#This Row],[2(ddCT)]],10)</f>
        <v>0</v>
      </c>
      <c r="M6" s="4" t="s">
        <v>22</v>
      </c>
      <c r="P6" s="1"/>
      <c r="V6" s="1"/>
      <c r="AB6" s="1"/>
    </row>
    <row r="7" spans="1:28" x14ac:dyDescent="0.35">
      <c r="O7" s="1"/>
      <c r="U7" s="1"/>
      <c r="AA7" s="1"/>
    </row>
    <row r="8" spans="1:28" x14ac:dyDescent="0.35">
      <c r="O8" s="1"/>
      <c r="U8" s="1"/>
      <c r="AA8" s="1"/>
    </row>
    <row r="9" spans="1:28" x14ac:dyDescent="0.35">
      <c r="A9" t="s">
        <v>23</v>
      </c>
      <c r="O9" s="1"/>
      <c r="U9" s="1"/>
      <c r="AA9" s="1"/>
    </row>
    <row r="10" spans="1:28" x14ac:dyDescent="0.35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13</v>
      </c>
      <c r="K10" t="s">
        <v>29</v>
      </c>
      <c r="L10" t="s">
        <v>38</v>
      </c>
      <c r="M10" t="s">
        <v>40</v>
      </c>
      <c r="O10" s="1"/>
      <c r="U10" s="1"/>
      <c r="AA10" s="1"/>
    </row>
    <row r="11" spans="1:28" x14ac:dyDescent="0.35">
      <c r="A11" t="s">
        <v>36</v>
      </c>
      <c r="B11" s="1">
        <v>0.16</v>
      </c>
      <c r="C11">
        <v>21</v>
      </c>
      <c r="D11">
        <v>0.749</v>
      </c>
      <c r="E11">
        <f>D11*SQRT(F11)</f>
        <v>1.8346678173446003</v>
      </c>
      <c r="F11">
        <v>6</v>
      </c>
      <c r="G11">
        <f>POWER(Table41829[[#This Row],[STD]],2)</f>
        <v>3.3660059999999996</v>
      </c>
      <c r="H11">
        <f>Table41829[[#This Row],[variance]]+G13</f>
        <v>6.7960060000000002</v>
      </c>
      <c r="I11">
        <f>SQRT(Table41829[[#This Row],[var_dCT]])</f>
        <v>2.6069150350558035</v>
      </c>
      <c r="J11">
        <f>-(Table41829[[#This Row],[amp_ct]]-C13)</f>
        <v>10.399999999999999</v>
      </c>
      <c r="K11">
        <f t="shared" ref="K11:K14" si="1">(POWER(2,J11))</f>
        <v>1351.1761006314425</v>
      </c>
      <c r="L11">
        <f>LOG(K11,10)</f>
        <v>3.1307119549054039</v>
      </c>
      <c r="M11" s="4" t="s">
        <v>16</v>
      </c>
    </row>
    <row r="12" spans="1:28" x14ac:dyDescent="0.35">
      <c r="A12" t="s">
        <v>36</v>
      </c>
      <c r="B12" s="1">
        <v>0.02</v>
      </c>
      <c r="C12">
        <v>21.2</v>
      </c>
      <c r="D12">
        <v>0.75900000000000001</v>
      </c>
      <c r="E12">
        <f>D12*SQRT(F12)</f>
        <v>1.8591627147724321</v>
      </c>
      <c r="F12">
        <v>6</v>
      </c>
      <c r="G12">
        <f>POWER(Table41829[[#This Row],[STD]],2)</f>
        <v>3.4564859999999999</v>
      </c>
      <c r="H12">
        <f>Table41829[[#This Row],[variance]]+G14</f>
        <v>6.8182289999999997</v>
      </c>
      <c r="I12">
        <f>SQRT(Table41829[[#This Row],[var_dCT]])</f>
        <v>2.611173873950182</v>
      </c>
      <c r="J12">
        <f>-(Table41829[[#This Row],[amp_ct]]-$C$14)</f>
        <v>9.3000000000000007</v>
      </c>
      <c r="K12">
        <f t="shared" si="1"/>
        <v>630.34593963259704</v>
      </c>
      <c r="L12">
        <f>LOG(K12,10)</f>
        <v>2.7995789596750247</v>
      </c>
      <c r="M12" s="4" t="s">
        <v>16</v>
      </c>
    </row>
    <row r="13" spans="1:28" x14ac:dyDescent="0.35">
      <c r="A13" t="s">
        <v>21</v>
      </c>
      <c r="B13" s="1">
        <v>0.16</v>
      </c>
      <c r="C13">
        <v>31.4</v>
      </c>
      <c r="D13">
        <v>0.7</v>
      </c>
      <c r="E13">
        <f>D13*SQRT(F13)</f>
        <v>1.8520259177452134</v>
      </c>
      <c r="F13">
        <v>7</v>
      </c>
      <c r="G13">
        <f>POWER(Table41829[[#This Row],[STD]],2)</f>
        <v>3.43</v>
      </c>
      <c r="H13">
        <f>Table41829[[#This Row],[variance]]+G15</f>
        <v>3.43</v>
      </c>
      <c r="I13">
        <f>SQRT(Table41829[[#This Row],[var_dCT]])</f>
        <v>1.8520259177452134</v>
      </c>
      <c r="J13">
        <f>(Table41829[[#This Row],[amp_ct]]-$C$13)</f>
        <v>0</v>
      </c>
      <c r="K13">
        <f t="shared" si="1"/>
        <v>1</v>
      </c>
      <c r="L13">
        <f t="shared" ref="L13:L14" si="2">LOG(K13,10)</f>
        <v>0</v>
      </c>
      <c r="M13" s="4" t="s">
        <v>22</v>
      </c>
      <c r="Q13" t="s">
        <v>18</v>
      </c>
      <c r="R13" t="s">
        <v>17</v>
      </c>
      <c r="S13" t="s">
        <v>19</v>
      </c>
      <c r="T13" t="s">
        <v>20</v>
      </c>
      <c r="U13" s="1"/>
      <c r="V13" s="1"/>
      <c r="W13" s="1"/>
      <c r="X13" s="1"/>
    </row>
    <row r="14" spans="1:28" x14ac:dyDescent="0.35">
      <c r="A14" t="s">
        <v>21</v>
      </c>
      <c r="B14" s="1">
        <v>0.02</v>
      </c>
      <c r="C14">
        <v>30.5</v>
      </c>
      <c r="D14">
        <v>0.69299999999999995</v>
      </c>
      <c r="E14">
        <f>D14*SQRT(F14)</f>
        <v>1.8335056585677612</v>
      </c>
      <c r="F14">
        <v>7</v>
      </c>
      <c r="G14">
        <f>POWER(Table41829[[#This Row],[STD]],2)</f>
        <v>3.3617429999999997</v>
      </c>
      <c r="H14">
        <f>Table41829[[#This Row],[variance]]+G16</f>
        <v>3.3617429999999997</v>
      </c>
      <c r="I14">
        <f>SQRT(Table41829[[#This Row],[var_dCT]])</f>
        <v>1.8335056585677612</v>
      </c>
      <c r="J14">
        <f>-(Table41829[[#This Row],[amp_ct]]-$C$14)</f>
        <v>0</v>
      </c>
      <c r="K14">
        <f t="shared" si="1"/>
        <v>1</v>
      </c>
      <c r="L14">
        <f t="shared" si="2"/>
        <v>0</v>
      </c>
      <c r="M14" s="4" t="s">
        <v>22</v>
      </c>
      <c r="P14" s="1" t="s">
        <v>37</v>
      </c>
      <c r="Q14">
        <f>L4</f>
        <v>3.3414329518701904</v>
      </c>
      <c r="R14">
        <f>L3</f>
        <v>3.8531839444989577</v>
      </c>
      <c r="S14">
        <f>LOG(POWER(2,H3),10)</f>
        <v>0.55568473845339905</v>
      </c>
      <c r="T14">
        <f>LOG(POWER(2,H4),10)</f>
        <v>0.5565214242592974</v>
      </c>
    </row>
    <row r="15" spans="1:28" x14ac:dyDescent="0.35">
      <c r="P15" s="1" t="s">
        <v>25</v>
      </c>
      <c r="Q15">
        <f>L12</f>
        <v>2.7995789596750247</v>
      </c>
      <c r="R15">
        <f>L11</f>
        <v>3.1307119549054039</v>
      </c>
      <c r="S15">
        <f>LOG(POWER(2,I11),10)</f>
        <v>0.78475962169921576</v>
      </c>
      <c r="T15">
        <f>LOG(POWER(2,I12),10)</f>
        <v>0.78604165995312414</v>
      </c>
    </row>
    <row r="16" spans="1:28" x14ac:dyDescent="0.35">
      <c r="A16" t="s">
        <v>24</v>
      </c>
      <c r="P16" s="1" t="s">
        <v>31</v>
      </c>
      <c r="Q16">
        <f>L33</f>
        <v>3.67256594710057</v>
      </c>
      <c r="R16">
        <f>L32</f>
        <v>3.8531839444989577</v>
      </c>
      <c r="S16">
        <f>LOG(POWER(2,I32),10)</f>
        <v>0.63638210996004207</v>
      </c>
      <c r="T16">
        <f>LOG(POWER(2,I33),10)</f>
        <v>0.63717875110035171</v>
      </c>
    </row>
    <row r="17" spans="1:20" x14ac:dyDescent="0.35">
      <c r="A17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  <c r="J17" t="s">
        <v>13</v>
      </c>
      <c r="K17" t="s">
        <v>29</v>
      </c>
      <c r="L17" t="s">
        <v>38</v>
      </c>
      <c r="M17" t="s">
        <v>40</v>
      </c>
      <c r="P17" s="1" t="s">
        <v>32</v>
      </c>
      <c r="Q17">
        <f>L40</f>
        <v>2.7694759601086263</v>
      </c>
      <c r="R17">
        <f>L39</f>
        <v>3.100608955339005</v>
      </c>
      <c r="S17">
        <f>LOG(POWER(2,I39),10)</f>
        <v>0.49446602837615872</v>
      </c>
      <c r="T17">
        <f>LOG(POWER(2,I40),10)</f>
        <v>0.49534638999653935</v>
      </c>
    </row>
    <row r="18" spans="1:20" x14ac:dyDescent="0.35">
      <c r="A18" t="s">
        <v>36</v>
      </c>
      <c r="B18" s="1">
        <v>0.16</v>
      </c>
      <c r="C18">
        <v>20.8</v>
      </c>
      <c r="D18">
        <v>1.23</v>
      </c>
      <c r="E18">
        <f>D18*SQRT(F18)</f>
        <v>3.0128723836233089</v>
      </c>
      <c r="F18">
        <v>6</v>
      </c>
      <c r="G18">
        <f>POWER(Table51930[[#This Row],[STD]], 2)</f>
        <v>9.077399999999999</v>
      </c>
      <c r="H18">
        <f>Table51930[[#This Row],[variance]]+G20</f>
        <v>18.496600000000001</v>
      </c>
      <c r="I18">
        <f>SQRT(Table51930[[#This Row],[var_dCT]])</f>
        <v>4.3007673733881493</v>
      </c>
      <c r="J18">
        <f>-(Table51930[[#This Row],[amp_ct]]-C20)</f>
        <v>3.3999999999999986</v>
      </c>
      <c r="K18">
        <f t="shared" ref="K18:K21" si="3">(POWER(2,J18))</f>
        <v>10.556063286183143</v>
      </c>
      <c r="L18">
        <f>LOG(K18,10)</f>
        <v>1.0235019852575356</v>
      </c>
      <c r="M18" s="4" t="s">
        <v>16</v>
      </c>
      <c r="P18" s="1" t="s">
        <v>39</v>
      </c>
      <c r="Q18">
        <f>L19</f>
        <v>1.4750469787535074</v>
      </c>
      <c r="R18">
        <f>L18</f>
        <v>1.0235019852575356</v>
      </c>
      <c r="S18">
        <f>LOG(POWER(2,Table51930[[#This Row],[std-diff]]),10)</f>
        <v>1.2946599837628261</v>
      </c>
      <c r="T18">
        <f>LOG(POWER(2,I19),10)</f>
        <v>1.2938057692461025</v>
      </c>
    </row>
    <row r="19" spans="1:20" x14ac:dyDescent="0.35">
      <c r="A19" t="s">
        <v>36</v>
      </c>
      <c r="B19" s="1">
        <v>0.02</v>
      </c>
      <c r="C19">
        <v>21.5</v>
      </c>
      <c r="D19">
        <v>1.25</v>
      </c>
      <c r="E19">
        <f>D19*SQRT(F19)</f>
        <v>3.0618621784789726</v>
      </c>
      <c r="F19">
        <v>6</v>
      </c>
      <c r="G19">
        <f>POWER(Table51930[[#This Row],[STD]], 2)</f>
        <v>9.375</v>
      </c>
      <c r="H19">
        <f>Table51930[[#This Row],[variance]]+G21</f>
        <v>18.472200000000001</v>
      </c>
      <c r="I19">
        <f>SQRT(Table51930[[#This Row],[var_dCT]])</f>
        <v>4.2979297341859839</v>
      </c>
      <c r="J19">
        <f>-(Table51930[[#This Row],[amp_ct]]-C21)</f>
        <v>4.8999999999999986</v>
      </c>
      <c r="K19">
        <f t="shared" si="3"/>
        <v>29.857055729177809</v>
      </c>
      <c r="L19">
        <f>LOG(K19,10)</f>
        <v>1.4750469787535074</v>
      </c>
      <c r="M19" s="4" t="s">
        <v>16</v>
      </c>
      <c r="P19" s="1" t="s">
        <v>28</v>
      </c>
      <c r="Q19">
        <f>L26</f>
        <v>1.6857679757182948</v>
      </c>
      <c r="R19">
        <f>L25</f>
        <v>1.5954589770191003</v>
      </c>
      <c r="S19">
        <f>LOG(POWER(2,I25),10)</f>
        <v>0.63421254964249163</v>
      </c>
      <c r="T19">
        <f>LOG(POWER(2,I26),10)</f>
        <v>0.63609447372286143</v>
      </c>
    </row>
    <row r="20" spans="1:20" x14ac:dyDescent="0.35">
      <c r="A20" t="s">
        <v>21</v>
      </c>
      <c r="B20" s="1">
        <v>0.16</v>
      </c>
      <c r="C20">
        <v>24.2</v>
      </c>
      <c r="D20">
        <v>1.1599999999999999</v>
      </c>
      <c r="E20">
        <f>D20*SQRT(F20)</f>
        <v>3.0690715208349251</v>
      </c>
      <c r="F20">
        <v>7</v>
      </c>
      <c r="G20">
        <f>POWER(Table51930[[#This Row],[STD]], 2)</f>
        <v>9.4192</v>
      </c>
      <c r="H20">
        <f>Table51930[[#This Row],[variance]]+G22</f>
        <v>9.4192</v>
      </c>
      <c r="I20">
        <f>SQRT(Table51930[[#This Row],[var_dCT]])</f>
        <v>3.0690715208349251</v>
      </c>
      <c r="J20">
        <f>-(Table51930[[#This Row],[amp_ct]]-C20)</f>
        <v>0</v>
      </c>
      <c r="K20">
        <f t="shared" si="3"/>
        <v>1</v>
      </c>
      <c r="L20">
        <f t="shared" ref="L20:L21" si="4">LOG(K20,10)</f>
        <v>0</v>
      </c>
      <c r="M20" s="4" t="s">
        <v>22</v>
      </c>
    </row>
    <row r="21" spans="1:20" x14ac:dyDescent="0.35">
      <c r="A21" t="s">
        <v>21</v>
      </c>
      <c r="B21" s="1">
        <v>0.02</v>
      </c>
      <c r="C21">
        <v>26.4</v>
      </c>
      <c r="D21">
        <v>1.1399999999999999</v>
      </c>
      <c r="E21">
        <f>D21*SQRT(F21)</f>
        <v>3.0161564946136332</v>
      </c>
      <c r="F21">
        <v>7</v>
      </c>
      <c r="G21">
        <f>POWER(Table51930[[#This Row],[STD]], 2)</f>
        <v>9.0971999999999991</v>
      </c>
      <c r="H21">
        <f>Table51930[[#This Row],[variance]]+G23</f>
        <v>9.0971999999999991</v>
      </c>
      <c r="I21">
        <f>SQRT(Table51930[[#This Row],[var_dCT]])</f>
        <v>3.0161564946136332</v>
      </c>
      <c r="J21">
        <f>-(Table51930[[#This Row],[amp_ct]]-C21)</f>
        <v>0</v>
      </c>
      <c r="K21">
        <f t="shared" si="3"/>
        <v>1</v>
      </c>
      <c r="L21">
        <f t="shared" si="4"/>
        <v>0</v>
      </c>
      <c r="M21" s="4" t="s">
        <v>22</v>
      </c>
    </row>
    <row r="23" spans="1:20" x14ac:dyDescent="0.35">
      <c r="A23" t="s">
        <v>26</v>
      </c>
    </row>
    <row r="24" spans="1:20" x14ac:dyDescent="0.35">
      <c r="A24" t="s">
        <v>3</v>
      </c>
      <c r="B24" t="s">
        <v>4</v>
      </c>
      <c r="C24" t="s">
        <v>5</v>
      </c>
      <c r="D24" t="s">
        <v>6</v>
      </c>
      <c r="E24" t="s">
        <v>7</v>
      </c>
      <c r="F24" t="s">
        <v>8</v>
      </c>
      <c r="G24" t="s">
        <v>9</v>
      </c>
      <c r="H24" t="s">
        <v>10</v>
      </c>
      <c r="I24" t="s">
        <v>11</v>
      </c>
      <c r="J24" t="s">
        <v>13</v>
      </c>
      <c r="K24" t="s">
        <v>29</v>
      </c>
      <c r="L24" t="s">
        <v>38</v>
      </c>
      <c r="M24" t="s">
        <v>40</v>
      </c>
    </row>
    <row r="25" spans="1:20" x14ac:dyDescent="0.35">
      <c r="A25" t="s">
        <v>36</v>
      </c>
      <c r="B25" s="1">
        <v>0.16</v>
      </c>
      <c r="C25">
        <v>23.3</v>
      </c>
      <c r="D25">
        <v>0.60499999999999998</v>
      </c>
      <c r="E25">
        <f>D25*SQRT(F25)</f>
        <v>1.4819412943838226</v>
      </c>
      <c r="F25">
        <v>6</v>
      </c>
      <c r="G25">
        <f>POWER(Table472031[[#This Row],[STD]], 2)</f>
        <v>2.1961499999999994</v>
      </c>
      <c r="H25">
        <f>Table472031[[#This Row],[variance]]+G27</f>
        <v>4.4386419999999998</v>
      </c>
      <c r="I25">
        <f>SQRT(Table472031[[#This Row],[var_dCT]])</f>
        <v>2.1068084867875392</v>
      </c>
      <c r="J25">
        <f>-(Table472031[[#This Row],[amp_ct]]-$C$27)</f>
        <v>5.3000000000000007</v>
      </c>
      <c r="K25">
        <f t="shared" ref="K25:K28" si="5">(POWER(2,J25))</f>
        <v>39.396621227037336</v>
      </c>
      <c r="L25">
        <f>LOG(K25,10)</f>
        <v>1.5954589770191003</v>
      </c>
      <c r="M25" s="4" t="s">
        <v>16</v>
      </c>
    </row>
    <row r="26" spans="1:20" x14ac:dyDescent="0.35">
      <c r="A26" t="s">
        <v>36</v>
      </c>
      <c r="B26" s="1">
        <v>0.02</v>
      </c>
      <c r="C26">
        <v>23</v>
      </c>
      <c r="D26">
        <v>0.61399999999999999</v>
      </c>
      <c r="E26">
        <f>D26*SQRT(F26)</f>
        <v>1.5039867020688713</v>
      </c>
      <c r="F26">
        <v>6</v>
      </c>
      <c r="G26">
        <f>POWER(Table472031[[#This Row],[STD]], 2)</f>
        <v>2.2619759999999998</v>
      </c>
      <c r="H26">
        <f>Table472031[[#This Row],[variance]]+G28</f>
        <v>4.4650230000000004</v>
      </c>
      <c r="I26">
        <f>SQRT(Table472031[[#This Row],[var_dCT]])</f>
        <v>2.1130601032625647</v>
      </c>
      <c r="J26">
        <f>-(Table472031[[#This Row],[amp_ct]]-$C$28)</f>
        <v>5.6000000000000014</v>
      </c>
      <c r="K26">
        <f t="shared" si="5"/>
        <v>48.502930128332785</v>
      </c>
      <c r="L26">
        <f>LOG(K26,10)</f>
        <v>1.6857679757182948</v>
      </c>
      <c r="M26" s="4" t="s">
        <v>16</v>
      </c>
    </row>
    <row r="27" spans="1:20" x14ac:dyDescent="0.35">
      <c r="A27" t="s">
        <v>21</v>
      </c>
      <c r="B27" s="1">
        <v>0.16</v>
      </c>
      <c r="C27">
        <v>28.6</v>
      </c>
      <c r="D27">
        <v>0.56599999999999995</v>
      </c>
      <c r="E27">
        <f>D27*SQRT(F27)</f>
        <v>1.4974952420625582</v>
      </c>
      <c r="F27">
        <v>7</v>
      </c>
      <c r="G27">
        <f>POWER(Table472031[[#This Row],[STD]], 2)</f>
        <v>2.2424919999999999</v>
      </c>
      <c r="H27">
        <f>Table472031[[#This Row],[variance]]+G29</f>
        <v>2.2424919999999999</v>
      </c>
      <c r="I27">
        <f>SQRT(Table472031[[#This Row],[var_dCT]])</f>
        <v>1.4974952420625582</v>
      </c>
      <c r="J27">
        <f>-(Table472031[[#This Row],[amp_ct]]-$C$27)</f>
        <v>0</v>
      </c>
      <c r="K27">
        <f t="shared" si="5"/>
        <v>1</v>
      </c>
      <c r="L27">
        <f t="shared" ref="L27:L28" si="6">LOG(K27,10)</f>
        <v>0</v>
      </c>
      <c r="M27" s="4" t="s">
        <v>22</v>
      </c>
    </row>
    <row r="28" spans="1:20" x14ac:dyDescent="0.35">
      <c r="A28" t="s">
        <v>21</v>
      </c>
      <c r="B28" s="1">
        <v>0.02</v>
      </c>
      <c r="C28">
        <v>28.6</v>
      </c>
      <c r="D28">
        <v>0.56100000000000005</v>
      </c>
      <c r="E28">
        <f>D28*SQRT(F28)</f>
        <v>1.4842664855072356</v>
      </c>
      <c r="F28">
        <v>7</v>
      </c>
      <c r="G28">
        <f>POWER(Table472031[[#This Row],[STD]], 2)</f>
        <v>2.2030470000000006</v>
      </c>
      <c r="H28">
        <f>Table472031[[#This Row],[variance]]+G30</f>
        <v>2.2030470000000006</v>
      </c>
      <c r="I28">
        <f>SQRT(Table472031[[#This Row],[var_dCT]])</f>
        <v>1.4842664855072356</v>
      </c>
      <c r="J28">
        <f>-(Table472031[[#This Row],[amp_ct]]-$C$28)</f>
        <v>0</v>
      </c>
      <c r="K28">
        <f t="shared" si="5"/>
        <v>1</v>
      </c>
      <c r="L28">
        <f t="shared" si="6"/>
        <v>0</v>
      </c>
      <c r="M28" s="4" t="s">
        <v>22</v>
      </c>
    </row>
    <row r="29" spans="1:20" x14ac:dyDescent="0.35">
      <c r="B29" s="1"/>
    </row>
    <row r="30" spans="1:20" x14ac:dyDescent="0.35">
      <c r="A30" t="s">
        <v>27</v>
      </c>
    </row>
    <row r="31" spans="1:20" x14ac:dyDescent="0.35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  <c r="J31" t="s">
        <v>13</v>
      </c>
      <c r="K31" t="s">
        <v>29</v>
      </c>
      <c r="L31" t="s">
        <v>38</v>
      </c>
      <c r="M31" t="s">
        <v>40</v>
      </c>
      <c r="N31" s="1"/>
    </row>
    <row r="32" spans="1:20" x14ac:dyDescent="0.35">
      <c r="A32" t="s">
        <v>36</v>
      </c>
      <c r="B32" s="1">
        <v>0.16</v>
      </c>
      <c r="C32">
        <v>19.5</v>
      </c>
      <c r="D32">
        <v>0.60699999999999998</v>
      </c>
      <c r="E32">
        <f>D32*SQRT(F32)</f>
        <v>1.4868402738693889</v>
      </c>
      <c r="F32">
        <v>6</v>
      </c>
      <c r="G32">
        <f>POWER(Table4782132[[#This Row],[STD]],2)</f>
        <v>2.2106939999999993</v>
      </c>
      <c r="H32">
        <f>Table4782132[[#This Row],[variance]]+G34</f>
        <v>4.4690619999999992</v>
      </c>
      <c r="I32">
        <f>SQRT(Table4782132[[#This Row],[var_dCT]])</f>
        <v>2.1140156101599628</v>
      </c>
      <c r="J32">
        <f>-(Table4782132[[#This Row],[amp_ct]]-C34)</f>
        <v>12.799999999999997</v>
      </c>
      <c r="K32">
        <f>(POWER(2,J32))</f>
        <v>7131.5502145218315</v>
      </c>
      <c r="L32">
        <f>LOG(K32,10)</f>
        <v>3.8531839444989577</v>
      </c>
      <c r="M32" s="4" t="s">
        <v>16</v>
      </c>
      <c r="N32" s="1"/>
    </row>
    <row r="33" spans="1:13" x14ac:dyDescent="0.35">
      <c r="A33" t="s">
        <v>36</v>
      </c>
      <c r="B33" s="1">
        <v>0.02</v>
      </c>
      <c r="C33">
        <v>19.2</v>
      </c>
      <c r="D33">
        <v>0.61499999999999999</v>
      </c>
      <c r="E33">
        <f>D33*SQRT(F33)</f>
        <v>1.5064361918116544</v>
      </c>
      <c r="F33">
        <v>6</v>
      </c>
      <c r="G33">
        <f>POWER(Table4782132[[#This Row],[STD]],2)</f>
        <v>2.2693499999999998</v>
      </c>
      <c r="H33">
        <f>Table4782132[[#This Row],[variance]]+G35</f>
        <v>4.4802580000000001</v>
      </c>
      <c r="I33">
        <f>SQRT(Table4782132[[#This Row],[var_dCT]])</f>
        <v>2.1166619947455003</v>
      </c>
      <c r="J33">
        <f>-(Table4782132[[#This Row],[amp_ct]]-C35)</f>
        <v>12.2</v>
      </c>
      <c r="K33">
        <f>(POWER(2,J33))</f>
        <v>4705.0684620678521</v>
      </c>
      <c r="L33">
        <f>LOG(K33,10)</f>
        <v>3.67256594710057</v>
      </c>
      <c r="M33" s="4" t="s">
        <v>16</v>
      </c>
    </row>
    <row r="34" spans="1:13" x14ac:dyDescent="0.35">
      <c r="A34" t="s">
        <v>21</v>
      </c>
      <c r="B34" s="1">
        <v>0.16</v>
      </c>
      <c r="C34">
        <v>32.299999999999997</v>
      </c>
      <c r="D34">
        <v>0.56799999999999995</v>
      </c>
      <c r="E34">
        <f>D34*SQRT(F34)</f>
        <v>1.5027867446846874</v>
      </c>
      <c r="F34">
        <v>7</v>
      </c>
      <c r="G34">
        <f>POWER(Table4782132[[#This Row],[STD]],2)</f>
        <v>2.2583679999999999</v>
      </c>
      <c r="H34">
        <f>Table4782132[[#This Row],[variance]]+G36</f>
        <v>2.2583679999999999</v>
      </c>
      <c r="I34">
        <f>SQRT(Table4782132[[#This Row],[var_dCT]])</f>
        <v>1.5027867446846874</v>
      </c>
      <c r="J34">
        <f>-(Table4782132[[#This Row],[amp_ct]]-C34)</f>
        <v>0</v>
      </c>
      <c r="K34">
        <f>(POWER(2,-J34))</f>
        <v>1</v>
      </c>
      <c r="L34">
        <f t="shared" ref="L34:L35" si="7">LOG(K34,10)</f>
        <v>0</v>
      </c>
      <c r="M34" s="4" t="s">
        <v>22</v>
      </c>
    </row>
    <row r="35" spans="1:13" x14ac:dyDescent="0.35">
      <c r="A35" t="s">
        <v>21</v>
      </c>
      <c r="B35" s="1">
        <v>0.02</v>
      </c>
      <c r="C35">
        <v>31.4</v>
      </c>
      <c r="D35">
        <v>0.56200000000000006</v>
      </c>
      <c r="E35">
        <f>D35*SQRT(F35)</f>
        <v>1.4869122368183001</v>
      </c>
      <c r="F35">
        <v>7</v>
      </c>
      <c r="G35">
        <f>POWER(Table4782132[[#This Row],[STD]],2)</f>
        <v>2.2109080000000003</v>
      </c>
      <c r="H35">
        <f>Table4782132[[#This Row],[variance]]+G37</f>
        <v>2.2109080000000003</v>
      </c>
      <c r="I35">
        <f>SQRT(Table4782132[[#This Row],[var_dCT]])</f>
        <v>1.4869122368183001</v>
      </c>
      <c r="J35">
        <v>0</v>
      </c>
      <c r="K35">
        <f>(POWER(2,-J35))</f>
        <v>1</v>
      </c>
      <c r="L35">
        <f t="shared" si="7"/>
        <v>0</v>
      </c>
      <c r="M35" s="4" t="s">
        <v>22</v>
      </c>
    </row>
    <row r="36" spans="1:13" x14ac:dyDescent="0.35">
      <c r="B36" s="1"/>
    </row>
    <row r="37" spans="1:13" x14ac:dyDescent="0.35">
      <c r="A37" t="s">
        <v>30</v>
      </c>
    </row>
    <row r="38" spans="1:13" x14ac:dyDescent="0.35">
      <c r="A38" t="s">
        <v>3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  <c r="J38" t="s">
        <v>13</v>
      </c>
      <c r="K38" t="s">
        <v>29</v>
      </c>
      <c r="L38" t="s">
        <v>38</v>
      </c>
      <c r="M38" t="s">
        <v>40</v>
      </c>
    </row>
    <row r="39" spans="1:13" x14ac:dyDescent="0.35">
      <c r="A39" t="s">
        <v>36</v>
      </c>
      <c r="B39" s="1">
        <v>0.16</v>
      </c>
      <c r="C39">
        <v>19.600000000000001</v>
      </c>
      <c r="D39">
        <v>0.47199999999999998</v>
      </c>
      <c r="E39">
        <f>D39*SQRT(F39)</f>
        <v>1.1561591585936599</v>
      </c>
      <c r="F39">
        <v>6</v>
      </c>
      <c r="G39">
        <f>POWER(Table478213233[[#This Row],[STD]],2)</f>
        <v>1.3367039999999997</v>
      </c>
      <c r="H39">
        <f>Table478213233[[#This Row],[variance]]+G41</f>
        <v>2.6980709999999997</v>
      </c>
      <c r="I39">
        <f>SQRT(Table478213233[[#This Row],[var_dCT]])</f>
        <v>1.6425805916301335</v>
      </c>
      <c r="J39">
        <f>-(Table478213233[[#This Row],[amp_ct]]-$C$41)</f>
        <v>10.299999999999997</v>
      </c>
      <c r="K39">
        <f>(POWER(2,J39))</f>
        <v>1260.6918792651909</v>
      </c>
      <c r="L39">
        <f>LOG(K39,10)</f>
        <v>3.100608955339005</v>
      </c>
      <c r="M39" s="4" t="s">
        <v>16</v>
      </c>
    </row>
    <row r="40" spans="1:13" x14ac:dyDescent="0.35">
      <c r="A40" t="s">
        <v>36</v>
      </c>
      <c r="B40" s="1">
        <v>0.02</v>
      </c>
      <c r="C40">
        <v>19</v>
      </c>
      <c r="D40">
        <v>0.47799999999999998</v>
      </c>
      <c r="E40">
        <f>D40*SQRT(F40)</f>
        <v>1.170856097050359</v>
      </c>
      <c r="F40">
        <v>6</v>
      </c>
      <c r="G40">
        <f>POWER(Table478213233[[#This Row],[STD]],2)</f>
        <v>1.3709039999999997</v>
      </c>
      <c r="H40">
        <f>Table478213233[[#This Row],[variance]]+G42</f>
        <v>2.707687</v>
      </c>
      <c r="I40">
        <f>SQRT(Table478213233[[#This Row],[var_dCT]])</f>
        <v>1.6455050896305365</v>
      </c>
      <c r="J40">
        <f>-(Table478213233[[#This Row],[amp_ct]]-$C$42)</f>
        <v>9.1999999999999993</v>
      </c>
      <c r="K40">
        <f>(POWER(2,J40))</f>
        <v>588.1335577584814</v>
      </c>
      <c r="L40">
        <f>LOG(K40,10)</f>
        <v>2.7694759601086263</v>
      </c>
      <c r="M40" s="4" t="s">
        <v>16</v>
      </c>
    </row>
    <row r="41" spans="1:13" x14ac:dyDescent="0.35">
      <c r="A41" t="s">
        <v>21</v>
      </c>
      <c r="B41" s="1">
        <v>0.16</v>
      </c>
      <c r="C41">
        <v>29.9</v>
      </c>
      <c r="D41">
        <v>0.441</v>
      </c>
      <c r="E41">
        <f>D41*SQRT(F41)</f>
        <v>1.1667763281794845</v>
      </c>
      <c r="F41">
        <v>7</v>
      </c>
      <c r="G41">
        <f>POWER(Table478213233[[#This Row],[STD]],2)</f>
        <v>1.3613670000000002</v>
      </c>
      <c r="H41">
        <f>Table478213233[[#This Row],[variance]]+G43</f>
        <v>1.3613670000000002</v>
      </c>
      <c r="I41">
        <f>SQRT(Table478213233[[#This Row],[var_dCT]])</f>
        <v>1.1667763281794845</v>
      </c>
      <c r="J41">
        <f>-(Table478213233[[#This Row],[amp_ct]]-$C$41)</f>
        <v>0</v>
      </c>
      <c r="K41">
        <f>(POWER(2,-J41))</f>
        <v>1</v>
      </c>
      <c r="L41">
        <f t="shared" ref="L41:L42" si="8">LOG(K41,10)</f>
        <v>0</v>
      </c>
      <c r="M41" s="4" t="s">
        <v>22</v>
      </c>
    </row>
    <row r="42" spans="1:13" x14ac:dyDescent="0.35">
      <c r="A42" t="s">
        <v>21</v>
      </c>
      <c r="B42" s="1">
        <v>0.02</v>
      </c>
      <c r="C42">
        <v>28.2</v>
      </c>
      <c r="D42">
        <v>0.437</v>
      </c>
      <c r="E42">
        <f>D42*SQRT(F42)</f>
        <v>1.1561933229352261</v>
      </c>
      <c r="F42">
        <v>7</v>
      </c>
      <c r="G42">
        <f>POWER(Table478213233[[#This Row],[STD]],2)</f>
        <v>1.3367830000000001</v>
      </c>
      <c r="H42">
        <f>Table478213233[[#This Row],[variance]]+G44</f>
        <v>1.3367830000000001</v>
      </c>
      <c r="I42">
        <f>SQRT(Table478213233[[#This Row],[var_dCT]])</f>
        <v>1.1561933229352261</v>
      </c>
      <c r="J42">
        <f>-(Table478213233[[#This Row],[amp_ct]]-$C$42)</f>
        <v>0</v>
      </c>
      <c r="K42">
        <f>(POWER(2,-J42))</f>
        <v>1</v>
      </c>
      <c r="L42">
        <f t="shared" si="8"/>
        <v>0</v>
      </c>
      <c r="M42" s="4" t="s">
        <v>22</v>
      </c>
    </row>
    <row r="43" spans="1:13" x14ac:dyDescent="0.35">
      <c r="B43" s="1"/>
    </row>
    <row r="44" spans="1:13" x14ac:dyDescent="0.35">
      <c r="B44" s="1"/>
    </row>
  </sheetData>
  <phoneticPr fontId="3" type="noConversion"/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7A9C-0DAE-4F4F-9C28-6D836520A06F}">
  <dimension ref="A1:X44"/>
  <sheetViews>
    <sheetView tabSelected="1" topLeftCell="A14" zoomScale="70" zoomScaleNormal="70" workbookViewId="0">
      <selection activeCell="G44" sqref="G44"/>
    </sheetView>
  </sheetViews>
  <sheetFormatPr defaultRowHeight="14.5" x14ac:dyDescent="0.35"/>
  <cols>
    <col min="1" max="1" width="10.08984375" customWidth="1"/>
    <col min="2" max="2" width="8.81640625" bestFit="1" customWidth="1"/>
    <col min="3" max="3" width="20.81640625" bestFit="1" customWidth="1"/>
    <col min="4" max="6" width="8.81640625" bestFit="1" customWidth="1"/>
    <col min="7" max="7" width="10.7265625" customWidth="1"/>
    <col min="8" max="8" width="10.26953125" customWidth="1"/>
    <col min="9" max="9" width="11.90625" bestFit="1" customWidth="1"/>
    <col min="10" max="10" width="13.54296875" customWidth="1"/>
    <col min="11" max="11" width="11.81640625" bestFit="1" customWidth="1"/>
    <col min="12" max="12" width="8.81640625" style="3" bestFit="1" customWidth="1"/>
    <col min="13" max="14" width="8.81640625" bestFit="1" customWidth="1"/>
    <col min="17" max="20" width="8.81640625" bestFit="1" customWidth="1"/>
    <col min="21" max="21" width="15.08984375" bestFit="1" customWidth="1"/>
    <col min="22" max="22" width="12.81640625" bestFit="1" customWidth="1"/>
    <col min="24" max="28" width="8.81640625" bestFit="1" customWidth="1"/>
  </cols>
  <sheetData>
    <row r="1" spans="1:24" x14ac:dyDescent="0.35">
      <c r="A1" t="s">
        <v>0</v>
      </c>
      <c r="E1" t="s">
        <v>2</v>
      </c>
    </row>
    <row r="2" spans="1:24" x14ac:dyDescent="0.35">
      <c r="A2" t="s">
        <v>3</v>
      </c>
      <c r="B2" t="s">
        <v>4</v>
      </c>
      <c r="C2" t="s">
        <v>34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s="5" t="s">
        <v>41</v>
      </c>
      <c r="M2" t="s">
        <v>14</v>
      </c>
    </row>
    <row r="3" spans="1:24" x14ac:dyDescent="0.35">
      <c r="A3" t="s">
        <v>15</v>
      </c>
      <c r="B3" s="1">
        <v>0.16</v>
      </c>
      <c r="C3">
        <v>20.3</v>
      </c>
      <c r="D3">
        <v>0.54200000000000004</v>
      </c>
      <c r="E3">
        <f>D3*SQRT(F3)</f>
        <v>1.3276234405884826</v>
      </c>
      <c r="F3">
        <v>6</v>
      </c>
      <c r="G3">
        <f>POWER(Table19322[[#This Row],[STD]],2)</f>
        <v>1.7625840000000002</v>
      </c>
      <c r="H3">
        <f>Table19322[[#This Row],[variance]]+G5</f>
        <v>3.5266120000000001</v>
      </c>
      <c r="I3" s="2">
        <f>SQRT(Table19322[[#This Row],[var_dCT]])</f>
        <v>1.8779275811383143</v>
      </c>
      <c r="J3">
        <f>-(Table19322[[#This Row],[emmean_amp_ct]]-C5)</f>
        <v>14.099999999999998</v>
      </c>
      <c r="K3">
        <f t="shared" ref="K3:K6" si="0">(POWER(2,J3))</f>
        <v>17559.936410194601</v>
      </c>
      <c r="L3" s="3">
        <f>LOG(Table19322[[#This Row],[2(ddCT)]],10)</f>
        <v>4.2445229388621337</v>
      </c>
      <c r="M3" t="s">
        <v>16</v>
      </c>
      <c r="P3" s="1"/>
      <c r="Q3" s="1"/>
    </row>
    <row r="4" spans="1:24" x14ac:dyDescent="0.35">
      <c r="A4" t="s">
        <v>15</v>
      </c>
      <c r="B4" s="1">
        <v>0.02</v>
      </c>
      <c r="C4">
        <v>20.8</v>
      </c>
      <c r="D4">
        <v>0.59599999999999997</v>
      </c>
      <c r="E4">
        <f>D4*SQRT(F4)</f>
        <v>1.3326965145898746</v>
      </c>
      <c r="F4">
        <v>5</v>
      </c>
      <c r="G4">
        <f>POWER(Table19322[[#This Row],[STD]],2)</f>
        <v>1.7760799999999999</v>
      </c>
      <c r="H4">
        <f>Table19322[[#This Row],[variance]]+G6</f>
        <v>3.554192</v>
      </c>
      <c r="I4" s="2">
        <f>SQRT(Table19322[[#This Row],[var_dCT]])</f>
        <v>1.8852564812247696</v>
      </c>
      <c r="J4">
        <f>-(Table19322[[#This Row],[emmean_amp_ct]]-C6)</f>
        <v>13.8</v>
      </c>
      <c r="K4">
        <f t="shared" si="0"/>
        <v>14263.10042904369</v>
      </c>
      <c r="L4" s="3">
        <f>LOG(Table19322[[#This Row],[2(ddCT)]],10)</f>
        <v>4.1542139401629399</v>
      </c>
      <c r="M4" t="s">
        <v>16</v>
      </c>
    </row>
    <row r="5" spans="1:24" x14ac:dyDescent="0.35">
      <c r="A5" t="s">
        <v>21</v>
      </c>
      <c r="B5" s="1">
        <v>0.16</v>
      </c>
      <c r="C5">
        <v>34.4</v>
      </c>
      <c r="D5">
        <v>0.502</v>
      </c>
      <c r="E5">
        <f>D5*SQRT(F5)</f>
        <v>1.3281671581544245</v>
      </c>
      <c r="F5">
        <v>7</v>
      </c>
      <c r="G5">
        <f>POWER(Table19322[[#This Row],[STD]],2)</f>
        <v>1.7640280000000002</v>
      </c>
      <c r="H5">
        <f>Table19322[[#This Row],[variance]]+G7</f>
        <v>1.7640280000000002</v>
      </c>
      <c r="I5" s="2">
        <f>SQRT(Table19322[[#This Row],[var_dCT]])</f>
        <v>1.3281671581544245</v>
      </c>
      <c r="J5">
        <f>-(Table19322[[#This Row],[emmean_amp_ct]]-C5)</f>
        <v>0</v>
      </c>
      <c r="K5">
        <f t="shared" si="0"/>
        <v>1</v>
      </c>
      <c r="L5" s="3">
        <f>LOG(Table19322[[#This Row],[2(ddCT)]],10)</f>
        <v>0</v>
      </c>
      <c r="M5" t="s">
        <v>22</v>
      </c>
      <c r="P5" s="1"/>
    </row>
    <row r="6" spans="1:24" x14ac:dyDescent="0.35">
      <c r="A6" t="s">
        <v>21</v>
      </c>
      <c r="B6" s="1">
        <v>0.02</v>
      </c>
      <c r="C6">
        <v>34.6</v>
      </c>
      <c r="D6">
        <v>0.504</v>
      </c>
      <c r="E6">
        <f>D6*SQRT(F6)</f>
        <v>1.3334586607765537</v>
      </c>
      <c r="F6">
        <v>7</v>
      </c>
      <c r="G6">
        <f>POWER(Table19322[[#This Row],[STD]],2)</f>
        <v>1.7781120000000001</v>
      </c>
      <c r="H6">
        <f>Table19322[[#This Row],[variance]]+G8</f>
        <v>1.7781120000000001</v>
      </c>
      <c r="I6" s="2">
        <f>SQRT(Table19322[[#This Row],[var_dCT]])</f>
        <v>1.3334586607765537</v>
      </c>
      <c r="J6">
        <f>-(Table19322[[#This Row],[emmean_amp_ct]]-C6)</f>
        <v>0</v>
      </c>
      <c r="K6">
        <f t="shared" si="0"/>
        <v>1</v>
      </c>
      <c r="L6" s="3">
        <f>LOG(Table19322[[#This Row],[2(ddCT)]],10)</f>
        <v>0</v>
      </c>
      <c r="M6" t="s">
        <v>22</v>
      </c>
      <c r="P6" s="1"/>
      <c r="X6" s="1"/>
    </row>
    <row r="7" spans="1:24" x14ac:dyDescent="0.35">
      <c r="B7" s="1"/>
      <c r="I7" s="2"/>
      <c r="P7" s="1"/>
      <c r="X7" s="1"/>
    </row>
    <row r="8" spans="1:24" x14ac:dyDescent="0.35">
      <c r="P8" s="1"/>
      <c r="T8" s="2"/>
      <c r="X8" s="1"/>
    </row>
    <row r="9" spans="1:24" x14ac:dyDescent="0.35">
      <c r="A9" t="s">
        <v>23</v>
      </c>
      <c r="P9" s="1"/>
      <c r="T9" s="2"/>
      <c r="X9" s="1"/>
    </row>
    <row r="10" spans="1:24" x14ac:dyDescent="0.35">
      <c r="A10" t="s">
        <v>3</v>
      </c>
      <c r="B10" t="s">
        <v>4</v>
      </c>
      <c r="C10" t="s">
        <v>34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12</v>
      </c>
      <c r="K10" t="s">
        <v>29</v>
      </c>
      <c r="L10" s="5" t="s">
        <v>41</v>
      </c>
      <c r="M10" t="s">
        <v>14</v>
      </c>
      <c r="P10" s="1"/>
      <c r="S10" s="2"/>
      <c r="T10" s="2"/>
      <c r="X10" s="1"/>
    </row>
    <row r="11" spans="1:24" x14ac:dyDescent="0.35">
      <c r="A11" t="s">
        <v>15</v>
      </c>
      <c r="B11" s="1">
        <v>0.16</v>
      </c>
      <c r="C11">
        <v>19.899999999999999</v>
      </c>
      <c r="D11">
        <v>0.80200000000000005</v>
      </c>
      <c r="E11">
        <f>D11*SQRT(F11)</f>
        <v>1.9644907737121087</v>
      </c>
      <c r="F11">
        <v>6</v>
      </c>
      <c r="G11">
        <f>POWER(Table410423[[#This Row],[STD]],2)</f>
        <v>3.8592239999999993</v>
      </c>
      <c r="H11">
        <f>Table410423[[#This Row],[variance]]+G13</f>
        <v>7.7443989999999996</v>
      </c>
      <c r="I11" s="2">
        <f>SQRT(Table410423[[#This Row],[var_dCT]])</f>
        <v>2.7828760302967144</v>
      </c>
      <c r="J11">
        <f>-(Table410423[[#This Row],[emmean_amp_ct]]-C13)</f>
        <v>10.8</v>
      </c>
      <c r="K11">
        <f t="shared" ref="K11:K14" si="1">(POWER(2,J11))</f>
        <v>1782.8875536304624</v>
      </c>
      <c r="L11" s="3">
        <f t="shared" ref="L11:L14" si="2">LOG(K11,10)</f>
        <v>3.2511239531709966</v>
      </c>
      <c r="M11" t="s">
        <v>16</v>
      </c>
      <c r="X11" s="1"/>
    </row>
    <row r="12" spans="1:24" x14ac:dyDescent="0.35">
      <c r="A12" t="s">
        <v>15</v>
      </c>
      <c r="B12" s="1">
        <v>0.02</v>
      </c>
      <c r="C12">
        <v>20.5</v>
      </c>
      <c r="D12">
        <v>0.88200000000000001</v>
      </c>
      <c r="E12">
        <f>D12*SQRT(F12)</f>
        <v>1.9722119561548146</v>
      </c>
      <c r="F12">
        <v>5</v>
      </c>
      <c r="G12">
        <f>POWER(Table410423[[#This Row],[STD]],2)</f>
        <v>3.8896200000000003</v>
      </c>
      <c r="H12">
        <f>Table410423[[#This Row],[variance]]+G14</f>
        <v>7.7435680000000007</v>
      </c>
      <c r="I12" s="2">
        <f>SQRT(Table410423[[#This Row],[var_dCT]])</f>
        <v>2.7827267203230721</v>
      </c>
      <c r="J12">
        <f>-(Table410423[[#This Row],[emmean_amp_ct]]-C14)</f>
        <v>11.2</v>
      </c>
      <c r="K12">
        <f t="shared" si="1"/>
        <v>2352.5342310339256</v>
      </c>
      <c r="L12" s="3">
        <f t="shared" si="2"/>
        <v>3.3715359514365888</v>
      </c>
      <c r="M12" t="s">
        <v>16</v>
      </c>
    </row>
    <row r="13" spans="1:24" x14ac:dyDescent="0.35">
      <c r="A13" t="s">
        <v>21</v>
      </c>
      <c r="B13" s="1">
        <v>0.16</v>
      </c>
      <c r="C13">
        <v>30.7</v>
      </c>
      <c r="D13">
        <v>0.745</v>
      </c>
      <c r="E13">
        <f>D13*SQRT(F13)</f>
        <v>1.97108472674312</v>
      </c>
      <c r="F13">
        <v>7</v>
      </c>
      <c r="G13">
        <f>POWER(Table410423[[#This Row],[STD]],2)</f>
        <v>3.8851749999999998</v>
      </c>
      <c r="H13">
        <f>Table410423[[#This Row],[variance]]+G15</f>
        <v>3.8851749999999998</v>
      </c>
      <c r="I13" s="2">
        <f>SQRT(Table410423[[#This Row],[var_dCT]])</f>
        <v>1.97108472674312</v>
      </c>
      <c r="J13">
        <f>(Table410423[[#This Row],[emmean_amp_ct]]-$C$13)</f>
        <v>0</v>
      </c>
      <c r="K13">
        <f t="shared" si="1"/>
        <v>1</v>
      </c>
      <c r="L13" s="3">
        <f t="shared" si="2"/>
        <v>0</v>
      </c>
      <c r="M13" t="s">
        <v>22</v>
      </c>
      <c r="Q13" t="s">
        <v>18</v>
      </c>
      <c r="R13" t="s">
        <v>17</v>
      </c>
      <c r="S13" t="s">
        <v>42</v>
      </c>
      <c r="T13" t="s">
        <v>43</v>
      </c>
    </row>
    <row r="14" spans="1:24" x14ac:dyDescent="0.35">
      <c r="A14" t="s">
        <v>21</v>
      </c>
      <c r="B14" s="1">
        <v>0.02</v>
      </c>
      <c r="C14">
        <v>31.7</v>
      </c>
      <c r="D14">
        <v>0.74199999999999999</v>
      </c>
      <c r="E14">
        <f>D14*SQRT(F14)</f>
        <v>1.9631474728099263</v>
      </c>
      <c r="F14">
        <v>7</v>
      </c>
      <c r="G14">
        <f>POWER(Table410423[[#This Row],[STD]],2)</f>
        <v>3.8539480000000004</v>
      </c>
      <c r="H14">
        <f>Table410423[[#This Row],[variance]]+G16</f>
        <v>3.8539480000000004</v>
      </c>
      <c r="I14" s="2">
        <f>SQRT(Table410423[[#This Row],[var_dCT]])</f>
        <v>1.9631474728099263</v>
      </c>
      <c r="J14">
        <f>-(Table410423[[#This Row],[emmean_amp_ct]]-$C$14)</f>
        <v>0</v>
      </c>
      <c r="K14">
        <f t="shared" si="1"/>
        <v>1</v>
      </c>
      <c r="L14" s="3">
        <f t="shared" si="2"/>
        <v>0</v>
      </c>
      <c r="M14" t="s">
        <v>22</v>
      </c>
      <c r="P14" s="1" t="s">
        <v>37</v>
      </c>
      <c r="Q14">
        <f>L4</f>
        <v>4.1542139401629399</v>
      </c>
      <c r="R14">
        <f>L3</f>
        <v>4.2445229388621337</v>
      </c>
      <c r="S14">
        <f>LOG(POWER(2,I4),10)</f>
        <v>0.56751875036858479</v>
      </c>
      <c r="T14">
        <f>LOG(POWER(2,I3),10)</f>
        <v>0.56531253160733741</v>
      </c>
    </row>
    <row r="15" spans="1:24" x14ac:dyDescent="0.35">
      <c r="P15" s="1" t="s">
        <v>25</v>
      </c>
      <c r="Q15">
        <f>L12</f>
        <v>3.3715359514365888</v>
      </c>
      <c r="R15">
        <f>L11</f>
        <v>3.2511239531709966</v>
      </c>
      <c r="S15">
        <f>LOG(POWER(2,I12),10)</f>
        <v>0.83768421255289882</v>
      </c>
      <c r="T15">
        <f>LOG(POWER(2,I11),10)</f>
        <v>0.83772915933361702</v>
      </c>
      <c r="X15" s="1"/>
    </row>
    <row r="16" spans="1:24" x14ac:dyDescent="0.35">
      <c r="A16" t="s">
        <v>24</v>
      </c>
      <c r="P16" s="1" t="s">
        <v>31</v>
      </c>
      <c r="Q16">
        <f>L33</f>
        <v>4.0639049414637469</v>
      </c>
      <c r="R16">
        <f>L32</f>
        <v>3.8832869440653566</v>
      </c>
      <c r="S16">
        <f>LOG(POWER(2,I33),10)</f>
        <v>0.60604695194603986</v>
      </c>
      <c r="T16">
        <f>LOG(POWER(2,I32),10)</f>
        <v>0.64054472237324811</v>
      </c>
      <c r="X16" s="1"/>
    </row>
    <row r="17" spans="1:24" x14ac:dyDescent="0.35">
      <c r="A17" t="s">
        <v>3</v>
      </c>
      <c r="B17" t="s">
        <v>4</v>
      </c>
      <c r="C17" t="s">
        <v>34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  <c r="J17" t="s">
        <v>12</v>
      </c>
      <c r="K17" t="s">
        <v>29</v>
      </c>
      <c r="L17" s="5" t="s">
        <v>41</v>
      </c>
      <c r="M17" t="s">
        <v>14</v>
      </c>
      <c r="P17" s="1" t="s">
        <v>32</v>
      </c>
      <c r="Q17">
        <f>L40</f>
        <v>2.7393729605422279</v>
      </c>
      <c r="R17">
        <f>L39</f>
        <v>3.3113299523037929</v>
      </c>
      <c r="S17">
        <f>LOG(POWER(2,I40),10)</f>
        <v>0.43906078826792572</v>
      </c>
      <c r="T17">
        <f>LOG(POWER(2,I39),10)</f>
        <v>0.4369784016768189</v>
      </c>
      <c r="X17" s="1"/>
    </row>
    <row r="18" spans="1:24" x14ac:dyDescent="0.35">
      <c r="A18" t="s">
        <v>15</v>
      </c>
      <c r="B18" s="1">
        <v>0.16</v>
      </c>
      <c r="C18">
        <v>20</v>
      </c>
      <c r="D18">
        <v>1.28</v>
      </c>
      <c r="E18">
        <f>D18*SQRT(F18)</f>
        <v>3.1353468707624677</v>
      </c>
      <c r="F18">
        <v>6</v>
      </c>
      <c r="G18">
        <f>POWER(Table5111424[[#This Row],[STD]],2)</f>
        <v>9.8303999999999974</v>
      </c>
      <c r="H18">
        <f>Table5111424[[#This Row],[variance]]+G20</f>
        <v>19.577199999999998</v>
      </c>
      <c r="I18" s="2">
        <f>SQRT(Table5111424[[#This Row],[var_dCT]])</f>
        <v>4.4246129774252569</v>
      </c>
      <c r="J18">
        <f t="shared" ref="J18:J21" si="3">-(C18-C20)</f>
        <v>5</v>
      </c>
      <c r="K18">
        <f t="shared" ref="K18:K21" si="4">(POWER(2,J18))</f>
        <v>32</v>
      </c>
      <c r="L18" s="3">
        <f t="shared" ref="L18:L21" si="5">LOG(K18,10)</f>
        <v>1.5051499783199058</v>
      </c>
      <c r="M18" t="s">
        <v>16</v>
      </c>
      <c r="P18" s="1" t="s">
        <v>39</v>
      </c>
      <c r="Q18">
        <f>L19</f>
        <v>1.1138109839567301</v>
      </c>
      <c r="R18">
        <f>Table5111424[[#This Row],[log10(ddct)]]</f>
        <v>1.5051499783199058</v>
      </c>
      <c r="S18">
        <f>LOG(POWER(2,I19),10)</f>
        <v>1.3412972407457782</v>
      </c>
      <c r="T18">
        <f>LOG(POWER(2,Table5111424[[#This Row],[std-diff]]),10)</f>
        <v>1.3319412254091199</v>
      </c>
      <c r="X18" s="1"/>
    </row>
    <row r="19" spans="1:24" x14ac:dyDescent="0.35">
      <c r="A19" t="s">
        <v>15</v>
      </c>
      <c r="B19" s="1">
        <v>0.02</v>
      </c>
      <c r="C19">
        <v>20.100000000000001</v>
      </c>
      <c r="D19">
        <v>1.41</v>
      </c>
      <c r="E19">
        <f>D19*SQRT(F19)</f>
        <v>3.1528558482747036</v>
      </c>
      <c r="F19">
        <v>5</v>
      </c>
      <c r="G19">
        <f>POWER(Table5111424[[#This Row],[STD]],2)</f>
        <v>9.9405000000000001</v>
      </c>
      <c r="H19">
        <f>Table5111424[[#This Row],[variance]]+G21</f>
        <v>19.853200000000001</v>
      </c>
      <c r="I19" s="2">
        <f>SQRT(Table5111424[[#This Row],[var_dCT]])</f>
        <v>4.4556929876282991</v>
      </c>
      <c r="J19">
        <f t="shared" si="3"/>
        <v>3.6999999999999993</v>
      </c>
      <c r="K19">
        <f t="shared" si="4"/>
        <v>12.99603834169976</v>
      </c>
      <c r="L19" s="3">
        <f t="shared" si="5"/>
        <v>1.1138109839567301</v>
      </c>
      <c r="M19" t="s">
        <v>16</v>
      </c>
      <c r="P19" s="1" t="s">
        <v>28</v>
      </c>
      <c r="Q19">
        <f>L26</f>
        <v>1.4750469787535083</v>
      </c>
      <c r="R19">
        <f>L25</f>
        <v>2.0169009709486736</v>
      </c>
      <c r="S19">
        <f>LOG(POWER(2,I26),10)</f>
        <v>0.65091045696328154</v>
      </c>
      <c r="T19">
        <f>LOG(POWER(2,I25),10)</f>
        <v>0.91725632800251422</v>
      </c>
      <c r="X19" s="1"/>
    </row>
    <row r="20" spans="1:24" x14ac:dyDescent="0.35">
      <c r="A20" t="s">
        <v>21</v>
      </c>
      <c r="B20" s="1">
        <v>0.16</v>
      </c>
      <c r="C20">
        <v>25</v>
      </c>
      <c r="D20">
        <v>1.18</v>
      </c>
      <c r="E20">
        <f>D20*SQRT(F20)</f>
        <v>3.1219865470562169</v>
      </c>
      <c r="F20">
        <v>7</v>
      </c>
      <c r="G20">
        <f>POWER(Table5111424[[#This Row],[STD]],2)</f>
        <v>9.7468000000000004</v>
      </c>
      <c r="H20">
        <f>Table5111424[[#This Row],[variance]]+G22</f>
        <v>9.7468000000000004</v>
      </c>
      <c r="I20" s="2">
        <f>SQRT(Table5111424[[#This Row],[var_dCT]])</f>
        <v>3.1219865470562169</v>
      </c>
      <c r="J20">
        <f>-(C20-C20)</f>
        <v>0</v>
      </c>
      <c r="K20">
        <f t="shared" si="4"/>
        <v>1</v>
      </c>
      <c r="L20" s="3">
        <f t="shared" si="5"/>
        <v>0</v>
      </c>
      <c r="M20" t="s">
        <v>33</v>
      </c>
      <c r="X20" s="1"/>
    </row>
    <row r="21" spans="1:24" x14ac:dyDescent="0.35">
      <c r="A21" t="s">
        <v>21</v>
      </c>
      <c r="B21" s="1">
        <v>0.02</v>
      </c>
      <c r="C21">
        <v>23.8</v>
      </c>
      <c r="D21">
        <v>1.19</v>
      </c>
      <c r="E21">
        <f>D21*SQRT(F21)</f>
        <v>3.1484440601668626</v>
      </c>
      <c r="F21">
        <v>7</v>
      </c>
      <c r="G21">
        <f>POWER(Table5111424[[#This Row],[STD]],2)</f>
        <v>9.9126999999999992</v>
      </c>
      <c r="H21">
        <f>Table5111424[[#This Row],[variance]]+G23</f>
        <v>9.9126999999999992</v>
      </c>
      <c r="I21" s="2">
        <f>SQRT(Table5111424[[#This Row],[var_dCT]])</f>
        <v>3.1484440601668626</v>
      </c>
      <c r="J21">
        <f>-(C21-C21)</f>
        <v>0</v>
      </c>
      <c r="K21">
        <f t="shared" si="4"/>
        <v>1</v>
      </c>
      <c r="L21" s="3">
        <f t="shared" si="5"/>
        <v>0</v>
      </c>
      <c r="M21" t="s">
        <v>22</v>
      </c>
    </row>
    <row r="23" spans="1:24" x14ac:dyDescent="0.35">
      <c r="A23" t="s">
        <v>26</v>
      </c>
    </row>
    <row r="24" spans="1:24" x14ac:dyDescent="0.35">
      <c r="A24" t="s">
        <v>3</v>
      </c>
      <c r="B24" t="s">
        <v>4</v>
      </c>
      <c r="C24" t="s">
        <v>34</v>
      </c>
      <c r="D24" t="s">
        <v>6</v>
      </c>
      <c r="E24" t="s">
        <v>7</v>
      </c>
      <c r="F24" t="s">
        <v>8</v>
      </c>
      <c r="G24" t="s">
        <v>9</v>
      </c>
      <c r="H24" t="s">
        <v>10</v>
      </c>
      <c r="I24" t="s">
        <v>11</v>
      </c>
      <c r="J24" t="s">
        <v>12</v>
      </c>
      <c r="K24" t="s">
        <v>29</v>
      </c>
      <c r="L24" s="5" t="s">
        <v>41</v>
      </c>
      <c r="M24" t="s">
        <v>14</v>
      </c>
    </row>
    <row r="25" spans="1:24" x14ac:dyDescent="0.35">
      <c r="A25" t="s">
        <v>15</v>
      </c>
      <c r="B25" s="1">
        <v>0.16</v>
      </c>
      <c r="C25">
        <v>22.3</v>
      </c>
      <c r="D25">
        <v>0.88</v>
      </c>
      <c r="E25">
        <f>D25*SQRT(F25)</f>
        <v>2.1555509736491967</v>
      </c>
      <c r="F25">
        <v>6</v>
      </c>
      <c r="G25">
        <f>POWER(Table47121525[[#This Row],[STD]],2)</f>
        <v>4.6463999999999999</v>
      </c>
      <c r="H25">
        <f>Table47121525[[#This Row],[variance]]+G28</f>
        <v>9.2845720000000007</v>
      </c>
      <c r="I25" s="2">
        <f>SQRT(Table47121525[[#This Row],[var_dCT]])</f>
        <v>3.0470595662047701</v>
      </c>
      <c r="J25">
        <f>-(Table47121525[[#This Row],[emmean_amp_ct]]-C27)</f>
        <v>6.6999999999999993</v>
      </c>
      <c r="K25">
        <f t="shared" ref="K25:K28" si="6">(POWER(2,J25))</f>
        <v>103.96830673359811</v>
      </c>
      <c r="L25" s="3">
        <f t="shared" ref="L25:L28" si="7">LOG(K25,10)</f>
        <v>2.0169009709486736</v>
      </c>
      <c r="M25" t="s">
        <v>16</v>
      </c>
    </row>
    <row r="26" spans="1:24" x14ac:dyDescent="0.35">
      <c r="A26" t="s">
        <v>15</v>
      </c>
      <c r="B26" s="1">
        <v>0.02</v>
      </c>
      <c r="C26">
        <v>23.9</v>
      </c>
      <c r="D26">
        <v>0.96699999999999997</v>
      </c>
      <c r="E26">
        <f>D26*SQRT(F26)</f>
        <v>2.1622777342422967</v>
      </c>
      <c r="F26">
        <v>5</v>
      </c>
      <c r="G26">
        <f>POWER(Table47121525[[#This Row],[STD]],2)</f>
        <v>4.6754450000000007</v>
      </c>
      <c r="H26">
        <f>Table47121525[[#This Row],[variance]]+G29</f>
        <v>4.6754450000000007</v>
      </c>
      <c r="I26" s="2">
        <f>SQRT(Table47121525[[#This Row],[var_dCT]])</f>
        <v>2.1622777342422967</v>
      </c>
      <c r="J26">
        <f>-(Table47121525[[#This Row],[emmean_amp_ct]]-C28)</f>
        <v>4.9000000000000021</v>
      </c>
      <c r="K26">
        <f t="shared" si="6"/>
        <v>29.857055729177876</v>
      </c>
      <c r="L26" s="3">
        <f t="shared" si="7"/>
        <v>1.4750469787535083</v>
      </c>
      <c r="M26" t="s">
        <v>16</v>
      </c>
    </row>
    <row r="27" spans="1:24" x14ac:dyDescent="0.35">
      <c r="A27" t="s">
        <v>21</v>
      </c>
      <c r="B27" s="1">
        <v>0.16</v>
      </c>
      <c r="C27">
        <v>29</v>
      </c>
      <c r="D27">
        <v>0.81799999999999995</v>
      </c>
      <c r="E27">
        <f>D27*SQRT(F27)</f>
        <v>2.1642245724508351</v>
      </c>
      <c r="F27">
        <v>7</v>
      </c>
      <c r="G27">
        <f>POWER(Table47121525[[#This Row],[STD]],2)</f>
        <v>4.6838680000000004</v>
      </c>
      <c r="H27">
        <f>Table47121525[[#This Row],[variance]]+G30</f>
        <v>4.6838680000000004</v>
      </c>
      <c r="I27" s="2">
        <f>SQRT(Table47121525[[#This Row],[var_dCT]])</f>
        <v>2.1642245724508351</v>
      </c>
      <c r="J27">
        <f>-(Table47121525[[#This Row],[emmean_amp_ct]]-C27)</f>
        <v>0</v>
      </c>
      <c r="K27">
        <f t="shared" si="6"/>
        <v>1</v>
      </c>
      <c r="L27" s="3">
        <f t="shared" si="7"/>
        <v>0</v>
      </c>
      <c r="M27" t="s">
        <v>22</v>
      </c>
    </row>
    <row r="28" spans="1:24" x14ac:dyDescent="0.35">
      <c r="A28" t="s">
        <v>21</v>
      </c>
      <c r="B28" s="1">
        <v>0.02</v>
      </c>
      <c r="C28">
        <v>28.8</v>
      </c>
      <c r="D28">
        <v>0.81399999999999995</v>
      </c>
      <c r="E28">
        <f>D28*SQRT(F28)</f>
        <v>2.1536415672065767</v>
      </c>
      <c r="F28">
        <v>7</v>
      </c>
      <c r="G28">
        <f>POWER(Table47121525[[#This Row],[STD]],2)</f>
        <v>4.638172</v>
      </c>
      <c r="H28">
        <f>Table47121525[[#This Row],[variance]]+G310</f>
        <v>4.638172</v>
      </c>
      <c r="I28" s="2">
        <f>SQRT(Table47121525[[#This Row],[var_dCT]])</f>
        <v>2.1536415672065767</v>
      </c>
      <c r="J28">
        <f>-(Table47121525[[#This Row],[emmean_amp_ct]]-C28)</f>
        <v>0</v>
      </c>
      <c r="K28">
        <f t="shared" si="6"/>
        <v>1</v>
      </c>
      <c r="L28" s="3">
        <f t="shared" si="7"/>
        <v>0</v>
      </c>
      <c r="M28" t="s">
        <v>22</v>
      </c>
    </row>
    <row r="29" spans="1:24" x14ac:dyDescent="0.35">
      <c r="B29" s="1"/>
    </row>
    <row r="30" spans="1:24" x14ac:dyDescent="0.35">
      <c r="A30" t="s">
        <v>27</v>
      </c>
    </row>
    <row r="31" spans="1:24" x14ac:dyDescent="0.35">
      <c r="A31" t="s">
        <v>3</v>
      </c>
      <c r="B31" t="s">
        <v>4</v>
      </c>
      <c r="C31" t="s">
        <v>34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  <c r="J31" t="s">
        <v>12</v>
      </c>
      <c r="K31" t="s">
        <v>29</v>
      </c>
      <c r="L31" s="5" t="s">
        <v>41</v>
      </c>
      <c r="M31" t="s">
        <v>14</v>
      </c>
      <c r="N31" s="1"/>
    </row>
    <row r="32" spans="1:24" x14ac:dyDescent="0.35">
      <c r="A32" t="s">
        <v>15</v>
      </c>
      <c r="B32" s="1">
        <v>0.16</v>
      </c>
      <c r="C32">
        <v>19.5</v>
      </c>
      <c r="D32">
        <v>0.61499999999999999</v>
      </c>
      <c r="E32">
        <f>D32*SQRT(F32)</f>
        <v>1.5064361918116544</v>
      </c>
      <c r="F32">
        <v>6</v>
      </c>
      <c r="G32">
        <f>POWER(Table478131626[[#This Row],[STD]],2)</f>
        <v>2.2693499999999998</v>
      </c>
      <c r="H32">
        <f>Table478131626[[#This Row],[variance]]+G34</f>
        <v>4.5277180000000001</v>
      </c>
      <c r="I32" s="2">
        <f>SQRT(Table478131626[[#This Row],[var_dCT]])</f>
        <v>2.1278435092835188</v>
      </c>
      <c r="J32">
        <f>-(Table478131626[[#This Row],[emmean_amp_ct]]-C34)</f>
        <v>12.899999999999999</v>
      </c>
      <c r="K32">
        <f t="shared" ref="K32:K35" si="8">(POWER(2,J32))</f>
        <v>7643.4062666695145</v>
      </c>
      <c r="L32" s="3">
        <f t="shared" ref="L32:L35" si="9">LOG(K32,10)</f>
        <v>3.8832869440653566</v>
      </c>
      <c r="M32" t="s">
        <v>16</v>
      </c>
      <c r="N32" s="1"/>
    </row>
    <row r="33" spans="1:13" x14ac:dyDescent="0.35">
      <c r="A33" t="s">
        <v>15</v>
      </c>
      <c r="B33" s="1">
        <v>0.02</v>
      </c>
      <c r="C33">
        <v>19.2</v>
      </c>
      <c r="D33">
        <v>0.60699999999999998</v>
      </c>
      <c r="E33">
        <f>D33*SQRT(F33)</f>
        <v>1.3572932623423724</v>
      </c>
      <c r="F33">
        <v>5</v>
      </c>
      <c r="G33">
        <f>POWER(Table478131626[[#This Row],[STD]],2)</f>
        <v>1.8422449999999999</v>
      </c>
      <c r="H33">
        <f>Table478131626[[#This Row],[variance]]+G35</f>
        <v>4.053153</v>
      </c>
      <c r="I33" s="2">
        <f>SQRT(Table478131626[[#This Row],[var_dCT]])</f>
        <v>2.0132443964904012</v>
      </c>
      <c r="J33">
        <f>-(Table478131626[[#This Row],[emmean_amp_ct]]-C35)</f>
        <v>13.500000000000004</v>
      </c>
      <c r="K33">
        <f t="shared" si="8"/>
        <v>11585.237502960419</v>
      </c>
      <c r="L33" s="3">
        <f t="shared" si="9"/>
        <v>4.0639049414637469</v>
      </c>
      <c r="M33" t="s">
        <v>16</v>
      </c>
    </row>
    <row r="34" spans="1:13" x14ac:dyDescent="0.35">
      <c r="A34" t="s">
        <v>21</v>
      </c>
      <c r="B34" s="1">
        <v>0.16</v>
      </c>
      <c r="C34">
        <v>32.4</v>
      </c>
      <c r="D34">
        <v>0.56799999999999995</v>
      </c>
      <c r="E34">
        <f>D34*SQRT(F34)</f>
        <v>1.5027867446846874</v>
      </c>
      <c r="F34">
        <v>7</v>
      </c>
      <c r="G34">
        <f>POWER(Table478131626[[#This Row],[STD]],2)</f>
        <v>2.2583679999999999</v>
      </c>
      <c r="H34">
        <f>Table478131626[[#This Row],[variance]]+G36</f>
        <v>2.2583679999999999</v>
      </c>
      <c r="I34" s="2">
        <f>SQRT(Table478131626[[#This Row],[var_dCT]])</f>
        <v>1.5027867446846874</v>
      </c>
      <c r="J34">
        <f>-(Table478131626[[#This Row],[emmean_amp_ct]]-C34)</f>
        <v>0</v>
      </c>
      <c r="K34">
        <f t="shared" si="8"/>
        <v>1</v>
      </c>
      <c r="L34" s="3">
        <f t="shared" si="9"/>
        <v>0</v>
      </c>
      <c r="M34" t="s">
        <v>22</v>
      </c>
    </row>
    <row r="35" spans="1:13" x14ac:dyDescent="0.35">
      <c r="A35" t="s">
        <v>21</v>
      </c>
      <c r="B35" s="1">
        <v>0.02</v>
      </c>
      <c r="C35">
        <v>32.700000000000003</v>
      </c>
      <c r="D35">
        <v>0.56200000000000006</v>
      </c>
      <c r="E35">
        <f>D35*SQRT(F35)</f>
        <v>1.4869122368183001</v>
      </c>
      <c r="F35">
        <v>7</v>
      </c>
      <c r="G35">
        <f>POWER(Table478131626[[#This Row],[STD]],2)</f>
        <v>2.2109080000000003</v>
      </c>
      <c r="H35">
        <f>Table478131626[[#This Row],[variance]]+G37</f>
        <v>2.2109080000000003</v>
      </c>
      <c r="I35" s="2">
        <f>SQRT(Table478131626[[#This Row],[var_dCT]])</f>
        <v>1.4869122368183001</v>
      </c>
      <c r="J35">
        <f>-(Table478131626[[#This Row],[emmean_amp_ct]]-C35)</f>
        <v>0</v>
      </c>
      <c r="K35">
        <f t="shared" si="8"/>
        <v>1</v>
      </c>
      <c r="L35" s="3">
        <f t="shared" si="9"/>
        <v>0</v>
      </c>
      <c r="M35" t="s">
        <v>22</v>
      </c>
    </row>
    <row r="36" spans="1:13" x14ac:dyDescent="0.35">
      <c r="B36" s="1"/>
    </row>
    <row r="37" spans="1:13" x14ac:dyDescent="0.35">
      <c r="A37" t="s">
        <v>30</v>
      </c>
    </row>
    <row r="38" spans="1:13" x14ac:dyDescent="0.35">
      <c r="A38" t="s">
        <v>3</v>
      </c>
      <c r="B38" t="s">
        <v>4</v>
      </c>
      <c r="C38" t="s">
        <v>34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  <c r="J38" t="s">
        <v>13</v>
      </c>
      <c r="K38" t="s">
        <v>29</v>
      </c>
      <c r="L38" s="5" t="s">
        <v>41</v>
      </c>
      <c r="M38" t="s">
        <v>14</v>
      </c>
    </row>
    <row r="39" spans="1:13" x14ac:dyDescent="0.35">
      <c r="A39" t="s">
        <v>15</v>
      </c>
      <c r="B39" s="1">
        <v>0.16</v>
      </c>
      <c r="C39">
        <v>18.899999999999999</v>
      </c>
      <c r="D39">
        <v>0.41899999999999998</v>
      </c>
      <c r="E39">
        <f>D39*SQRT(F39)</f>
        <v>1.0263362022261515</v>
      </c>
      <c r="F39">
        <v>6</v>
      </c>
      <c r="G39">
        <f>POWER(Table47813162627[[#This Row],[STD]],2)</f>
        <v>1.0533659999999998</v>
      </c>
      <c r="H39">
        <f>Table47813162627[[#This Row],[variance]]+G41</f>
        <v>2.1071739999999997</v>
      </c>
      <c r="I39" s="2">
        <f>SQRT(Table47813162627[[#This Row],[var_dCT]])</f>
        <v>1.4516108293891996</v>
      </c>
      <c r="J39">
        <f>-(Table47813162627[[#This Row],[emmean_amp_ct]]-C41)</f>
        <v>11</v>
      </c>
      <c r="K39">
        <f t="shared" ref="K39:K42" si="10">(POWER(2,J39))</f>
        <v>2048</v>
      </c>
      <c r="L39" s="3">
        <f t="shared" ref="L39:L42" si="11">LOG(K39,10)</f>
        <v>3.3113299523037929</v>
      </c>
      <c r="M39" t="s">
        <v>16</v>
      </c>
    </row>
    <row r="40" spans="1:13" x14ac:dyDescent="0.35">
      <c r="A40" t="s">
        <v>15</v>
      </c>
      <c r="B40" s="1">
        <v>0.02</v>
      </c>
      <c r="C40">
        <v>19.100000000000001</v>
      </c>
      <c r="D40">
        <v>0.46100000000000002</v>
      </c>
      <c r="E40">
        <f>D40*SQRT(F40)</f>
        <v>1.0308273376274031</v>
      </c>
      <c r="F40">
        <v>5</v>
      </c>
      <c r="G40">
        <f>POWER(Table47813162627[[#This Row],[STD]],2)</f>
        <v>1.062605</v>
      </c>
      <c r="H40">
        <f>Table47813162627[[#This Row],[variance]]+G42</f>
        <v>2.1273050000000002</v>
      </c>
      <c r="I40" s="2">
        <f>SQRT(Table47813162627[[#This Row],[var_dCT]])</f>
        <v>1.4585283679106142</v>
      </c>
      <c r="J40">
        <f>-(Table47813162627[[#This Row],[emmean_amp_ct]]-C42)</f>
        <v>9.0999999999999979</v>
      </c>
      <c r="K40">
        <f t="shared" si="10"/>
        <v>548.74801281858106</v>
      </c>
      <c r="L40" s="3">
        <f t="shared" si="11"/>
        <v>2.7393729605422279</v>
      </c>
      <c r="M40" t="s">
        <v>16</v>
      </c>
    </row>
    <row r="41" spans="1:13" x14ac:dyDescent="0.35">
      <c r="A41" t="s">
        <v>21</v>
      </c>
      <c r="B41" s="1">
        <v>0.16</v>
      </c>
      <c r="C41">
        <v>29.9</v>
      </c>
      <c r="D41">
        <v>0.38800000000000001</v>
      </c>
      <c r="E41">
        <f>D41*SQRT(F41)</f>
        <v>1.0265515086930612</v>
      </c>
      <c r="F41">
        <v>7</v>
      </c>
      <c r="G41">
        <f>POWER(Table47813162627[[#This Row],[STD]],2)</f>
        <v>1.0538080000000001</v>
      </c>
      <c r="H41">
        <f>Table47813162627[[#This Row],[variance]]+G43</f>
        <v>1.0538080000000001</v>
      </c>
      <c r="I41" s="2">
        <f>SQRT(Table47813162627[[#This Row],[var_dCT]])</f>
        <v>1.0265515086930612</v>
      </c>
      <c r="J41">
        <f>-(Table47813162627[[#This Row],[emmean_amp_ct]]-C41)</f>
        <v>0</v>
      </c>
      <c r="K41">
        <f t="shared" si="10"/>
        <v>1</v>
      </c>
      <c r="L41" s="3">
        <f t="shared" si="11"/>
        <v>0</v>
      </c>
      <c r="M41" t="s">
        <v>22</v>
      </c>
    </row>
    <row r="42" spans="1:13" x14ac:dyDescent="0.35">
      <c r="A42" t="s">
        <v>21</v>
      </c>
      <c r="B42" s="1">
        <v>0.02</v>
      </c>
      <c r="C42">
        <v>28.2</v>
      </c>
      <c r="D42">
        <v>0.39</v>
      </c>
      <c r="E42">
        <f>D42*SQRT(F42)</f>
        <v>1.0318430113151904</v>
      </c>
      <c r="F42">
        <v>7</v>
      </c>
      <c r="G42">
        <f>POWER(Table47813162627[[#This Row],[STD]],2)</f>
        <v>1.0647000000000002</v>
      </c>
      <c r="H42">
        <f>Table47813162627[[#This Row],[variance]]+G44</f>
        <v>1.0647000000000002</v>
      </c>
      <c r="I42" s="2">
        <f>SQRT(Table47813162627[[#This Row],[var_dCT]])</f>
        <v>1.0318430113151904</v>
      </c>
      <c r="J42">
        <f>-(Table47813162627[[#This Row],[emmean_amp_ct]]-C42)</f>
        <v>0</v>
      </c>
      <c r="K42">
        <f t="shared" si="10"/>
        <v>1</v>
      </c>
      <c r="L42" s="3">
        <f t="shared" si="11"/>
        <v>0</v>
      </c>
      <c r="M42" t="s">
        <v>22</v>
      </c>
    </row>
    <row r="43" spans="1:13" x14ac:dyDescent="0.35">
      <c r="B43" s="1"/>
    </row>
    <row r="44" spans="1:13" x14ac:dyDescent="0.35">
      <c r="B44" s="1"/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Emmeans-Providencia-rettgeri</vt:lpstr>
      <vt:lpstr>Emmeans_Serratia_marcescens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Mae Darby</dc:creator>
  <cp:lastModifiedBy>Andrea Mae Darby</cp:lastModifiedBy>
  <dcterms:created xsi:type="dcterms:W3CDTF">2022-12-21T20:35:50Z</dcterms:created>
  <dcterms:modified xsi:type="dcterms:W3CDTF">2023-12-05T01:31:18Z</dcterms:modified>
</cp:coreProperties>
</file>